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mc:AlternateContent xmlns:mc="http://schemas.openxmlformats.org/markup-compatibility/2006">
    <mc:Choice Requires="x15">
      <x15ac:absPath xmlns:x15ac="http://schemas.microsoft.com/office/spreadsheetml/2010/11/ac" url="\\servidor\EDUNA\CONTRATACION\EDUNA\01_MUNICIPIOS\13_SAN ROQUE\16_CENTRO DIA CI-005-2026\02_EDUNA - CONTRATISTA\01_CONTRACTUAL\"/>
    </mc:Choice>
  </mc:AlternateContent>
  <xr:revisionPtr revIDLastSave="0" documentId="13_ncr:1_{FC0C18D5-9838-41E0-8B28-6D9BDFD9FD4B}" xr6:coauthVersionLast="47" xr6:coauthVersionMax="47" xr10:uidLastSave="{00000000-0000-0000-0000-000000000000}"/>
  <bookViews>
    <workbookView xWindow="-108" yWindow="-108" windowWidth="23256" windowHeight="12456" tabRatio="798" autoFilterDateGrouping="0" xr2:uid="{00000000-000D-0000-FFFF-FFFF00000000}"/>
  </bookViews>
  <sheets>
    <sheet name="PPTO" sheetId="1" r:id="rId1"/>
    <sheet name="AU" sheetId="210" r:id="rId2"/>
    <sheet name="PÓLIZAS OBRA" sheetId="429" r:id="rId3"/>
    <sheet name="APU'S" sheetId="209" r:id="rId4"/>
    <sheet name="Hoja1" sheetId="432" r:id="rId5"/>
    <sheet name="INSUMOS" sheetId="208" r:id="rId6"/>
    <sheet name="FACTOR PRESTACIONAL" sheetId="398" r:id="rId7"/>
    <sheet name="PMA" sheetId="402" r:id="rId8"/>
    <sheet name="INT" sheetId="397" state="hidden" r:id="rId9"/>
    <sheet name="FM INT" sheetId="430" state="hidden" r:id="rId10"/>
    <sheet name="PÓLIZAS INT" sheetId="431" state="hidden" r:id="rId11"/>
    <sheet name="Cronograma" sheetId="396" r:id="rId12"/>
    <sheet name="APU GIMNASIO" sheetId="400" r:id="rId13"/>
    <sheet name="M-C" sheetId="403" r:id="rId14"/>
    <sheet name="1.1" sheetId="345" r:id="rId15"/>
    <sheet name="1.2" sheetId="346" r:id="rId16"/>
    <sheet name="1.3" sheetId="347" r:id="rId17"/>
    <sheet name="2.1" sheetId="348" r:id="rId18"/>
    <sheet name="2.2" sheetId="349" r:id="rId19"/>
    <sheet name="3.1.1" sheetId="350" r:id="rId20"/>
    <sheet name="3.1.2" sheetId="351" r:id="rId21"/>
    <sheet name="3.1.3" sheetId="352" r:id="rId22"/>
    <sheet name="3.1.4" sheetId="353" r:id="rId23"/>
    <sheet name="3.2.1" sheetId="361" r:id="rId24"/>
    <sheet name="3.2.2" sheetId="362" r:id="rId25"/>
    <sheet name="3.2.3" sheetId="355" r:id="rId26"/>
    <sheet name="3.3.1" sheetId="388" r:id="rId27"/>
    <sheet name="3.3.2" sheetId="389" r:id="rId28"/>
    <sheet name="3.4.1" sheetId="395" r:id="rId29"/>
    <sheet name="4.1" sheetId="354" r:id="rId30"/>
    <sheet name="4.2" sheetId="356" r:id="rId31"/>
    <sheet name="4.3" sheetId="391" r:id="rId32"/>
    <sheet name="4.4" sheetId="392" r:id="rId33"/>
    <sheet name="4.5" sheetId="404" r:id="rId34"/>
    <sheet name="4.6" sheetId="393" r:id="rId35"/>
    <sheet name="5.1" sheetId="358" r:id="rId36"/>
    <sheet name="5.2" sheetId="359" r:id="rId37"/>
    <sheet name="5.3" sheetId="360" r:id="rId38"/>
    <sheet name="5.4" sheetId="406" r:id="rId39"/>
    <sheet name="6.1" sheetId="363" r:id="rId40"/>
    <sheet name="6.2" sheetId="364" r:id="rId41"/>
    <sheet name="6.3" sheetId="365" r:id="rId42"/>
    <sheet name="6.4" sheetId="366" r:id="rId43"/>
    <sheet name="6.5" sheetId="367" r:id="rId44"/>
    <sheet name="6.6" sheetId="368" r:id="rId45"/>
    <sheet name="6.7" sheetId="369" r:id="rId46"/>
    <sheet name="6.8" sheetId="370" r:id="rId47"/>
    <sheet name="6.9" sheetId="371" r:id="rId48"/>
    <sheet name="6.10" sheetId="407" r:id="rId49"/>
    <sheet name="6.11" sheetId="408" r:id="rId50"/>
    <sheet name="6.12" sheetId="409" r:id="rId51"/>
    <sheet name="6.13" sheetId="410" r:id="rId52"/>
    <sheet name="6.14" sheetId="411" r:id="rId53"/>
    <sheet name="6.15" sheetId="412" r:id="rId54"/>
    <sheet name="6.17" sheetId="413" r:id="rId55"/>
    <sheet name="7.1" sheetId="372" r:id="rId56"/>
    <sheet name="7.2" sheetId="373" r:id="rId57"/>
    <sheet name="7.3" sheetId="374" r:id="rId58"/>
    <sheet name="7.4" sheetId="375" r:id="rId59"/>
    <sheet name="7.5" sheetId="376" r:id="rId60"/>
    <sheet name="7.6" sheetId="414" r:id="rId61"/>
    <sheet name="7.7" sheetId="378" r:id="rId62"/>
    <sheet name="7.8" sheetId="415" r:id="rId63"/>
    <sheet name="7.9" sheetId="416" r:id="rId64"/>
    <sheet name="7.10" sheetId="417" r:id="rId65"/>
    <sheet name="8.1" sheetId="381" r:id="rId66"/>
    <sheet name="8.2" sheetId="382" r:id="rId67"/>
    <sheet name="8.3" sheetId="418" r:id="rId68"/>
    <sheet name="8.4" sheetId="420" r:id="rId69"/>
    <sheet name="8.5" sheetId="421" r:id="rId70"/>
    <sheet name="9.1" sheetId="419" r:id="rId71"/>
    <sheet name="10.1" sheetId="383" r:id="rId72"/>
    <sheet name="10.2" sheetId="384" r:id="rId73"/>
    <sheet name="10.3" sheetId="385" r:id="rId74"/>
    <sheet name="10.4" sheetId="386" r:id="rId75"/>
    <sheet name="10.5" sheetId="387" r:id="rId76"/>
    <sheet name="10.6" sheetId="422" r:id="rId77"/>
    <sheet name="10.7" sheetId="423" r:id="rId78"/>
    <sheet name="10.8" sheetId="424" r:id="rId79"/>
    <sheet name="11.1" sheetId="426" r:id="rId80"/>
    <sheet name="11.2" sheetId="427" r:id="rId81"/>
    <sheet name="11.3" sheetId="428" r:id="rId82"/>
    <sheet name="12.2" sheetId="425" r:id="rId83"/>
  </sheets>
  <definedNames>
    <definedName name="_xlnm._FilterDatabase" localSheetId="0" hidden="1">PPTO!$B$6:$G$115</definedName>
    <definedName name="_xlnm.Print_Area" localSheetId="14">'1.1'!$A$2:$J$41</definedName>
    <definedName name="_xlnm.Print_Area" localSheetId="15">'1.2'!$A$2:$J$41</definedName>
    <definedName name="_xlnm.Print_Area" localSheetId="16">'1.3'!$A$2:$J$41</definedName>
    <definedName name="_xlnm.Print_Area" localSheetId="71">'10.1'!$A$2:$J$52</definedName>
    <definedName name="_xlnm.Print_Area" localSheetId="72">'10.2'!$A$2:$J$52</definedName>
    <definedName name="_xlnm.Print_Area" localSheetId="73">'10.3'!$A$2:$J$51</definedName>
    <definedName name="_xlnm.Print_Area" localSheetId="74">'10.4'!$A$2:$J$52</definedName>
    <definedName name="_xlnm.Print_Area" localSheetId="75">'10.5'!$A$2:$J$52</definedName>
    <definedName name="_xlnm.Print_Area" localSheetId="76">'10.6'!$A$2:$J$52</definedName>
    <definedName name="_xlnm.Print_Area" localSheetId="77">'10.7'!$A$2:$J$52</definedName>
    <definedName name="_xlnm.Print_Area" localSheetId="78">'10.8'!$A$2:$J$52</definedName>
    <definedName name="_xlnm.Print_Area" localSheetId="79">'11.1'!$A$2:$J$52</definedName>
    <definedName name="_xlnm.Print_Area" localSheetId="80">'11.2'!$A$2:$J$52</definedName>
    <definedName name="_xlnm.Print_Area" localSheetId="81">'11.3'!$A$2:$J$52</definedName>
    <definedName name="_xlnm.Print_Area" localSheetId="82">'12.2'!$A$2:$J$52</definedName>
    <definedName name="_xlnm.Print_Area" localSheetId="17">'2.1'!$A$2:$J$41</definedName>
    <definedName name="_xlnm.Print_Area" localSheetId="18">'2.2'!$A$2:$J$41</definedName>
    <definedName name="_xlnm.Print_Area" localSheetId="19">'3.1.1'!$A$2:$J$41</definedName>
    <definedName name="_xlnm.Print_Area" localSheetId="20">'3.1.2'!$A$2:$J$41</definedName>
    <definedName name="_xlnm.Print_Area" localSheetId="21">'3.1.3'!$A$2:$J$41</definedName>
    <definedName name="_xlnm.Print_Area" localSheetId="22">'3.1.4'!$A$2:$J$41</definedName>
    <definedName name="_xlnm.Print_Area" localSheetId="23">'3.2.1'!$A$2:$J$41</definedName>
    <definedName name="_xlnm.Print_Area" localSheetId="24">'3.2.2'!$A$2:$J$41</definedName>
    <definedName name="_xlnm.Print_Area" localSheetId="25">'3.2.3'!$A$2:$J$52</definedName>
    <definedName name="_xlnm.Print_Area" localSheetId="26">'3.3.1'!$A$2:$J$52</definedName>
    <definedName name="_xlnm.Print_Area" localSheetId="27">'3.3.2'!$A$2:$J$52</definedName>
    <definedName name="_xlnm.Print_Area" localSheetId="28">'3.4.1'!$A$2:$J$52</definedName>
    <definedName name="_xlnm.Print_Area" localSheetId="29">'4.1'!$A$2:$J$58</definedName>
    <definedName name="_xlnm.Print_Area" localSheetId="30">'4.2'!$A$2:$J$58</definedName>
    <definedName name="_xlnm.Print_Area" localSheetId="31">'4.3'!$A$2:$J$58</definedName>
    <definedName name="_xlnm.Print_Area" localSheetId="32">'4.4'!$A$2:$J$58</definedName>
    <definedName name="_xlnm.Print_Area" localSheetId="33">'4.5'!$A$2:$J$58</definedName>
    <definedName name="_xlnm.Print_Area" localSheetId="34">'4.6'!$A$2:$J$58</definedName>
    <definedName name="_xlnm.Print_Area" localSheetId="35">'5.1'!$A$2:$J$52</definedName>
    <definedName name="_xlnm.Print_Area" localSheetId="36">'5.2'!$A$2:$J$52</definedName>
    <definedName name="_xlnm.Print_Area" localSheetId="37">'5.3'!$A$2:$J$52</definedName>
    <definedName name="_xlnm.Print_Area" localSheetId="38">'5.4'!$A$2:$J$52</definedName>
    <definedName name="_xlnm.Print_Area" localSheetId="39">'6.1'!$A$2:$J$51</definedName>
    <definedName name="_xlnm.Print_Area" localSheetId="48">'6.10'!$A$2:$J$46</definedName>
    <definedName name="_xlnm.Print_Area" localSheetId="49">'6.11'!$A$2:$J$46</definedName>
    <definedName name="_xlnm.Print_Area" localSheetId="50">'6.12'!$A$2:$J$46</definedName>
    <definedName name="_xlnm.Print_Area" localSheetId="51">'6.13'!$A$2:$J$46</definedName>
    <definedName name="_xlnm.Print_Area" localSheetId="52">'6.14'!$A$2:$J$46</definedName>
    <definedName name="_xlnm.Print_Area" localSheetId="53">'6.15'!$A$2:$J$48</definedName>
    <definedName name="_xlnm.Print_Area" localSheetId="54">'6.17'!$A$2:$J$48</definedName>
    <definedName name="_xlnm.Print_Area" localSheetId="40">'6.2'!$A$2:$J$52</definedName>
    <definedName name="_xlnm.Print_Area" localSheetId="41">'6.3'!$A$2:$J$52</definedName>
    <definedName name="_xlnm.Print_Area" localSheetId="42">'6.4'!$A$2:$J$52</definedName>
    <definedName name="_xlnm.Print_Area" localSheetId="43">'6.5'!$A$2:$J$46</definedName>
    <definedName name="_xlnm.Print_Area" localSheetId="44">'6.6'!$A$2:$J$52</definedName>
    <definedName name="_xlnm.Print_Area" localSheetId="45">'6.7'!$A$2:$J$52</definedName>
    <definedName name="_xlnm.Print_Area" localSheetId="46">'6.8'!$A$2:$J$52</definedName>
    <definedName name="_xlnm.Print_Area" localSheetId="47">'6.9'!$A$2:$J$52</definedName>
    <definedName name="_xlnm.Print_Area" localSheetId="55">'7.1'!$A$2:$J$52</definedName>
    <definedName name="_xlnm.Print_Area" localSheetId="64">'7.10'!$A$2:$J$52</definedName>
    <definedName name="_xlnm.Print_Area" localSheetId="56">'7.2'!$A$2:$J$52</definedName>
    <definedName name="_xlnm.Print_Area" localSheetId="57">'7.3'!$A$2:$J$52</definedName>
    <definedName name="_xlnm.Print_Area" localSheetId="58">'7.4'!$A$2:$J$52</definedName>
    <definedName name="_xlnm.Print_Area" localSheetId="59">'7.5'!$A$2:$J$52</definedName>
    <definedName name="_xlnm.Print_Area" localSheetId="60">'7.6'!$A$2:$J$52</definedName>
    <definedName name="_xlnm.Print_Area" localSheetId="61">'7.7'!$A$2:$J$52</definedName>
    <definedName name="_xlnm.Print_Area" localSheetId="62">'7.8'!$A$2:$J$52</definedName>
    <definedName name="_xlnm.Print_Area" localSheetId="63">'7.9'!$A$2:$J$52</definedName>
    <definedName name="_xlnm.Print_Area" localSheetId="65">'8.1'!$A$2:$J$57</definedName>
    <definedName name="_xlnm.Print_Area" localSheetId="66">'8.2'!$A$2:$J$50</definedName>
    <definedName name="_xlnm.Print_Area" localSheetId="67">'8.3'!$A$2:$J$50</definedName>
    <definedName name="_xlnm.Print_Area" localSheetId="68">'8.4'!$A$2:$J$50</definedName>
    <definedName name="_xlnm.Print_Area" localSheetId="69">'8.5'!$A$2:$J$50</definedName>
    <definedName name="_xlnm.Print_Area" localSheetId="70">'9.1'!$A$2:$J$50</definedName>
    <definedName name="_xlnm.Print_Area" localSheetId="3">'APU''S'!$A$1:$G$1448</definedName>
    <definedName name="_xlnm.Print_Area" localSheetId="1">AU!$A$1:$J$57</definedName>
    <definedName name="_xlnm.Print_Area" localSheetId="11">Cronograma!$A$1:$P$112</definedName>
    <definedName name="_xlnm.Print_Area" localSheetId="6">'FACTOR PRESTACIONAL'!$A$1:$M$54</definedName>
    <definedName name="_xlnm.Print_Area" localSheetId="9">'FM INT'!$A$1:$J$30</definedName>
    <definedName name="_xlnm.Print_Area" localSheetId="5">INSUMOS!$A$1:$E$563</definedName>
    <definedName name="_xlnm.Print_Area" localSheetId="8">INT!$A$1:$I$35</definedName>
    <definedName name="_xlnm.Print_Area" localSheetId="13">'M-C'!$A$1:$G$112</definedName>
    <definedName name="_xlnm.Print_Area" localSheetId="7">PMA!$A$1:$G$38</definedName>
    <definedName name="_xlnm.Print_Area" localSheetId="0">PPTO!$B$1:$G$116</definedName>
    <definedName name="solver_adj" localSheetId="3" hidden="1">'APU''S'!#REF!</definedName>
    <definedName name="solver_adj" localSheetId="0" hidden="1">PPTO!#REF!</definedName>
    <definedName name="solver_cvg" localSheetId="3" hidden="1">0.0001</definedName>
    <definedName name="solver_cvg" localSheetId="0" hidden="1">0.0001</definedName>
    <definedName name="solver_drv" localSheetId="3" hidden="1">1</definedName>
    <definedName name="solver_drv" localSheetId="0" hidden="1">2</definedName>
    <definedName name="solver_eng" localSheetId="3" hidden="1">1</definedName>
    <definedName name="solver_eng" localSheetId="0" hidden="1">1</definedName>
    <definedName name="solver_est" localSheetId="3" hidden="1">1</definedName>
    <definedName name="solver_est" localSheetId="0" hidden="1">1</definedName>
    <definedName name="solver_itr" localSheetId="3" hidden="1">2147483647</definedName>
    <definedName name="solver_itr" localSheetId="0" hidden="1">2147483647</definedName>
    <definedName name="solver_mip" localSheetId="3" hidden="1">2147483647</definedName>
    <definedName name="solver_mip" localSheetId="0" hidden="1">2147483647</definedName>
    <definedName name="solver_mni" localSheetId="3" hidden="1">30</definedName>
    <definedName name="solver_mni" localSheetId="0" hidden="1">30</definedName>
    <definedName name="solver_mrt" localSheetId="3" hidden="1">0.075</definedName>
    <definedName name="solver_mrt" localSheetId="0" hidden="1">0.075</definedName>
    <definedName name="solver_msl" localSheetId="3" hidden="1">2</definedName>
    <definedName name="solver_msl" localSheetId="0" hidden="1">2</definedName>
    <definedName name="solver_neg" localSheetId="3" hidden="1">1</definedName>
    <definedName name="solver_neg" localSheetId="0" hidden="1">1</definedName>
    <definedName name="solver_nod" localSheetId="3" hidden="1">2147483647</definedName>
    <definedName name="solver_nod" localSheetId="0" hidden="1">2147483647</definedName>
    <definedName name="solver_num" localSheetId="3" hidden="1">0</definedName>
    <definedName name="solver_num" localSheetId="0" hidden="1">0</definedName>
    <definedName name="solver_nwt" localSheetId="3" hidden="1">1</definedName>
    <definedName name="solver_nwt" localSheetId="0" hidden="1">1</definedName>
    <definedName name="solver_opt" localSheetId="3" hidden="1">'APU''S'!#REF!</definedName>
    <definedName name="solver_opt" localSheetId="0" hidden="1">PPTO!#REF!</definedName>
    <definedName name="solver_pre" localSheetId="3" hidden="1">0.000001</definedName>
    <definedName name="solver_pre" localSheetId="0" hidden="1">0.000001</definedName>
    <definedName name="solver_rbv" localSheetId="3" hidden="1">1</definedName>
    <definedName name="solver_rbv" localSheetId="0" hidden="1">2</definedName>
    <definedName name="solver_rlx" localSheetId="3" hidden="1">2</definedName>
    <definedName name="solver_rlx" localSheetId="0" hidden="1">2</definedName>
    <definedName name="solver_rsd" localSheetId="3" hidden="1">0</definedName>
    <definedName name="solver_rsd" localSheetId="0" hidden="1">0</definedName>
    <definedName name="solver_scl" localSheetId="3" hidden="1">1</definedName>
    <definedName name="solver_scl" localSheetId="0" hidden="1">2</definedName>
    <definedName name="solver_sho" localSheetId="3" hidden="1">2</definedName>
    <definedName name="solver_sho" localSheetId="0" hidden="1">2</definedName>
    <definedName name="solver_ssz" localSheetId="3" hidden="1">100</definedName>
    <definedName name="solver_ssz" localSheetId="0" hidden="1">100</definedName>
    <definedName name="solver_tim" localSheetId="3" hidden="1">2147483647</definedName>
    <definedName name="solver_tim" localSheetId="0" hidden="1">2147483647</definedName>
    <definedName name="solver_tol" localSheetId="3" hidden="1">0.01</definedName>
    <definedName name="solver_tol" localSheetId="0" hidden="1">0.01</definedName>
    <definedName name="solver_typ" localSheetId="3" hidden="1">3</definedName>
    <definedName name="solver_typ" localSheetId="0" hidden="1">3</definedName>
    <definedName name="solver_val" localSheetId="3" hidden="1">590250</definedName>
    <definedName name="solver_val" localSheetId="0" hidden="1">1641788164</definedName>
    <definedName name="solver_ver" localSheetId="3" hidden="1">3</definedName>
    <definedName name="solver_ver" localSheetId="0" hidden="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09" i="1" l="1"/>
  <c r="G110" i="1" s="1"/>
  <c r="G111" i="1" s="1"/>
  <c r="G112" i="1" s="1"/>
  <c r="H111" i="1"/>
  <c r="H14" i="430"/>
  <c r="E14" i="430"/>
  <c r="H11" i="430"/>
  <c r="C11" i="430"/>
  <c r="B34" i="431"/>
  <c r="E32" i="431"/>
  <c r="D32" i="431"/>
  <c r="D25" i="431"/>
  <c r="F25" i="431" s="1"/>
  <c r="D24" i="431"/>
  <c r="F24" i="431" s="1"/>
  <c r="D23" i="431"/>
  <c r="F23" i="431" s="1"/>
  <c r="D22" i="431"/>
  <c r="F22" i="431" s="1"/>
  <c r="D21" i="431"/>
  <c r="F21" i="431" s="1"/>
  <c r="AH20" i="431"/>
  <c r="AH21" i="431" s="1"/>
  <c r="E20" i="431"/>
  <c r="D20" i="431"/>
  <c r="D17" i="431"/>
  <c r="E17" i="431" s="1"/>
  <c r="F20" i="431" l="1"/>
  <c r="F32" i="431"/>
  <c r="H32" i="431" s="1"/>
  <c r="I32" i="431" s="1"/>
  <c r="I33" i="431" s="1"/>
  <c r="I35" i="431"/>
  <c r="I36" i="431" s="1"/>
  <c r="E22" i="430" l="1"/>
  <c r="E21" i="430"/>
  <c r="C17" i="430"/>
  <c r="B4" i="430"/>
  <c r="B3" i="430"/>
  <c r="B34" i="429"/>
  <c r="E32" i="429"/>
  <c r="D32" i="429"/>
  <c r="D25" i="429"/>
  <c r="F25" i="429" s="1"/>
  <c r="D24" i="429"/>
  <c r="F24" i="429" s="1"/>
  <c r="D23" i="429"/>
  <c r="F23" i="429" s="1"/>
  <c r="D22" i="429"/>
  <c r="F22" i="429" s="1"/>
  <c r="D21" i="429"/>
  <c r="F21" i="429" s="1"/>
  <c r="AH20" i="429"/>
  <c r="AH21" i="429" s="1"/>
  <c r="E20" i="429"/>
  <c r="D20" i="429"/>
  <c r="D17" i="429"/>
  <c r="E17" i="429" s="1"/>
  <c r="F20" i="429" l="1"/>
  <c r="F32" i="429"/>
  <c r="H32" i="429" s="1"/>
  <c r="I32" i="429" s="1"/>
  <c r="I33" i="429" s="1"/>
  <c r="I35" i="429"/>
  <c r="I36" i="429" s="1"/>
  <c r="L33" i="210" l="1"/>
  <c r="C658" i="209"/>
  <c r="F658" i="209"/>
  <c r="G658" i="209" s="1"/>
  <c r="H144" i="209"/>
  <c r="E131" i="209"/>
  <c r="E107" i="209"/>
  <c r="I107" i="209"/>
  <c r="I108" i="209" s="1"/>
  <c r="I109" i="209" s="1"/>
  <c r="N99" i="396"/>
  <c r="A94" i="396"/>
  <c r="B94" i="396"/>
  <c r="C94" i="396"/>
  <c r="A51" i="428"/>
  <c r="J46" i="428"/>
  <c r="J45" i="428"/>
  <c r="J39" i="428"/>
  <c r="J38" i="428"/>
  <c r="J37" i="428"/>
  <c r="J36" i="428"/>
  <c r="J35" i="428"/>
  <c r="J34" i="428"/>
  <c r="J33" i="428"/>
  <c r="J32" i="428"/>
  <c r="J31" i="428"/>
  <c r="J30" i="428"/>
  <c r="J29" i="428"/>
  <c r="J28" i="428"/>
  <c r="J27" i="428"/>
  <c r="J26" i="428"/>
  <c r="J25" i="428"/>
  <c r="J24" i="428"/>
  <c r="J23" i="428"/>
  <c r="J22" i="428"/>
  <c r="J21" i="428"/>
  <c r="J20" i="428"/>
  <c r="J19" i="428"/>
  <c r="J18" i="428"/>
  <c r="J17" i="428"/>
  <c r="J16" i="428"/>
  <c r="J15" i="428"/>
  <c r="J14" i="428"/>
  <c r="J13" i="428"/>
  <c r="J12" i="428"/>
  <c r="J11" i="428"/>
  <c r="J10" i="428"/>
  <c r="J9" i="428"/>
  <c r="J8" i="428"/>
  <c r="F5" i="428"/>
  <c r="C5" i="428"/>
  <c r="A4" i="428"/>
  <c r="A3" i="428"/>
  <c r="A51" i="427"/>
  <c r="J46" i="427"/>
  <c r="J45" i="427"/>
  <c r="J39" i="427"/>
  <c r="J38" i="427"/>
  <c r="J37" i="427"/>
  <c r="J36" i="427"/>
  <c r="J35" i="427"/>
  <c r="J34" i="427"/>
  <c r="J33" i="427"/>
  <c r="J32" i="427"/>
  <c r="J31" i="427"/>
  <c r="J30" i="427"/>
  <c r="J29" i="427"/>
  <c r="J28" i="427"/>
  <c r="J27" i="427"/>
  <c r="J26" i="427"/>
  <c r="J25" i="427"/>
  <c r="J24" i="427"/>
  <c r="J23" i="427"/>
  <c r="J22" i="427"/>
  <c r="J21" i="427"/>
  <c r="J20" i="427"/>
  <c r="J19" i="427"/>
  <c r="J18" i="427"/>
  <c r="J17" i="427"/>
  <c r="J16" i="427"/>
  <c r="J15" i="427"/>
  <c r="J14" i="427"/>
  <c r="J13" i="427"/>
  <c r="J12" i="427"/>
  <c r="J11" i="427"/>
  <c r="J10" i="427"/>
  <c r="J9" i="427"/>
  <c r="J8" i="427"/>
  <c r="F5" i="427"/>
  <c r="C5" i="427"/>
  <c r="A4" i="427"/>
  <c r="A3" i="427"/>
  <c r="F1396" i="209"/>
  <c r="G1396" i="209" s="1"/>
  <c r="C1396" i="209"/>
  <c r="F1377" i="209"/>
  <c r="G1377" i="209" s="1"/>
  <c r="C1377" i="209"/>
  <c r="G1407" i="209"/>
  <c r="G1403" i="209"/>
  <c r="G1402" i="209"/>
  <c r="G1401" i="209"/>
  <c r="F1395" i="209"/>
  <c r="G1395" i="209" s="1"/>
  <c r="C1395" i="209"/>
  <c r="B1393" i="209"/>
  <c r="A12" i="396"/>
  <c r="A13" i="396"/>
  <c r="A14" i="396"/>
  <c r="A15" i="396"/>
  <c r="A16" i="396"/>
  <c r="A17" i="396"/>
  <c r="A18" i="396"/>
  <c r="A19" i="396"/>
  <c r="A20" i="396"/>
  <c r="A21" i="396"/>
  <c r="A22" i="396"/>
  <c r="A23" i="396"/>
  <c r="A24" i="396"/>
  <c r="A25" i="396"/>
  <c r="A26" i="396"/>
  <c r="A27" i="396"/>
  <c r="A28" i="396"/>
  <c r="A29" i="396"/>
  <c r="A30" i="396"/>
  <c r="A31" i="396"/>
  <c r="A32" i="396"/>
  <c r="A33" i="396"/>
  <c r="A34" i="396"/>
  <c r="A35" i="396"/>
  <c r="A36" i="396"/>
  <c r="A37" i="396"/>
  <c r="A38" i="396"/>
  <c r="A39" i="396"/>
  <c r="A40" i="396"/>
  <c r="A41" i="396"/>
  <c r="A42" i="396"/>
  <c r="A43" i="396"/>
  <c r="A44" i="396"/>
  <c r="A45" i="396"/>
  <c r="A46" i="396"/>
  <c r="A47" i="396"/>
  <c r="A48" i="396"/>
  <c r="A49" i="396"/>
  <c r="A50" i="396"/>
  <c r="A51" i="396"/>
  <c r="A52" i="396"/>
  <c r="A53" i="396"/>
  <c r="A54" i="396"/>
  <c r="A55" i="396"/>
  <c r="A56" i="396"/>
  <c r="A57" i="396"/>
  <c r="A58" i="396"/>
  <c r="A59" i="396"/>
  <c r="A60" i="396"/>
  <c r="A61" i="396"/>
  <c r="A62" i="396"/>
  <c r="A63" i="396"/>
  <c r="A64" i="396"/>
  <c r="A65" i="396"/>
  <c r="A66" i="396"/>
  <c r="A67" i="396"/>
  <c r="A68" i="396"/>
  <c r="A69" i="396"/>
  <c r="A70" i="396"/>
  <c r="A71" i="396"/>
  <c r="A72" i="396"/>
  <c r="A73" i="396"/>
  <c r="A74" i="396"/>
  <c r="A75" i="396"/>
  <c r="A76" i="396"/>
  <c r="A77" i="396"/>
  <c r="A78" i="396"/>
  <c r="A79" i="396"/>
  <c r="A80" i="396"/>
  <c r="A81" i="396"/>
  <c r="A82" i="396"/>
  <c r="A83" i="396"/>
  <c r="A84" i="396"/>
  <c r="A85" i="396"/>
  <c r="A86" i="396"/>
  <c r="A87" i="396"/>
  <c r="A88" i="396"/>
  <c r="A89" i="396"/>
  <c r="A90" i="396"/>
  <c r="A91" i="396"/>
  <c r="A92" i="396"/>
  <c r="A93" i="396"/>
  <c r="A95" i="396"/>
  <c r="A96" i="396"/>
  <c r="A97" i="396"/>
  <c r="A98" i="396"/>
  <c r="A11" i="396"/>
  <c r="B12" i="396"/>
  <c r="C12" i="396"/>
  <c r="B13" i="396"/>
  <c r="C13" i="396"/>
  <c r="B14" i="396"/>
  <c r="C14" i="396"/>
  <c r="D14" i="396"/>
  <c r="E14" i="396"/>
  <c r="F14" i="396"/>
  <c r="B15" i="396"/>
  <c r="C15" i="396"/>
  <c r="B16" i="396"/>
  <c r="C16" i="396"/>
  <c r="B17" i="396"/>
  <c r="C17" i="396"/>
  <c r="D17" i="396"/>
  <c r="E17" i="396"/>
  <c r="F17" i="396"/>
  <c r="B18" i="396"/>
  <c r="C18" i="396"/>
  <c r="D18" i="396"/>
  <c r="E18" i="396"/>
  <c r="F18" i="396"/>
  <c r="B19" i="396"/>
  <c r="C19" i="396"/>
  <c r="B20" i="396"/>
  <c r="C20" i="396"/>
  <c r="B21" i="396"/>
  <c r="C21" i="396"/>
  <c r="B22" i="396"/>
  <c r="C22" i="396"/>
  <c r="B23" i="396"/>
  <c r="C23" i="396"/>
  <c r="D23" i="396"/>
  <c r="E23" i="396"/>
  <c r="F23" i="396"/>
  <c r="B24" i="396"/>
  <c r="C24" i="396"/>
  <c r="B25" i="396"/>
  <c r="C25" i="396"/>
  <c r="B26" i="396"/>
  <c r="C26" i="396"/>
  <c r="B27" i="396"/>
  <c r="C27" i="396"/>
  <c r="D27" i="396"/>
  <c r="E27" i="396"/>
  <c r="F27" i="396"/>
  <c r="B28" i="396"/>
  <c r="C28" i="396"/>
  <c r="B29" i="396"/>
  <c r="C29" i="396"/>
  <c r="B30" i="396"/>
  <c r="C30" i="396"/>
  <c r="D30" i="396"/>
  <c r="E30" i="396"/>
  <c r="F30" i="396"/>
  <c r="B31" i="396"/>
  <c r="C31" i="396"/>
  <c r="B32" i="396"/>
  <c r="C32" i="396"/>
  <c r="D32" i="396"/>
  <c r="E32" i="396"/>
  <c r="F32" i="396"/>
  <c r="B33" i="396"/>
  <c r="C33" i="396"/>
  <c r="B34" i="396"/>
  <c r="C34" i="396"/>
  <c r="B35" i="396"/>
  <c r="C35" i="396"/>
  <c r="B36" i="396"/>
  <c r="C36" i="396"/>
  <c r="B37" i="396"/>
  <c r="C37" i="396"/>
  <c r="B38" i="396"/>
  <c r="C38" i="396"/>
  <c r="B39" i="396"/>
  <c r="C39" i="396"/>
  <c r="D39" i="396"/>
  <c r="E39" i="396"/>
  <c r="F39" i="396"/>
  <c r="B40" i="396"/>
  <c r="C40" i="396"/>
  <c r="B41" i="396"/>
  <c r="C41" i="396"/>
  <c r="B42" i="396"/>
  <c r="C42" i="396"/>
  <c r="B43" i="396"/>
  <c r="C43" i="396"/>
  <c r="B44" i="396"/>
  <c r="C44" i="396"/>
  <c r="D44" i="396"/>
  <c r="E44" i="396"/>
  <c r="F44" i="396"/>
  <c r="B45" i="396"/>
  <c r="C45" i="396"/>
  <c r="B46" i="396"/>
  <c r="C46" i="396"/>
  <c r="B47" i="396"/>
  <c r="C47" i="396"/>
  <c r="B48" i="396"/>
  <c r="C48" i="396"/>
  <c r="B49" i="396"/>
  <c r="C49" i="396"/>
  <c r="B50" i="396"/>
  <c r="C50" i="396"/>
  <c r="B51" i="396"/>
  <c r="C51" i="396"/>
  <c r="B52" i="396"/>
  <c r="C52" i="396"/>
  <c r="B53" i="396"/>
  <c r="C53" i="396"/>
  <c r="B54" i="396"/>
  <c r="C54" i="396"/>
  <c r="B55" i="396"/>
  <c r="C55" i="396"/>
  <c r="B56" i="396"/>
  <c r="C56" i="396"/>
  <c r="B57" i="396"/>
  <c r="C57" i="396"/>
  <c r="B58" i="396"/>
  <c r="C58" i="396"/>
  <c r="B59" i="396"/>
  <c r="C59" i="396"/>
  <c r="B60" i="396"/>
  <c r="C60" i="396"/>
  <c r="D60" i="396"/>
  <c r="B61" i="396"/>
  <c r="C61" i="396"/>
  <c r="B62" i="396"/>
  <c r="C62" i="396"/>
  <c r="D62" i="396"/>
  <c r="E62" i="396"/>
  <c r="F62" i="396"/>
  <c r="B63" i="396"/>
  <c r="C63" i="396"/>
  <c r="B64" i="396"/>
  <c r="C64" i="396"/>
  <c r="B65" i="396"/>
  <c r="C65" i="396"/>
  <c r="B66" i="396"/>
  <c r="C66" i="396"/>
  <c r="B67" i="396"/>
  <c r="C67" i="396"/>
  <c r="B68" i="396"/>
  <c r="C68" i="396"/>
  <c r="B69" i="396"/>
  <c r="C69" i="396"/>
  <c r="B70" i="396"/>
  <c r="C70" i="396"/>
  <c r="B71" i="396"/>
  <c r="C71" i="396"/>
  <c r="B72" i="396"/>
  <c r="C72" i="396"/>
  <c r="B73" i="396"/>
  <c r="C73" i="396"/>
  <c r="D73" i="396"/>
  <c r="E73" i="396"/>
  <c r="F73" i="396"/>
  <c r="B74" i="396"/>
  <c r="C74" i="396"/>
  <c r="B75" i="396"/>
  <c r="C75" i="396"/>
  <c r="B76" i="396"/>
  <c r="C76" i="396"/>
  <c r="B77" i="396"/>
  <c r="C77" i="396"/>
  <c r="B78" i="396"/>
  <c r="C78" i="396"/>
  <c r="B79" i="396"/>
  <c r="C79" i="396"/>
  <c r="D79" i="396"/>
  <c r="E79" i="396"/>
  <c r="F79" i="396"/>
  <c r="B80" i="396"/>
  <c r="C80" i="396"/>
  <c r="B81" i="396"/>
  <c r="C81" i="396"/>
  <c r="D81" i="396"/>
  <c r="E81" i="396"/>
  <c r="F81" i="396"/>
  <c r="B82" i="396"/>
  <c r="C82" i="396"/>
  <c r="B83" i="396"/>
  <c r="C83" i="396"/>
  <c r="B84" i="396"/>
  <c r="C84" i="396"/>
  <c r="B85" i="396"/>
  <c r="C85" i="396"/>
  <c r="B86" i="396"/>
  <c r="C86" i="396"/>
  <c r="B87" i="396"/>
  <c r="C87" i="396"/>
  <c r="B88" i="396"/>
  <c r="C88" i="396"/>
  <c r="B89" i="396"/>
  <c r="C89" i="396"/>
  <c r="B90" i="396"/>
  <c r="C90" i="396"/>
  <c r="D90" i="396"/>
  <c r="B91" i="396"/>
  <c r="C91" i="396"/>
  <c r="D91" i="396"/>
  <c r="E91" i="396"/>
  <c r="F91" i="396"/>
  <c r="B92" i="396"/>
  <c r="C92" i="396"/>
  <c r="B93" i="396"/>
  <c r="C93" i="396"/>
  <c r="B95" i="396"/>
  <c r="C95" i="396"/>
  <c r="D95" i="396"/>
  <c r="E95" i="396"/>
  <c r="F95" i="396"/>
  <c r="B96" i="396"/>
  <c r="C96" i="396"/>
  <c r="D96" i="396"/>
  <c r="B97" i="396"/>
  <c r="C97" i="396"/>
  <c r="B98" i="396"/>
  <c r="C98" i="396"/>
  <c r="D98" i="396"/>
  <c r="C11" i="396"/>
  <c r="G1388" i="209"/>
  <c r="G1384" i="209"/>
  <c r="G1383" i="209"/>
  <c r="G1382" i="209"/>
  <c r="F1376" i="209"/>
  <c r="G1376" i="209" s="1"/>
  <c r="C1376" i="209"/>
  <c r="B1374" i="209"/>
  <c r="A1414" i="209"/>
  <c r="B1414" i="209" s="1"/>
  <c r="C1416" i="209"/>
  <c r="F1416" i="209"/>
  <c r="G1416" i="209" s="1"/>
  <c r="C1417" i="209"/>
  <c r="F1417" i="209"/>
  <c r="G1417" i="209" s="1"/>
  <c r="A51" i="426"/>
  <c r="J46" i="426"/>
  <c r="J45" i="426"/>
  <c r="J39" i="426"/>
  <c r="J38" i="426"/>
  <c r="J37" i="426"/>
  <c r="J36" i="426"/>
  <c r="J35" i="426"/>
  <c r="J34" i="426"/>
  <c r="J33" i="426"/>
  <c r="J32" i="426"/>
  <c r="J31" i="426"/>
  <c r="J30" i="426"/>
  <c r="J29" i="426"/>
  <c r="J28" i="426"/>
  <c r="J27" i="426"/>
  <c r="J26" i="426"/>
  <c r="J25" i="426"/>
  <c r="J24" i="426"/>
  <c r="J23" i="426"/>
  <c r="J22" i="426"/>
  <c r="J21" i="426"/>
  <c r="J20" i="426"/>
  <c r="J19" i="426"/>
  <c r="J18" i="426"/>
  <c r="J17" i="426"/>
  <c r="J16" i="426"/>
  <c r="J15" i="426"/>
  <c r="J14" i="426"/>
  <c r="J13" i="426"/>
  <c r="J12" i="426"/>
  <c r="J11" i="426"/>
  <c r="J10" i="426"/>
  <c r="J9" i="426"/>
  <c r="J8" i="426"/>
  <c r="F5" i="426"/>
  <c r="C5" i="426"/>
  <c r="A4" i="426"/>
  <c r="A3" i="426"/>
  <c r="G1369" i="209"/>
  <c r="G1365" i="209"/>
  <c r="G1364" i="209"/>
  <c r="G1363" i="209"/>
  <c r="F1358" i="209"/>
  <c r="G1358" i="209" s="1"/>
  <c r="C1358" i="209"/>
  <c r="F1357" i="209"/>
  <c r="G1357" i="209" s="1"/>
  <c r="C1357" i="209"/>
  <c r="B1355" i="209"/>
  <c r="F1438" i="209"/>
  <c r="G1438" i="209" s="1"/>
  <c r="C1438" i="209"/>
  <c r="F1436" i="209"/>
  <c r="G1436" i="209" s="1"/>
  <c r="C1435" i="209"/>
  <c r="B1433" i="209"/>
  <c r="G1442" i="209"/>
  <c r="F1437" i="209"/>
  <c r="G1437" i="209" s="1"/>
  <c r="C1437" i="209"/>
  <c r="C1436" i="209"/>
  <c r="J12" i="425"/>
  <c r="J9" i="425"/>
  <c r="J10" i="425"/>
  <c r="J11" i="425"/>
  <c r="J13" i="425"/>
  <c r="J14" i="425"/>
  <c r="J15" i="425"/>
  <c r="J8" i="425"/>
  <c r="F5" i="425"/>
  <c r="C5" i="425"/>
  <c r="A51" i="425"/>
  <c r="J46" i="425"/>
  <c r="J45" i="425"/>
  <c r="J39" i="425"/>
  <c r="J38" i="425"/>
  <c r="J37" i="425"/>
  <c r="J36" i="425"/>
  <c r="J35" i="425"/>
  <c r="J34" i="425"/>
  <c r="J33" i="425"/>
  <c r="J32" i="425"/>
  <c r="J31" i="425"/>
  <c r="J30" i="425"/>
  <c r="J29" i="425"/>
  <c r="J28" i="425"/>
  <c r="J27" i="425"/>
  <c r="J26" i="425"/>
  <c r="J25" i="425"/>
  <c r="J24" i="425"/>
  <c r="J23" i="425"/>
  <c r="J22" i="425"/>
  <c r="J21" i="425"/>
  <c r="J20" i="425"/>
  <c r="J19" i="425"/>
  <c r="J18" i="425"/>
  <c r="J17" i="425"/>
  <c r="J16" i="425"/>
  <c r="A4" i="425"/>
  <c r="A3" i="425"/>
  <c r="F1342" i="209"/>
  <c r="G1342" i="209" s="1"/>
  <c r="F1343" i="209"/>
  <c r="G1343" i="209" s="1"/>
  <c r="C1342" i="209"/>
  <c r="C1343" i="209"/>
  <c r="F1341" i="209"/>
  <c r="G1341" i="209" s="1"/>
  <c r="F1339" i="209"/>
  <c r="G1339" i="209" s="1"/>
  <c r="F1340" i="209"/>
  <c r="G1340" i="209" s="1"/>
  <c r="C1339" i="209"/>
  <c r="C1340" i="209"/>
  <c r="C1341" i="209"/>
  <c r="J9" i="424"/>
  <c r="J10" i="424"/>
  <c r="J11" i="424"/>
  <c r="J8" i="424"/>
  <c r="A51" i="424"/>
  <c r="J46" i="424"/>
  <c r="J45" i="424"/>
  <c r="J39" i="424"/>
  <c r="J38" i="424"/>
  <c r="J37" i="424"/>
  <c r="J36" i="424"/>
  <c r="J35" i="424"/>
  <c r="J34" i="424"/>
  <c r="J33" i="424"/>
  <c r="J32" i="424"/>
  <c r="J31" i="424"/>
  <c r="J30" i="424"/>
  <c r="J29" i="424"/>
  <c r="J28" i="424"/>
  <c r="J27" i="424"/>
  <c r="J26" i="424"/>
  <c r="J25" i="424"/>
  <c r="J24" i="424"/>
  <c r="J23" i="424"/>
  <c r="J22" i="424"/>
  <c r="J21" i="424"/>
  <c r="J20" i="424"/>
  <c r="J19" i="424"/>
  <c r="J18" i="424"/>
  <c r="J17" i="424"/>
  <c r="J16" i="424"/>
  <c r="J15" i="424"/>
  <c r="J14" i="424"/>
  <c r="J13" i="424"/>
  <c r="J12" i="424"/>
  <c r="F5" i="424"/>
  <c r="C5" i="424"/>
  <c r="A4" i="424"/>
  <c r="A3" i="424"/>
  <c r="G1328" i="209"/>
  <c r="G1324" i="209"/>
  <c r="G1323" i="209"/>
  <c r="G1322" i="209"/>
  <c r="G1319" i="209"/>
  <c r="F1316" i="209"/>
  <c r="G1316" i="209" s="1"/>
  <c r="C1316" i="209"/>
  <c r="B1314" i="209"/>
  <c r="B1336" i="209"/>
  <c r="J11" i="423"/>
  <c r="G10" i="423"/>
  <c r="J10" i="423" s="1"/>
  <c r="G9" i="423"/>
  <c r="J9" i="423" s="1"/>
  <c r="G8" i="423"/>
  <c r="J8" i="423" s="1"/>
  <c r="A51" i="423"/>
  <c r="J46" i="423"/>
  <c r="J45" i="423"/>
  <c r="J39" i="423"/>
  <c r="J38" i="423"/>
  <c r="J37" i="423"/>
  <c r="J36" i="423"/>
  <c r="J35" i="423"/>
  <c r="J34" i="423"/>
  <c r="J33" i="423"/>
  <c r="J32" i="423"/>
  <c r="J31" i="423"/>
  <c r="J30" i="423"/>
  <c r="J29" i="423"/>
  <c r="J28" i="423"/>
  <c r="J27" i="423"/>
  <c r="J26" i="423"/>
  <c r="J25" i="423"/>
  <c r="J24" i="423"/>
  <c r="J23" i="423"/>
  <c r="J22" i="423"/>
  <c r="J21" i="423"/>
  <c r="J20" i="423"/>
  <c r="J19" i="423"/>
  <c r="J18" i="423"/>
  <c r="J17" i="423"/>
  <c r="J16" i="423"/>
  <c r="J15" i="423"/>
  <c r="J14" i="423"/>
  <c r="J13" i="423"/>
  <c r="J12" i="423"/>
  <c r="F5" i="423"/>
  <c r="C5" i="423"/>
  <c r="A4" i="423"/>
  <c r="A3" i="423"/>
  <c r="G1309" i="209"/>
  <c r="G1305" i="209"/>
  <c r="G1304" i="209"/>
  <c r="G1303" i="209"/>
  <c r="G1300" i="209"/>
  <c r="F1299" i="209"/>
  <c r="G1299" i="209" s="1"/>
  <c r="C1299" i="209"/>
  <c r="F1298" i="209"/>
  <c r="G1298" i="209" s="1"/>
  <c r="C1298" i="209"/>
  <c r="F1297" i="209"/>
  <c r="G1297" i="209" s="1"/>
  <c r="C1297" i="209"/>
  <c r="B1295" i="209"/>
  <c r="A51" i="422"/>
  <c r="J46" i="422"/>
  <c r="J45" i="422"/>
  <c r="J39" i="422"/>
  <c r="J38" i="422"/>
  <c r="J37" i="422"/>
  <c r="J36" i="422"/>
  <c r="J35" i="422"/>
  <c r="J34" i="422"/>
  <c r="J33" i="422"/>
  <c r="J32" i="422"/>
  <c r="J31" i="422"/>
  <c r="J30" i="422"/>
  <c r="J29" i="422"/>
  <c r="J28" i="422"/>
  <c r="J27" i="422"/>
  <c r="J26" i="422"/>
  <c r="J25" i="422"/>
  <c r="J24" i="422"/>
  <c r="J23" i="422"/>
  <c r="J22" i="422"/>
  <c r="J21" i="422"/>
  <c r="J20" i="422"/>
  <c r="J19" i="422"/>
  <c r="J18" i="422"/>
  <c r="J17" i="422"/>
  <c r="J16" i="422"/>
  <c r="J15" i="422"/>
  <c r="J14" i="422"/>
  <c r="J13" i="422"/>
  <c r="J12" i="422"/>
  <c r="J11" i="422"/>
  <c r="J10" i="422"/>
  <c r="J9" i="422"/>
  <c r="J8" i="422"/>
  <c r="F5" i="422"/>
  <c r="C5" i="422"/>
  <c r="A4" i="422"/>
  <c r="A3" i="422"/>
  <c r="G1290" i="209"/>
  <c r="G1286" i="209"/>
  <c r="G1285" i="209"/>
  <c r="G1284" i="209"/>
  <c r="F1281" i="209"/>
  <c r="G1281" i="209" s="1"/>
  <c r="C1281" i="209"/>
  <c r="F1280" i="209"/>
  <c r="G1280" i="209" s="1"/>
  <c r="C1280" i="209"/>
  <c r="F1279" i="209"/>
  <c r="G1279" i="209" s="1"/>
  <c r="C1279" i="209"/>
  <c r="F1278" i="209"/>
  <c r="G1278" i="209" s="1"/>
  <c r="C1278" i="209"/>
  <c r="B1276" i="209"/>
  <c r="F1258" i="209"/>
  <c r="G1258" i="209" s="1"/>
  <c r="C1258" i="209"/>
  <c r="F1257" i="209"/>
  <c r="C1257" i="209"/>
  <c r="J8" i="387"/>
  <c r="F1234" i="209"/>
  <c r="F1235" i="209"/>
  <c r="C1234" i="209"/>
  <c r="C1235" i="209"/>
  <c r="F1213" i="209"/>
  <c r="C1213" i="209"/>
  <c r="A49" i="421"/>
  <c r="J44" i="421"/>
  <c r="J43" i="421"/>
  <c r="J37" i="421"/>
  <c r="J36" i="421"/>
  <c r="J35" i="421"/>
  <c r="J34" i="421"/>
  <c r="J33" i="421"/>
  <c r="J32" i="421"/>
  <c r="J31" i="421"/>
  <c r="J30" i="421"/>
  <c r="J29" i="421"/>
  <c r="J28" i="421"/>
  <c r="J27" i="421"/>
  <c r="J26" i="421"/>
  <c r="J25" i="421"/>
  <c r="J24" i="421"/>
  <c r="J23" i="421"/>
  <c r="J22" i="421"/>
  <c r="J21" i="421"/>
  <c r="J20" i="421"/>
  <c r="J19" i="421"/>
  <c r="J18" i="421"/>
  <c r="J17" i="421"/>
  <c r="J16" i="421"/>
  <c r="J15" i="421"/>
  <c r="J14" i="421"/>
  <c r="J13" i="421"/>
  <c r="J12" i="421"/>
  <c r="J11" i="421"/>
  <c r="J10" i="421"/>
  <c r="J9" i="421"/>
  <c r="F5" i="421"/>
  <c r="C5" i="421"/>
  <c r="A4" i="421"/>
  <c r="A3" i="421"/>
  <c r="E8" i="420"/>
  <c r="J8" i="420" s="1"/>
  <c r="E9" i="420"/>
  <c r="A49" i="420"/>
  <c r="J44" i="420"/>
  <c r="J43" i="420"/>
  <c r="J37" i="420"/>
  <c r="J36" i="420"/>
  <c r="J35" i="420"/>
  <c r="J34" i="420"/>
  <c r="J33" i="420"/>
  <c r="J32" i="420"/>
  <c r="J31" i="420"/>
  <c r="J30" i="420"/>
  <c r="J29" i="420"/>
  <c r="J28" i="420"/>
  <c r="J27" i="420"/>
  <c r="J26" i="420"/>
  <c r="J25" i="420"/>
  <c r="J24" i="420"/>
  <c r="J23" i="420"/>
  <c r="J22" i="420"/>
  <c r="J21" i="420"/>
  <c r="J20" i="420"/>
  <c r="J19" i="420"/>
  <c r="J18" i="420"/>
  <c r="J17" i="420"/>
  <c r="J16" i="420"/>
  <c r="J15" i="420"/>
  <c r="J14" i="420"/>
  <c r="J13" i="420"/>
  <c r="J12" i="420"/>
  <c r="J11" i="420"/>
  <c r="J10" i="420"/>
  <c r="J9" i="420"/>
  <c r="F5" i="420"/>
  <c r="C5" i="420"/>
  <c r="A4" i="420"/>
  <c r="A3" i="420"/>
  <c r="F1106" i="209"/>
  <c r="G1106" i="209" s="1"/>
  <c r="G1107" i="209"/>
  <c r="C1106" i="209"/>
  <c r="F1104" i="209"/>
  <c r="G1104" i="209" s="1"/>
  <c r="F1105" i="209"/>
  <c r="G1105" i="209" s="1"/>
  <c r="C1104" i="209"/>
  <c r="C1105" i="209"/>
  <c r="F1122" i="209"/>
  <c r="G1122" i="209" s="1"/>
  <c r="C1122" i="209"/>
  <c r="F1121" i="209"/>
  <c r="G1121" i="209" s="1"/>
  <c r="C1121" i="209"/>
  <c r="F1120" i="209"/>
  <c r="G1120" i="209" s="1"/>
  <c r="C1120" i="209"/>
  <c r="G1132" i="209"/>
  <c r="G1128" i="209"/>
  <c r="G1127" i="209"/>
  <c r="G1126" i="209"/>
  <c r="G1123" i="209"/>
  <c r="B1118" i="209"/>
  <c r="G1113" i="209"/>
  <c r="G1109" i="209"/>
  <c r="G1108" i="209"/>
  <c r="F1103" i="209"/>
  <c r="G1103" i="209" s="1"/>
  <c r="C1103" i="209"/>
  <c r="F1102" i="209"/>
  <c r="G1102" i="209" s="1"/>
  <c r="C1102" i="209"/>
  <c r="F1101" i="209"/>
  <c r="G1101" i="209" s="1"/>
  <c r="C1101" i="209"/>
  <c r="B1099" i="209"/>
  <c r="F1146" i="209"/>
  <c r="G1146" i="209" s="1"/>
  <c r="A49" i="419"/>
  <c r="J44" i="419"/>
  <c r="J43" i="419"/>
  <c r="J37" i="419"/>
  <c r="J36" i="419"/>
  <c r="J35" i="419"/>
  <c r="J34" i="419"/>
  <c r="J33" i="419"/>
  <c r="J32" i="419"/>
  <c r="J31" i="419"/>
  <c r="J30" i="419"/>
  <c r="J29" i="419"/>
  <c r="J28" i="419"/>
  <c r="J27" i="419"/>
  <c r="J26" i="419"/>
  <c r="J25" i="419"/>
  <c r="J24" i="419"/>
  <c r="J23" i="419"/>
  <c r="J22" i="419"/>
  <c r="J21" i="419"/>
  <c r="J20" i="419"/>
  <c r="J19" i="419"/>
  <c r="J18" i="419"/>
  <c r="J17" i="419"/>
  <c r="J16" i="419"/>
  <c r="J15" i="419"/>
  <c r="J14" i="419"/>
  <c r="J13" i="419"/>
  <c r="J12" i="419"/>
  <c r="J11" i="419"/>
  <c r="J10" i="419"/>
  <c r="J9" i="419"/>
  <c r="J8" i="419"/>
  <c r="J45" i="419" s="1"/>
  <c r="F5" i="419"/>
  <c r="C5" i="419"/>
  <c r="A4" i="419"/>
  <c r="A3" i="419"/>
  <c r="C1146" i="209"/>
  <c r="F1143" i="209"/>
  <c r="F1144" i="209"/>
  <c r="F1145" i="209"/>
  <c r="G1145" i="209" s="1"/>
  <c r="C1143" i="209"/>
  <c r="C1144" i="209"/>
  <c r="C1145" i="209"/>
  <c r="J8" i="418"/>
  <c r="A49" i="418"/>
  <c r="J44" i="418"/>
  <c r="J43" i="418"/>
  <c r="J37" i="418"/>
  <c r="J36" i="418"/>
  <c r="J35" i="418"/>
  <c r="J34" i="418"/>
  <c r="J33" i="418"/>
  <c r="J32" i="418"/>
  <c r="J31" i="418"/>
  <c r="J30" i="418"/>
  <c r="J29" i="418"/>
  <c r="J28" i="418"/>
  <c r="J27" i="418"/>
  <c r="J26" i="418"/>
  <c r="J25" i="418"/>
  <c r="J24" i="418"/>
  <c r="J23" i="418"/>
  <c r="J22" i="418"/>
  <c r="J21" i="418"/>
  <c r="J20" i="418"/>
  <c r="J19" i="418"/>
  <c r="J18" i="418"/>
  <c r="J17" i="418"/>
  <c r="J16" i="418"/>
  <c r="J15" i="418"/>
  <c r="J14" i="418"/>
  <c r="J13" i="418"/>
  <c r="J12" i="418"/>
  <c r="J11" i="418"/>
  <c r="J10" i="418"/>
  <c r="J9" i="418"/>
  <c r="J45" i="418"/>
  <c r="J47" i="418" s="1"/>
  <c r="F5" i="418"/>
  <c r="C5" i="418"/>
  <c r="A4" i="418"/>
  <c r="A3" i="418"/>
  <c r="G1094" i="209"/>
  <c r="G1090" i="209"/>
  <c r="G1089" i="209"/>
  <c r="G1088" i="209"/>
  <c r="G1085" i="209"/>
  <c r="F1084" i="209"/>
  <c r="G1084" i="209" s="1"/>
  <c r="C1084" i="209"/>
  <c r="F1083" i="209"/>
  <c r="G1083" i="209" s="1"/>
  <c r="C1083" i="209"/>
  <c r="F1082" i="209"/>
  <c r="G1082" i="209" s="1"/>
  <c r="C1082" i="209"/>
  <c r="B1080" i="209"/>
  <c r="J14" i="382"/>
  <c r="J13" i="382"/>
  <c r="J10" i="382"/>
  <c r="J11" i="382"/>
  <c r="J12" i="382"/>
  <c r="J15" i="382"/>
  <c r="J16" i="382"/>
  <c r="J17" i="382"/>
  <c r="J18" i="382"/>
  <c r="J19" i="382"/>
  <c r="J20" i="382"/>
  <c r="J16" i="381"/>
  <c r="J17" i="381"/>
  <c r="J18" i="381"/>
  <c r="J19" i="381"/>
  <c r="F1061" i="209"/>
  <c r="F1060" i="209"/>
  <c r="F1059" i="209"/>
  <c r="C1060" i="209"/>
  <c r="C1061" i="209"/>
  <c r="J20" i="381"/>
  <c r="J21" i="381"/>
  <c r="J22" i="381"/>
  <c r="J23" i="381"/>
  <c r="J24" i="381"/>
  <c r="J10" i="381"/>
  <c r="J11" i="381"/>
  <c r="J12" i="381"/>
  <c r="J13" i="381"/>
  <c r="J14" i="381"/>
  <c r="J15" i="381"/>
  <c r="F1039" i="209"/>
  <c r="C1039" i="209"/>
  <c r="C1038" i="209"/>
  <c r="D143" i="208"/>
  <c r="F1038" i="209" s="1"/>
  <c r="F1037" i="209"/>
  <c r="C1037" i="209"/>
  <c r="B1011" i="209"/>
  <c r="C5" i="417"/>
  <c r="A51" i="417"/>
  <c r="J46" i="417"/>
  <c r="J45" i="417"/>
  <c r="J39" i="417"/>
  <c r="J38" i="417"/>
  <c r="J37" i="417"/>
  <c r="J36" i="417"/>
  <c r="J35" i="417"/>
  <c r="J34" i="417"/>
  <c r="J33" i="417"/>
  <c r="J32" i="417"/>
  <c r="J31" i="417"/>
  <c r="J30" i="417"/>
  <c r="J29" i="417"/>
  <c r="J28" i="417"/>
  <c r="J27" i="417"/>
  <c r="J26" i="417"/>
  <c r="J25" i="417"/>
  <c r="J24" i="417"/>
  <c r="J23" i="417"/>
  <c r="J22" i="417"/>
  <c r="J21" i="417"/>
  <c r="J20" i="417"/>
  <c r="J19" i="417"/>
  <c r="J18" i="417"/>
  <c r="J17" i="417"/>
  <c r="J16" i="417"/>
  <c r="J15" i="417"/>
  <c r="J14" i="417"/>
  <c r="J13" i="417"/>
  <c r="J12" i="417"/>
  <c r="J11" i="417"/>
  <c r="J10" i="417"/>
  <c r="J9" i="417"/>
  <c r="J8" i="417"/>
  <c r="J47" i="417" s="1"/>
  <c r="F5" i="417"/>
  <c r="A4" i="417"/>
  <c r="A3" i="417"/>
  <c r="J8" i="416"/>
  <c r="A51" i="416"/>
  <c r="J46" i="416"/>
  <c r="J45" i="416"/>
  <c r="J39" i="416"/>
  <c r="J38" i="416"/>
  <c r="J37" i="416"/>
  <c r="J36" i="416"/>
  <c r="J35" i="416"/>
  <c r="J34" i="416"/>
  <c r="J33" i="416"/>
  <c r="J32" i="416"/>
  <c r="J31" i="416"/>
  <c r="J30" i="416"/>
  <c r="J29" i="416"/>
  <c r="J28" i="416"/>
  <c r="J27" i="416"/>
  <c r="J26" i="416"/>
  <c r="J25" i="416"/>
  <c r="J24" i="416"/>
  <c r="J23" i="416"/>
  <c r="J22" i="416"/>
  <c r="J21" i="416"/>
  <c r="J20" i="416"/>
  <c r="J19" i="416"/>
  <c r="J18" i="416"/>
  <c r="J17" i="416"/>
  <c r="J16" i="416"/>
  <c r="J15" i="416"/>
  <c r="J14" i="416"/>
  <c r="J13" i="416"/>
  <c r="J12" i="416"/>
  <c r="J11" i="416"/>
  <c r="J10" i="416"/>
  <c r="J9" i="416"/>
  <c r="J47" i="416"/>
  <c r="F5" i="416"/>
  <c r="C5" i="416"/>
  <c r="A4" i="416"/>
  <c r="A3" i="416"/>
  <c r="F989" i="209"/>
  <c r="G989" i="209" s="1"/>
  <c r="C988" i="209"/>
  <c r="C989" i="209"/>
  <c r="F985" i="209"/>
  <c r="F986" i="209"/>
  <c r="F987" i="209"/>
  <c r="F988" i="209"/>
  <c r="G988" i="209" s="1"/>
  <c r="C986" i="209"/>
  <c r="C987" i="209"/>
  <c r="F9" i="415"/>
  <c r="F8" i="415"/>
  <c r="J8" i="415" s="1"/>
  <c r="A51" i="415"/>
  <c r="J46" i="415"/>
  <c r="J45" i="415"/>
  <c r="J39" i="415"/>
  <c r="J38" i="415"/>
  <c r="J37" i="415"/>
  <c r="J36" i="415"/>
  <c r="J35" i="415"/>
  <c r="J34" i="415"/>
  <c r="J33" i="415"/>
  <c r="J32" i="415"/>
  <c r="J31" i="415"/>
  <c r="J30" i="415"/>
  <c r="J29" i="415"/>
  <c r="J28" i="415"/>
  <c r="J27" i="415"/>
  <c r="J26" i="415"/>
  <c r="J25" i="415"/>
  <c r="J24" i="415"/>
  <c r="J23" i="415"/>
  <c r="J22" i="415"/>
  <c r="J21" i="415"/>
  <c r="J20" i="415"/>
  <c r="J19" i="415"/>
  <c r="J18" i="415"/>
  <c r="J17" i="415"/>
  <c r="J16" i="415"/>
  <c r="J15" i="415"/>
  <c r="J14" i="415"/>
  <c r="J13" i="415"/>
  <c r="J12" i="415"/>
  <c r="J11" i="415"/>
  <c r="J10" i="415"/>
  <c r="J9" i="415"/>
  <c r="F5" i="415"/>
  <c r="C5" i="415"/>
  <c r="A4" i="415"/>
  <c r="A3" i="415"/>
  <c r="F963" i="209"/>
  <c r="F964" i="209"/>
  <c r="F965" i="209"/>
  <c r="F966" i="209"/>
  <c r="G966" i="209" s="1"/>
  <c r="F967" i="209"/>
  <c r="G967" i="209" s="1"/>
  <c r="C963" i="209"/>
  <c r="C964" i="209"/>
  <c r="C965" i="209"/>
  <c r="C966" i="209"/>
  <c r="C967" i="209"/>
  <c r="J8" i="378"/>
  <c r="G928" i="209"/>
  <c r="F918" i="209"/>
  <c r="G918" i="209" s="1"/>
  <c r="C918" i="209"/>
  <c r="F917" i="209"/>
  <c r="G917" i="209" s="1"/>
  <c r="C917" i="209"/>
  <c r="F916" i="209"/>
  <c r="G916" i="209" s="1"/>
  <c r="C916" i="209"/>
  <c r="C915" i="209"/>
  <c r="I9" i="414"/>
  <c r="I10" i="414"/>
  <c r="J10" i="414" s="1"/>
  <c r="I11" i="376"/>
  <c r="A51" i="414"/>
  <c r="J46" i="414"/>
  <c r="J45" i="414"/>
  <c r="J39" i="414"/>
  <c r="J38" i="414"/>
  <c r="J37" i="414"/>
  <c r="J36" i="414"/>
  <c r="J35" i="414"/>
  <c r="J34" i="414"/>
  <c r="J33" i="414"/>
  <c r="J32" i="414"/>
  <c r="J31" i="414"/>
  <c r="J30" i="414"/>
  <c r="J29" i="414"/>
  <c r="J28" i="414"/>
  <c r="J27" i="414"/>
  <c r="J26" i="414"/>
  <c r="J25" i="414"/>
  <c r="J24" i="414"/>
  <c r="J23" i="414"/>
  <c r="J22" i="414"/>
  <c r="J21" i="414"/>
  <c r="J20" i="414"/>
  <c r="J19" i="414"/>
  <c r="J18" i="414"/>
  <c r="J17" i="414"/>
  <c r="J16" i="414"/>
  <c r="J15" i="414"/>
  <c r="J14" i="414"/>
  <c r="J13" i="414"/>
  <c r="J12" i="414"/>
  <c r="J11" i="414"/>
  <c r="J9" i="414"/>
  <c r="F5" i="414"/>
  <c r="C5" i="414"/>
  <c r="A4" i="414"/>
  <c r="A3" i="414"/>
  <c r="F870" i="209"/>
  <c r="G870" i="209" s="1"/>
  <c r="C870" i="209"/>
  <c r="F894" i="209"/>
  <c r="C894" i="209"/>
  <c r="D131" i="208"/>
  <c r="F915" i="209" s="1"/>
  <c r="G915" i="209" s="1"/>
  <c r="D128" i="208"/>
  <c r="G880" i="209"/>
  <c r="F869" i="209"/>
  <c r="G869" i="209" s="1"/>
  <c r="C869" i="209"/>
  <c r="F868" i="209"/>
  <c r="G868" i="209" s="1"/>
  <c r="C868" i="209"/>
  <c r="C867" i="209"/>
  <c r="B865" i="209"/>
  <c r="F9" i="375"/>
  <c r="J9" i="374"/>
  <c r="J8" i="374"/>
  <c r="F851" i="209"/>
  <c r="G851" i="209" s="1"/>
  <c r="C851" i="209"/>
  <c r="F850" i="209"/>
  <c r="G850" i="209" s="1"/>
  <c r="C850" i="209"/>
  <c r="F849" i="209"/>
  <c r="G849" i="209" s="1"/>
  <c r="C849" i="209"/>
  <c r="F848" i="209"/>
  <c r="G848" i="209" s="1"/>
  <c r="C848" i="209"/>
  <c r="F847" i="209"/>
  <c r="G847" i="209" s="1"/>
  <c r="C847" i="209"/>
  <c r="F846" i="209"/>
  <c r="G846" i="209" s="1"/>
  <c r="C846" i="209"/>
  <c r="F845" i="209"/>
  <c r="G845" i="209" s="1"/>
  <c r="C845" i="209"/>
  <c r="J12" i="373"/>
  <c r="J11" i="373"/>
  <c r="J10" i="373"/>
  <c r="J9" i="373"/>
  <c r="J9" i="372"/>
  <c r="J8" i="372"/>
  <c r="F782" i="209"/>
  <c r="G782" i="209" s="1"/>
  <c r="C782" i="209"/>
  <c r="D92" i="208"/>
  <c r="F777" i="209" s="1"/>
  <c r="G777" i="209" s="1"/>
  <c r="F792" i="209"/>
  <c r="G786" i="209"/>
  <c r="F781" i="209"/>
  <c r="G781" i="209" s="1"/>
  <c r="C781" i="209"/>
  <c r="F780" i="209"/>
  <c r="G780" i="209" s="1"/>
  <c r="C780" i="209"/>
  <c r="F779" i="209"/>
  <c r="G779" i="209" s="1"/>
  <c r="C779" i="209"/>
  <c r="F778" i="209"/>
  <c r="G778" i="209" s="1"/>
  <c r="C778" i="209"/>
  <c r="C777" i="209"/>
  <c r="B775" i="209"/>
  <c r="F771" i="209"/>
  <c r="F791" i="209" s="1"/>
  <c r="G765" i="209"/>
  <c r="F760" i="209"/>
  <c r="G760" i="209" s="1"/>
  <c r="C760" i="209"/>
  <c r="F759" i="209"/>
  <c r="G759" i="209" s="1"/>
  <c r="C759" i="209"/>
  <c r="F758" i="209"/>
  <c r="G758" i="209" s="1"/>
  <c r="C758" i="209"/>
  <c r="F757" i="209"/>
  <c r="G757" i="209" s="1"/>
  <c r="C757" i="209"/>
  <c r="F756" i="209"/>
  <c r="G756" i="209" s="1"/>
  <c r="C756" i="209"/>
  <c r="B754" i="209"/>
  <c r="A47" i="413"/>
  <c r="J42" i="413"/>
  <c r="J41" i="413"/>
  <c r="J35" i="413"/>
  <c r="J34" i="413"/>
  <c r="J33" i="413"/>
  <c r="J32" i="413"/>
  <c r="J31" i="413"/>
  <c r="J30" i="413"/>
  <c r="J29" i="413"/>
  <c r="J28" i="413"/>
  <c r="J27" i="413"/>
  <c r="J26" i="413"/>
  <c r="J25" i="413"/>
  <c r="J24" i="413"/>
  <c r="J23" i="413"/>
  <c r="J22" i="413"/>
  <c r="J21" i="413"/>
  <c r="J20" i="413"/>
  <c r="J19" i="413"/>
  <c r="J18" i="413"/>
  <c r="J17" i="413"/>
  <c r="J16" i="413"/>
  <c r="J15" i="413"/>
  <c r="J14" i="413"/>
  <c r="J13" i="413"/>
  <c r="J12" i="413"/>
  <c r="J11" i="413"/>
  <c r="J10" i="413"/>
  <c r="J9" i="413"/>
  <c r="J8" i="413"/>
  <c r="F5" i="413"/>
  <c r="C5" i="413"/>
  <c r="A4" i="413"/>
  <c r="A3" i="413"/>
  <c r="J9" i="412"/>
  <c r="J10" i="412"/>
  <c r="J14" i="412"/>
  <c r="J11" i="412"/>
  <c r="J12" i="412"/>
  <c r="J13" i="412"/>
  <c r="J15" i="412"/>
  <c r="J16" i="412"/>
  <c r="J17" i="412"/>
  <c r="J18" i="412"/>
  <c r="J19" i="412"/>
  <c r="J20" i="412"/>
  <c r="J21" i="412"/>
  <c r="J22" i="412"/>
  <c r="J8" i="412"/>
  <c r="A47" i="412"/>
  <c r="J42" i="412"/>
  <c r="J41" i="412"/>
  <c r="J35" i="412"/>
  <c r="J34" i="412"/>
  <c r="J33" i="412"/>
  <c r="J32" i="412"/>
  <c r="J31" i="412"/>
  <c r="J30" i="412"/>
  <c r="J29" i="412"/>
  <c r="J28" i="412"/>
  <c r="J27" i="412"/>
  <c r="J26" i="412"/>
  <c r="J25" i="412"/>
  <c r="J24" i="412"/>
  <c r="J23" i="412"/>
  <c r="F5" i="412"/>
  <c r="C5" i="412"/>
  <c r="A4" i="412"/>
  <c r="A3" i="412"/>
  <c r="G744" i="209"/>
  <c r="F740" i="209"/>
  <c r="G740" i="209" s="1"/>
  <c r="C740" i="209"/>
  <c r="F739" i="209"/>
  <c r="G739" i="209" s="1"/>
  <c r="C739" i="209"/>
  <c r="F738" i="209"/>
  <c r="G738" i="209" s="1"/>
  <c r="C738" i="209"/>
  <c r="F737" i="209"/>
  <c r="G737" i="209" s="1"/>
  <c r="C737" i="209"/>
  <c r="C736" i="209"/>
  <c r="F735" i="209"/>
  <c r="G735" i="209" s="1"/>
  <c r="C735" i="209"/>
  <c r="B733" i="209"/>
  <c r="E715" i="209"/>
  <c r="A45" i="411"/>
  <c r="J40" i="411"/>
  <c r="J39" i="411"/>
  <c r="J33" i="411"/>
  <c r="J32" i="411"/>
  <c r="J31" i="411"/>
  <c r="J30" i="411"/>
  <c r="J29" i="411"/>
  <c r="J28" i="411"/>
  <c r="J27" i="411"/>
  <c r="J26" i="411"/>
  <c r="J25" i="411"/>
  <c r="J24" i="411"/>
  <c r="J23" i="411"/>
  <c r="J22" i="411"/>
  <c r="J21" i="411"/>
  <c r="J20" i="411"/>
  <c r="J19" i="411"/>
  <c r="J8" i="411"/>
  <c r="J41" i="411" s="1"/>
  <c r="F5" i="411"/>
  <c r="C5" i="411"/>
  <c r="A4" i="411"/>
  <c r="A3" i="411"/>
  <c r="J8" i="410"/>
  <c r="A45" i="410"/>
  <c r="J40" i="410"/>
  <c r="J39" i="410"/>
  <c r="J33" i="410"/>
  <c r="J32" i="410"/>
  <c r="J31" i="410"/>
  <c r="J30" i="410"/>
  <c r="J29" i="410"/>
  <c r="J28" i="410"/>
  <c r="J27" i="410"/>
  <c r="J26" i="410"/>
  <c r="J25" i="410"/>
  <c r="J24" i="410"/>
  <c r="J23" i="410"/>
  <c r="J22" i="410"/>
  <c r="J21" i="410"/>
  <c r="J20" i="410"/>
  <c r="J19" i="410"/>
  <c r="J41" i="410"/>
  <c r="F5" i="410"/>
  <c r="C5" i="410"/>
  <c r="A4" i="410"/>
  <c r="A3" i="410"/>
  <c r="F698" i="209"/>
  <c r="G698" i="209" s="1"/>
  <c r="C698" i="209"/>
  <c r="F681" i="209"/>
  <c r="G681" i="209" s="1"/>
  <c r="C681" i="209"/>
  <c r="F680" i="209"/>
  <c r="G680" i="209" s="1"/>
  <c r="C680" i="209"/>
  <c r="F679" i="209"/>
  <c r="G679" i="209" s="1"/>
  <c r="C679" i="209"/>
  <c r="F678" i="209"/>
  <c r="G678" i="209" s="1"/>
  <c r="C678" i="209"/>
  <c r="F677" i="209"/>
  <c r="G677" i="209" s="1"/>
  <c r="C677" i="209"/>
  <c r="F662" i="209"/>
  <c r="G662" i="209" s="1"/>
  <c r="C662" i="209"/>
  <c r="F661" i="209"/>
  <c r="G661" i="209" s="1"/>
  <c r="C661" i="209"/>
  <c r="F660" i="209"/>
  <c r="G660" i="209" s="1"/>
  <c r="C660" i="209"/>
  <c r="F659" i="209"/>
  <c r="G659" i="209" s="1"/>
  <c r="C659" i="209"/>
  <c r="F657" i="209"/>
  <c r="G657" i="209" s="1"/>
  <c r="C657" i="209"/>
  <c r="F639" i="209"/>
  <c r="F640" i="209"/>
  <c r="F641" i="209"/>
  <c r="C639" i="209"/>
  <c r="C640" i="209"/>
  <c r="C641" i="209"/>
  <c r="A45" i="409"/>
  <c r="J40" i="409"/>
  <c r="J39" i="409"/>
  <c r="J33" i="409"/>
  <c r="J32" i="409"/>
  <c r="J31" i="409"/>
  <c r="J30" i="409"/>
  <c r="J29" i="409"/>
  <c r="J28" i="409"/>
  <c r="J27" i="409"/>
  <c r="J26" i="409"/>
  <c r="J25" i="409"/>
  <c r="J24" i="409"/>
  <c r="J23" i="409"/>
  <c r="J22" i="409"/>
  <c r="J21" i="409"/>
  <c r="J20" i="409"/>
  <c r="J19" i="409"/>
  <c r="J18" i="409"/>
  <c r="J17" i="409"/>
  <c r="J16" i="409"/>
  <c r="J15" i="409"/>
  <c r="J14" i="409"/>
  <c r="J13" i="409"/>
  <c r="J12" i="409"/>
  <c r="J11" i="409"/>
  <c r="J10" i="409"/>
  <c r="J9" i="409"/>
  <c r="J8" i="409"/>
  <c r="F5" i="409"/>
  <c r="C5" i="409"/>
  <c r="A4" i="409"/>
  <c r="A3" i="409"/>
  <c r="C5" i="408"/>
  <c r="A45" i="408"/>
  <c r="J40" i="408"/>
  <c r="J39" i="408"/>
  <c r="J33" i="408"/>
  <c r="J32" i="408"/>
  <c r="J31" i="408"/>
  <c r="J30" i="408"/>
  <c r="J29" i="408"/>
  <c r="J28" i="408"/>
  <c r="J27" i="408"/>
  <c r="J26" i="408"/>
  <c r="J25" i="408"/>
  <c r="J24" i="408"/>
  <c r="J23" i="408"/>
  <c r="J22" i="408"/>
  <c r="J21" i="408"/>
  <c r="J20" i="408"/>
  <c r="J19" i="408"/>
  <c r="J18" i="408"/>
  <c r="J17" i="408"/>
  <c r="J16" i="408"/>
  <c r="J15" i="408"/>
  <c r="J14" i="408"/>
  <c r="J13" i="408"/>
  <c r="J12" i="408"/>
  <c r="J11" i="408"/>
  <c r="J10" i="408"/>
  <c r="J9" i="408"/>
  <c r="J8" i="408"/>
  <c r="F5" i="408"/>
  <c r="A4" i="408"/>
  <c r="A3" i="408"/>
  <c r="J10" i="407"/>
  <c r="J11" i="407"/>
  <c r="J12" i="407"/>
  <c r="J13" i="407"/>
  <c r="J14" i="407"/>
  <c r="J15" i="407"/>
  <c r="J16" i="407"/>
  <c r="J17" i="407"/>
  <c r="J18" i="407"/>
  <c r="J9" i="407"/>
  <c r="J8" i="407"/>
  <c r="C5" i="407"/>
  <c r="F621" i="209"/>
  <c r="C621" i="209"/>
  <c r="F620" i="209"/>
  <c r="C620" i="209"/>
  <c r="C619" i="209"/>
  <c r="F618" i="209"/>
  <c r="G618" i="209" s="1"/>
  <c r="C618" i="209"/>
  <c r="F617" i="209"/>
  <c r="G617" i="209" s="1"/>
  <c r="C617" i="209"/>
  <c r="J8" i="371"/>
  <c r="F616" i="209"/>
  <c r="C616" i="209"/>
  <c r="F18" i="370"/>
  <c r="F17" i="370"/>
  <c r="F16" i="370"/>
  <c r="F14" i="370"/>
  <c r="F12" i="370"/>
  <c r="F11" i="370"/>
  <c r="F10" i="370"/>
  <c r="F9" i="370"/>
  <c r="F600" i="209"/>
  <c r="G600" i="209" s="1"/>
  <c r="C600" i="209"/>
  <c r="F599" i="209"/>
  <c r="G599" i="209" s="1"/>
  <c r="C599" i="209"/>
  <c r="F598" i="209"/>
  <c r="G598" i="209" s="1"/>
  <c r="C598" i="209"/>
  <c r="G585" i="209"/>
  <c r="F581" i="209"/>
  <c r="G581" i="209" s="1"/>
  <c r="C581" i="209"/>
  <c r="F562" i="209"/>
  <c r="G562" i="209" s="1"/>
  <c r="C562" i="209"/>
  <c r="F580" i="209"/>
  <c r="C580" i="209"/>
  <c r="F543" i="209"/>
  <c r="G543" i="209" s="1"/>
  <c r="C543" i="209"/>
  <c r="F522" i="209"/>
  <c r="F523" i="209"/>
  <c r="G523" i="209" s="1"/>
  <c r="C523" i="209"/>
  <c r="F502" i="209"/>
  <c r="G502" i="209" s="1"/>
  <c r="C502" i="209"/>
  <c r="F481" i="209"/>
  <c r="G481" i="209" s="1"/>
  <c r="C481" i="209"/>
  <c r="F460" i="209"/>
  <c r="G460" i="209" s="1"/>
  <c r="C460" i="209"/>
  <c r="A45" i="407"/>
  <c r="J40" i="407"/>
  <c r="J39" i="407"/>
  <c r="J33" i="407"/>
  <c r="J32" i="407"/>
  <c r="J31" i="407"/>
  <c r="J30" i="407"/>
  <c r="J29" i="407"/>
  <c r="J28" i="407"/>
  <c r="J27" i="407"/>
  <c r="J26" i="407"/>
  <c r="J25" i="407"/>
  <c r="J24" i="407"/>
  <c r="J23" i="407"/>
  <c r="J22" i="407"/>
  <c r="J21" i="407"/>
  <c r="J20" i="407"/>
  <c r="J19" i="407"/>
  <c r="F5" i="407"/>
  <c r="A4" i="407"/>
  <c r="A3" i="407"/>
  <c r="G1350" i="209"/>
  <c r="G1346" i="209"/>
  <c r="G1345" i="209"/>
  <c r="G1344" i="209"/>
  <c r="C1338" i="209"/>
  <c r="F1418" i="209"/>
  <c r="G1418" i="209" s="1"/>
  <c r="C1418" i="209"/>
  <c r="F15" i="406"/>
  <c r="F14" i="406"/>
  <c r="F13" i="406"/>
  <c r="F12" i="406"/>
  <c r="J12" i="406" s="1"/>
  <c r="F10" i="406"/>
  <c r="J10" i="406" s="1"/>
  <c r="F11" i="406"/>
  <c r="J11" i="406" s="1"/>
  <c r="F9" i="406"/>
  <c r="F8" i="406"/>
  <c r="J8" i="406" s="1"/>
  <c r="A51" i="406"/>
  <c r="J45" i="406"/>
  <c r="J44" i="406"/>
  <c r="J38" i="406"/>
  <c r="J37" i="406"/>
  <c r="J36" i="406"/>
  <c r="J35" i="406"/>
  <c r="J34" i="406"/>
  <c r="J33" i="406"/>
  <c r="J32" i="406"/>
  <c r="J31" i="406"/>
  <c r="J30" i="406"/>
  <c r="J29" i="406"/>
  <c r="J28" i="406"/>
  <c r="J27" i="406"/>
  <c r="J26" i="406"/>
  <c r="J25" i="406"/>
  <c r="J24" i="406"/>
  <c r="J23" i="406"/>
  <c r="J22" i="406"/>
  <c r="J21" i="406"/>
  <c r="J20" i="406"/>
  <c r="J19" i="406"/>
  <c r="J18" i="406"/>
  <c r="J17" i="406"/>
  <c r="J16" i="406"/>
  <c r="J15" i="406"/>
  <c r="J14" i="406"/>
  <c r="J13" i="406"/>
  <c r="J9" i="406"/>
  <c r="B5" i="406"/>
  <c r="C5" i="406" s="1"/>
  <c r="A4" i="406"/>
  <c r="A3" i="406"/>
  <c r="E437" i="209"/>
  <c r="F439" i="209"/>
  <c r="G439" i="209" s="1"/>
  <c r="C439" i="209"/>
  <c r="F381" i="209"/>
  <c r="G381" i="209" s="1"/>
  <c r="C381" i="209"/>
  <c r="F400" i="209"/>
  <c r="G400" i="209" s="1"/>
  <c r="C400" i="209"/>
  <c r="G443" i="209"/>
  <c r="C438" i="209"/>
  <c r="F437" i="209"/>
  <c r="C437" i="209"/>
  <c r="C436" i="209"/>
  <c r="C435" i="209"/>
  <c r="B433" i="209"/>
  <c r="H11" i="358"/>
  <c r="F10" i="359"/>
  <c r="H11" i="360"/>
  <c r="H12" i="360"/>
  <c r="E415" i="209"/>
  <c r="F8" i="359"/>
  <c r="F9" i="359"/>
  <c r="F11" i="359"/>
  <c r="F385" i="209"/>
  <c r="F404" i="209"/>
  <c r="C379" i="209"/>
  <c r="J43" i="410" l="1"/>
  <c r="E55" i="1"/>
  <c r="D57" i="396" s="1"/>
  <c r="J43" i="411"/>
  <c r="E56" i="1"/>
  <c r="D58" i="396" s="1"/>
  <c r="J49" i="416"/>
  <c r="E69" i="1"/>
  <c r="D71" i="396" s="1"/>
  <c r="J49" i="417"/>
  <c r="E70" i="1"/>
  <c r="D72" i="396" s="1"/>
  <c r="J47" i="419"/>
  <c r="E78" i="1"/>
  <c r="D80" i="396" s="1"/>
  <c r="L34" i="210"/>
  <c r="J47" i="428"/>
  <c r="J47" i="427"/>
  <c r="J47" i="426"/>
  <c r="J47" i="425"/>
  <c r="J47" i="424"/>
  <c r="J47" i="423"/>
  <c r="J47" i="422"/>
  <c r="J45" i="421"/>
  <c r="J45" i="420"/>
  <c r="E74" i="1"/>
  <c r="D76" i="396" s="1"/>
  <c r="F867" i="209"/>
  <c r="G867" i="209" s="1"/>
  <c r="J47" i="415"/>
  <c r="J47" i="414"/>
  <c r="J43" i="413"/>
  <c r="J43" i="412"/>
  <c r="J41" i="409"/>
  <c r="J41" i="408"/>
  <c r="J41" i="407"/>
  <c r="F5" i="406"/>
  <c r="J47" i="406"/>
  <c r="G437" i="209"/>
  <c r="B5" i="404"/>
  <c r="F5" i="404" s="1"/>
  <c r="A57" i="404"/>
  <c r="J52" i="404"/>
  <c r="J22" i="404"/>
  <c r="J21" i="404"/>
  <c r="J20" i="404"/>
  <c r="J19" i="404"/>
  <c r="J18" i="404"/>
  <c r="J17" i="404"/>
  <c r="J16" i="404"/>
  <c r="J15" i="404"/>
  <c r="J14" i="404"/>
  <c r="J13" i="404"/>
  <c r="J12" i="404"/>
  <c r="J11" i="404"/>
  <c r="J10" i="404"/>
  <c r="J9" i="404"/>
  <c r="J8" i="404"/>
  <c r="J53" i="404" s="1"/>
  <c r="A4" i="404"/>
  <c r="A3" i="404"/>
  <c r="F343" i="209"/>
  <c r="G343" i="209" s="1"/>
  <c r="C343" i="209"/>
  <c r="G348" i="209"/>
  <c r="G344" i="209"/>
  <c r="F342" i="209"/>
  <c r="G342" i="209" s="1"/>
  <c r="C342" i="209"/>
  <c r="B340" i="209"/>
  <c r="J22" i="393"/>
  <c r="J21" i="393"/>
  <c r="J20" i="393"/>
  <c r="J19" i="393"/>
  <c r="J18" i="393"/>
  <c r="J17" i="393"/>
  <c r="J16" i="393"/>
  <c r="J15" i="393"/>
  <c r="J14" i="393"/>
  <c r="J13" i="393"/>
  <c r="J12" i="393"/>
  <c r="J11" i="393"/>
  <c r="J10" i="393"/>
  <c r="J9" i="393"/>
  <c r="J8" i="393"/>
  <c r="J9" i="391"/>
  <c r="J10" i="391"/>
  <c r="J11" i="391"/>
  <c r="J12" i="391"/>
  <c r="J13" i="391"/>
  <c r="J14" i="391"/>
  <c r="J15" i="391"/>
  <c r="J16" i="391"/>
  <c r="J17" i="391"/>
  <c r="J18" i="391"/>
  <c r="J19" i="391"/>
  <c r="J20" i="391"/>
  <c r="J21" i="391"/>
  <c r="J22" i="391"/>
  <c r="J8" i="391"/>
  <c r="G313" i="209"/>
  <c r="E324" i="209"/>
  <c r="J22" i="356"/>
  <c r="J21" i="356"/>
  <c r="J20" i="356"/>
  <c r="J19" i="356"/>
  <c r="J18" i="356"/>
  <c r="J17" i="356"/>
  <c r="J16" i="356"/>
  <c r="J15" i="356"/>
  <c r="J14" i="356"/>
  <c r="J13" i="356"/>
  <c r="J12" i="356"/>
  <c r="J11" i="356"/>
  <c r="J10" i="356"/>
  <c r="J9" i="356"/>
  <c r="J8" i="356"/>
  <c r="G298" i="209"/>
  <c r="G1435" i="209"/>
  <c r="D51" i="208"/>
  <c r="H10" i="355"/>
  <c r="H11" i="355"/>
  <c r="H12" i="355"/>
  <c r="H13" i="355"/>
  <c r="H14" i="355"/>
  <c r="H15" i="355"/>
  <c r="H16" i="355"/>
  <c r="H17" i="355"/>
  <c r="H18" i="355"/>
  <c r="H19" i="355"/>
  <c r="H20" i="355"/>
  <c r="H21" i="355"/>
  <c r="H22" i="355"/>
  <c r="H9" i="355"/>
  <c r="H8" i="355"/>
  <c r="I27" i="395"/>
  <c r="F26" i="395"/>
  <c r="F24" i="395"/>
  <c r="I23" i="395"/>
  <c r="F23" i="395"/>
  <c r="F22" i="395"/>
  <c r="I19" i="395"/>
  <c r="F20" i="395"/>
  <c r="I13" i="395"/>
  <c r="I17" i="395"/>
  <c r="F18" i="395"/>
  <c r="F16" i="395"/>
  <c r="F14" i="395"/>
  <c r="F12" i="395"/>
  <c r="F11" i="395"/>
  <c r="F10" i="395"/>
  <c r="F9" i="395"/>
  <c r="J55" i="404" l="1"/>
  <c r="E35" i="1"/>
  <c r="D37" i="396" s="1"/>
  <c r="J49" i="406"/>
  <c r="E41" i="1"/>
  <c r="D43" i="396" s="1"/>
  <c r="J43" i="407"/>
  <c r="E52" i="1"/>
  <c r="D54" i="396" s="1"/>
  <c r="J43" i="408"/>
  <c r="E53" i="1"/>
  <c r="D55" i="396" s="1"/>
  <c r="J43" i="409"/>
  <c r="E54" i="1"/>
  <c r="D56" i="396" s="1"/>
  <c r="J45" i="412"/>
  <c r="E57" i="1"/>
  <c r="D59" i="396" s="1"/>
  <c r="J45" i="413"/>
  <c r="E59" i="1"/>
  <c r="D61" i="396" s="1"/>
  <c r="J49" i="414"/>
  <c r="E66" i="1"/>
  <c r="D68" i="396" s="1"/>
  <c r="J49" i="415"/>
  <c r="E68" i="1"/>
  <c r="D70" i="396" s="1"/>
  <c r="J47" i="420"/>
  <c r="E75" i="1"/>
  <c r="D77" i="396" s="1"/>
  <c r="J47" i="421"/>
  <c r="E76" i="1"/>
  <c r="D78" i="396" s="1"/>
  <c r="J49" i="422"/>
  <c r="E85" i="1"/>
  <c r="D87" i="396" s="1"/>
  <c r="J49" i="423"/>
  <c r="E86" i="1"/>
  <c r="D88" i="396" s="1"/>
  <c r="J49" i="424"/>
  <c r="E87" i="1"/>
  <c r="D89" i="396" s="1"/>
  <c r="J49" i="425"/>
  <c r="E95" i="1"/>
  <c r="D97" i="396" s="1"/>
  <c r="J49" i="426"/>
  <c r="E90" i="1"/>
  <c r="D92" i="396" s="1"/>
  <c r="J49" i="427"/>
  <c r="E91" i="1"/>
  <c r="D93" i="396" s="1"/>
  <c r="J49" i="428"/>
  <c r="E92" i="1"/>
  <c r="D94" i="396" s="1"/>
  <c r="M46" i="414"/>
  <c r="C5" i="404"/>
  <c r="F8" i="395"/>
  <c r="J8" i="395"/>
  <c r="J9" i="395"/>
  <c r="J10" i="395"/>
  <c r="J11" i="395"/>
  <c r="J12" i="395"/>
  <c r="J13" i="395"/>
  <c r="J14" i="395"/>
  <c r="J15" i="395"/>
  <c r="J16" i="395"/>
  <c r="J17" i="395"/>
  <c r="F225" i="209"/>
  <c r="G225" i="209" s="1"/>
  <c r="E10" i="351"/>
  <c r="J10" i="351" s="1"/>
  <c r="J8" i="351"/>
  <c r="F206" i="209"/>
  <c r="G206" i="209" s="1"/>
  <c r="J17" i="355"/>
  <c r="J18" i="355"/>
  <c r="J19" i="355"/>
  <c r="J20" i="355"/>
  <c r="J21" i="355"/>
  <c r="J22" i="355"/>
  <c r="J9" i="355"/>
  <c r="J10" i="355"/>
  <c r="J12" i="355"/>
  <c r="J15" i="355"/>
  <c r="J16" i="355"/>
  <c r="J8" i="355"/>
  <c r="J11" i="355"/>
  <c r="J13" i="355"/>
  <c r="J14" i="355"/>
  <c r="J23" i="355"/>
  <c r="J24" i="355"/>
  <c r="J25" i="355"/>
  <c r="J26" i="355"/>
  <c r="J27" i="355"/>
  <c r="E181" i="209"/>
  <c r="F184" i="209"/>
  <c r="G184" i="209" s="1"/>
  <c r="F185" i="209"/>
  <c r="G185" i="209" s="1"/>
  <c r="F186" i="209"/>
  <c r="G186" i="209" s="1"/>
  <c r="F183" i="209"/>
  <c r="G183" i="209" s="1"/>
  <c r="F188" i="209"/>
  <c r="G188" i="209" s="1"/>
  <c r="F187" i="209"/>
  <c r="G187" i="209" s="1"/>
  <c r="F165" i="209"/>
  <c r="G165" i="209" s="1"/>
  <c r="D345" i="208"/>
  <c r="D194" i="208"/>
  <c r="F379" i="209" s="1"/>
  <c r="G379" i="209" s="1"/>
  <c r="D193" i="208"/>
  <c r="F438" i="209" s="1"/>
  <c r="G438" i="209" s="1"/>
  <c r="D192" i="208"/>
  <c r="F436" i="209" s="1"/>
  <c r="G436" i="209" s="1"/>
  <c r="D85" i="208"/>
  <c r="D71" i="208"/>
  <c r="D61" i="208"/>
  <c r="D44" i="208"/>
  <c r="D47" i="208" s="1"/>
  <c r="E162" i="209"/>
  <c r="F164" i="209"/>
  <c r="G164" i="209" s="1"/>
  <c r="F147" i="209"/>
  <c r="G147" i="209" s="1"/>
  <c r="F146" i="209"/>
  <c r="G146" i="209" s="1"/>
  <c r="C146" i="209"/>
  <c r="F619" i="209" l="1"/>
  <c r="G619" i="209" s="1"/>
  <c r="F736" i="209"/>
  <c r="G736" i="209" s="1"/>
  <c r="E127" i="209"/>
  <c r="F129" i="209"/>
  <c r="G129" i="209" s="1"/>
  <c r="J8" i="361"/>
  <c r="J11" i="362"/>
  <c r="F10" i="362"/>
  <c r="J10" i="362" s="1"/>
  <c r="F9" i="362"/>
  <c r="J9" i="362" s="1"/>
  <c r="F8" i="362"/>
  <c r="J8" i="362" s="1"/>
  <c r="F10" i="352"/>
  <c r="J10" i="352" s="1"/>
  <c r="F9" i="352"/>
  <c r="J9" i="352" s="1"/>
  <c r="F8" i="352"/>
  <c r="J8" i="352" s="1"/>
  <c r="F109" i="209" l="1"/>
  <c r="G109" i="209" s="1"/>
  <c r="F111" i="209"/>
  <c r="G111" i="209" s="1"/>
  <c r="D9" i="403"/>
  <c r="E55" i="403" s="1"/>
  <c r="F55" i="403" s="1"/>
  <c r="D5" i="403"/>
  <c r="E52" i="403" s="1"/>
  <c r="F52" i="403" s="1"/>
  <c r="D8" i="403"/>
  <c r="E54" i="403" s="1"/>
  <c r="F54" i="403" s="1"/>
  <c r="D11" i="403"/>
  <c r="E31" i="403" s="1"/>
  <c r="F31" i="403" s="1"/>
  <c r="D7" i="403"/>
  <c r="E37" i="403" s="1"/>
  <c r="F37" i="403" s="1"/>
  <c r="D6" i="403"/>
  <c r="E23" i="403" s="1"/>
  <c r="J9" i="351"/>
  <c r="F11" i="350"/>
  <c r="J11" i="350" s="1"/>
  <c r="F10" i="350"/>
  <c r="J10" i="350" s="1"/>
  <c r="F9" i="350"/>
  <c r="J9" i="350" s="1"/>
  <c r="E16" i="403" l="1"/>
  <c r="F16" i="403" s="1"/>
  <c r="E15" i="403"/>
  <c r="F15" i="403" s="1"/>
  <c r="E17" i="403"/>
  <c r="F17" i="403" s="1"/>
  <c r="E85" i="403"/>
  <c r="F85" i="403" s="1"/>
  <c r="E95" i="403"/>
  <c r="F95" i="403" s="1"/>
  <c r="E75" i="403"/>
  <c r="F75" i="403" s="1"/>
  <c r="E65" i="403"/>
  <c r="F65" i="403" s="1"/>
  <c r="E46" i="403"/>
  <c r="F46" i="403" s="1"/>
  <c r="E93" i="403"/>
  <c r="F93" i="403" s="1"/>
  <c r="E83" i="403"/>
  <c r="F83" i="403" s="1"/>
  <c r="E73" i="403"/>
  <c r="F73" i="403" s="1"/>
  <c r="E63" i="403"/>
  <c r="F63" i="403" s="1"/>
  <c r="E53" i="403"/>
  <c r="F53" i="403" s="1"/>
  <c r="E84" i="403"/>
  <c r="F84" i="403" s="1"/>
  <c r="E94" i="403"/>
  <c r="F94" i="403" s="1"/>
  <c r="E44" i="403"/>
  <c r="F44" i="403" s="1"/>
  <c r="E64" i="403"/>
  <c r="F64" i="403" s="1"/>
  <c r="E74" i="403"/>
  <c r="F74" i="403" s="1"/>
  <c r="E45" i="403"/>
  <c r="F45" i="403" s="1"/>
  <c r="E96" i="403"/>
  <c r="F96" i="403" s="1"/>
  <c r="E30" i="403"/>
  <c r="F30" i="403" s="1"/>
  <c r="E86" i="403"/>
  <c r="F86" i="403" s="1"/>
  <c r="E76" i="403"/>
  <c r="F76" i="403" s="1"/>
  <c r="E66" i="403"/>
  <c r="F66" i="403" s="1"/>
  <c r="E56" i="403"/>
  <c r="F56" i="403" s="1"/>
  <c r="E24" i="403"/>
  <c r="F24" i="403" s="1"/>
  <c r="F23" i="403"/>
  <c r="E92" i="403"/>
  <c r="F92" i="403" s="1"/>
  <c r="E38" i="403"/>
  <c r="F38" i="403" s="1"/>
  <c r="E47" i="403"/>
  <c r="F47" i="403" s="1"/>
  <c r="E82" i="403"/>
  <c r="F82" i="403" s="1"/>
  <c r="E72" i="403"/>
  <c r="F72" i="403" s="1"/>
  <c r="E62" i="403"/>
  <c r="F62" i="403" s="1"/>
  <c r="E22" i="403"/>
  <c r="F22" i="403" s="1"/>
  <c r="E29" i="403"/>
  <c r="F29" i="403" s="1"/>
  <c r="E36" i="403"/>
  <c r="F36" i="403" s="1"/>
  <c r="E43" i="403"/>
  <c r="F43" i="403" s="1"/>
  <c r="F11" i="349"/>
  <c r="F10" i="349"/>
  <c r="F9" i="349"/>
  <c r="F11" i="348"/>
  <c r="F10" i="348"/>
  <c r="J10" i="348" s="1"/>
  <c r="J11" i="348"/>
  <c r="J12" i="348"/>
  <c r="J13" i="348"/>
  <c r="J14" i="348"/>
  <c r="J15" i="348"/>
  <c r="J16" i="348"/>
  <c r="J17" i="348"/>
  <c r="J18" i="348"/>
  <c r="J19" i="348"/>
  <c r="F9" i="348"/>
  <c r="J9" i="348" s="1"/>
  <c r="J8" i="348"/>
  <c r="B11" i="396"/>
  <c r="E60" i="209"/>
  <c r="F18" i="403" l="1"/>
  <c r="E107" i="403" s="1"/>
  <c r="D7" i="208" s="1"/>
  <c r="F67" i="403"/>
  <c r="E104" i="403" s="1"/>
  <c r="D4" i="208" s="1"/>
  <c r="F57" i="403"/>
  <c r="E105" i="403" s="1"/>
  <c r="D5" i="208" s="1"/>
  <c r="F97" i="403"/>
  <c r="E101" i="403" s="1"/>
  <c r="F77" i="403"/>
  <c r="E103" i="403" s="1"/>
  <c r="D3" i="208" s="1"/>
  <c r="F32" i="403"/>
  <c r="E109" i="403" s="1"/>
  <c r="D9" i="208" s="1"/>
  <c r="F87" i="403"/>
  <c r="E102" i="403" s="1"/>
  <c r="D2" i="208" s="1"/>
  <c r="F25" i="403"/>
  <c r="E108" i="403" s="1"/>
  <c r="D8" i="208" s="1"/>
  <c r="F435" i="209" s="1"/>
  <c r="G435" i="209" s="1"/>
  <c r="F39" i="403"/>
  <c r="E110" i="403" s="1"/>
  <c r="D10" i="208" s="1"/>
  <c r="F48" i="403"/>
  <c r="E106" i="403" s="1"/>
  <c r="D6" i="208" s="1"/>
  <c r="F26" i="209"/>
  <c r="H20" i="397"/>
  <c r="F6" i="402"/>
  <c r="F7" i="402"/>
  <c r="F8" i="402"/>
  <c r="F9" i="402"/>
  <c r="F10" i="402"/>
  <c r="F11" i="402"/>
  <c r="F12" i="402"/>
  <c r="F13" i="402"/>
  <c r="F14" i="402"/>
  <c r="F15" i="402"/>
  <c r="F16" i="402"/>
  <c r="F17" i="402"/>
  <c r="F18" i="402"/>
  <c r="F19" i="402"/>
  <c r="F20" i="402"/>
  <c r="F21" i="402"/>
  <c r="F22" i="402"/>
  <c r="F23" i="402"/>
  <c r="F4" i="402"/>
  <c r="I21" i="210"/>
  <c r="I20" i="210"/>
  <c r="H14" i="398"/>
  <c r="H13" i="398"/>
  <c r="H10" i="398"/>
  <c r="H22" i="398"/>
  <c r="E29" i="398"/>
  <c r="E23" i="398"/>
  <c r="D61" i="389"/>
  <c r="F90" i="209" l="1"/>
  <c r="F1338" i="209"/>
  <c r="G1338" i="209" s="1"/>
  <c r="F24" i="402"/>
  <c r="G102" i="1" s="1"/>
  <c r="E27" i="398"/>
  <c r="P7" i="400"/>
  <c r="P8" i="400"/>
  <c r="P9" i="400"/>
  <c r="P10" i="400"/>
  <c r="P11" i="400"/>
  <c r="P12" i="400"/>
  <c r="P13" i="400"/>
  <c r="P14" i="400"/>
  <c r="P15" i="400"/>
  <c r="P16" i="400"/>
  <c r="P17" i="400"/>
  <c r="P18" i="400"/>
  <c r="P19" i="400"/>
  <c r="P20" i="400"/>
  <c r="P21" i="400"/>
  <c r="P22" i="400"/>
  <c r="P23" i="400"/>
  <c r="P24" i="400"/>
  <c r="P25" i="400"/>
  <c r="P26" i="400"/>
  <c r="P27" i="400"/>
  <c r="P28" i="400"/>
  <c r="P29" i="400"/>
  <c r="P6" i="400"/>
  <c r="F6" i="400"/>
  <c r="H6" i="400" s="1"/>
  <c r="I6" i="400" s="1"/>
  <c r="G6" i="400"/>
  <c r="F22" i="400"/>
  <c r="G22" i="400" s="1"/>
  <c r="F23" i="400"/>
  <c r="H23" i="400" s="1"/>
  <c r="I23" i="400" s="1"/>
  <c r="F24" i="400"/>
  <c r="H24" i="400" s="1"/>
  <c r="I24" i="400" s="1"/>
  <c r="F25" i="400"/>
  <c r="G25" i="400" s="1"/>
  <c r="F26" i="400"/>
  <c r="G26" i="400" s="1"/>
  <c r="F27" i="400"/>
  <c r="H27" i="400" s="1"/>
  <c r="I27" i="400" s="1"/>
  <c r="F28" i="400"/>
  <c r="H28" i="400" s="1"/>
  <c r="I28" i="400" s="1"/>
  <c r="F29" i="400"/>
  <c r="G29" i="400" s="1"/>
  <c r="F21" i="400"/>
  <c r="G21" i="400" s="1"/>
  <c r="F15" i="400"/>
  <c r="G15" i="400" s="1"/>
  <c r="F16" i="400"/>
  <c r="H16" i="400" s="1"/>
  <c r="I16" i="400" s="1"/>
  <c r="F17" i="400"/>
  <c r="H17" i="400" s="1"/>
  <c r="I17" i="400" s="1"/>
  <c r="F18" i="400"/>
  <c r="F19" i="400"/>
  <c r="G19" i="400" s="1"/>
  <c r="F14" i="400"/>
  <c r="H14" i="400" s="1"/>
  <c r="I14" i="400" s="1"/>
  <c r="F7" i="400"/>
  <c r="G7" i="400" s="1"/>
  <c r="F8" i="400"/>
  <c r="G8" i="400" s="1"/>
  <c r="F9" i="400"/>
  <c r="H9" i="400" s="1"/>
  <c r="I9" i="400" s="1"/>
  <c r="K9" i="400" s="1"/>
  <c r="F10" i="400"/>
  <c r="H10" i="400" s="1"/>
  <c r="I10" i="400" s="1"/>
  <c r="K10" i="400" s="1"/>
  <c r="F11" i="400"/>
  <c r="H11" i="400" s="1"/>
  <c r="I11" i="400" s="1"/>
  <c r="F12" i="400"/>
  <c r="H12" i="400" s="1"/>
  <c r="I12" i="400" s="1"/>
  <c r="H18" i="400" l="1"/>
  <c r="I18" i="400" s="1"/>
  <c r="G18" i="400"/>
  <c r="E32" i="398"/>
  <c r="I5" i="398" s="1"/>
  <c r="J5" i="398" s="1"/>
  <c r="G10" i="397" s="1"/>
  <c r="E30" i="398"/>
  <c r="E33" i="398" s="1"/>
  <c r="I7" i="398" s="1"/>
  <c r="J7" i="398" s="1"/>
  <c r="I9" i="398"/>
  <c r="J9" i="398" s="1"/>
  <c r="K9" i="398" s="1"/>
  <c r="I13" i="398"/>
  <c r="J13" i="398" s="1"/>
  <c r="K13" i="398" s="1"/>
  <c r="L13" i="398" s="1"/>
  <c r="I6" i="398"/>
  <c r="J6" i="398" s="1"/>
  <c r="I12" i="398"/>
  <c r="J12" i="398" s="1"/>
  <c r="K12" i="398" s="1"/>
  <c r="I14" i="398"/>
  <c r="J14" i="398" s="1"/>
  <c r="K14" i="398" s="1"/>
  <c r="L14" i="398" s="1"/>
  <c r="I10" i="398"/>
  <c r="J10" i="398" s="1"/>
  <c r="K10" i="398" s="1"/>
  <c r="I11" i="398"/>
  <c r="J11" i="398" s="1"/>
  <c r="K11" i="398" s="1"/>
  <c r="I8" i="398"/>
  <c r="J8" i="398" s="1"/>
  <c r="K8" i="398" s="1"/>
  <c r="L8" i="398" s="1"/>
  <c r="I4" i="398"/>
  <c r="J4" i="398" s="1"/>
  <c r="G17" i="400"/>
  <c r="H8" i="400"/>
  <c r="I8" i="400" s="1"/>
  <c r="K8" i="400" s="1"/>
  <c r="G16" i="400"/>
  <c r="H15" i="400"/>
  <c r="I15" i="400" s="1"/>
  <c r="J15" i="400" s="1"/>
  <c r="G24" i="400"/>
  <c r="H26" i="400"/>
  <c r="I26" i="400" s="1"/>
  <c r="F30" i="400"/>
  <c r="G12" i="400"/>
  <c r="G23" i="400"/>
  <c r="H25" i="400"/>
  <c r="I25" i="400" s="1"/>
  <c r="K25" i="400" s="1"/>
  <c r="G11" i="400"/>
  <c r="G9" i="400"/>
  <c r="K11" i="400"/>
  <c r="J11" i="400"/>
  <c r="H19" i="400"/>
  <c r="I19" i="400" s="1"/>
  <c r="G10" i="400"/>
  <c r="G28" i="400"/>
  <c r="H22" i="400"/>
  <c r="I22" i="400" s="1"/>
  <c r="J22" i="400" s="1"/>
  <c r="G27" i="400"/>
  <c r="G14" i="400"/>
  <c r="H21" i="400"/>
  <c r="I21" i="400" s="1"/>
  <c r="K21" i="400" s="1"/>
  <c r="P30" i="400"/>
  <c r="J18" i="400"/>
  <c r="K18" i="400"/>
  <c r="K24" i="400"/>
  <c r="J24" i="400"/>
  <c r="K6" i="400"/>
  <c r="J6" i="400"/>
  <c r="J12" i="400"/>
  <c r="K12" i="400"/>
  <c r="J16" i="400"/>
  <c r="K16" i="400"/>
  <c r="K15" i="400"/>
  <c r="J17" i="400"/>
  <c r="K17" i="400"/>
  <c r="K27" i="400"/>
  <c r="J27" i="400"/>
  <c r="J26" i="400"/>
  <c r="K26" i="400"/>
  <c r="J23" i="400"/>
  <c r="K23" i="400"/>
  <c r="J14" i="400"/>
  <c r="K14" i="400"/>
  <c r="K28" i="400"/>
  <c r="J28" i="400"/>
  <c r="J19" i="400"/>
  <c r="K19" i="400"/>
  <c r="J10" i="400"/>
  <c r="H7" i="400"/>
  <c r="I7" i="400" s="1"/>
  <c r="H29" i="400"/>
  <c r="I29" i="400" s="1"/>
  <c r="J9" i="400"/>
  <c r="J8" i="400"/>
  <c r="K4" i="398" l="1"/>
  <c r="L4" i="398" s="1"/>
  <c r="G9" i="397"/>
  <c r="G14" i="210"/>
  <c r="L11" i="398"/>
  <c r="F1367" i="209"/>
  <c r="G1367" i="209" s="1"/>
  <c r="F1371" i="209" s="1"/>
  <c r="G1371" i="209" s="1"/>
  <c r="G1372" i="209" s="1"/>
  <c r="F90" i="1" s="1"/>
  <c r="F296" i="209"/>
  <c r="L10" i="398"/>
  <c r="F1421" i="209"/>
  <c r="F60" i="209"/>
  <c r="F41" i="209"/>
  <c r="L12" i="398"/>
  <c r="F7" i="209"/>
  <c r="F11" i="209" s="1"/>
  <c r="G11" i="209" s="1"/>
  <c r="G21" i="397"/>
  <c r="H21" i="397" s="1"/>
  <c r="K6" i="398"/>
  <c r="L6" i="398" s="1"/>
  <c r="G11" i="397"/>
  <c r="H11" i="397" s="1"/>
  <c r="G16" i="210"/>
  <c r="L9" i="398"/>
  <c r="F1386" i="209"/>
  <c r="F1440" i="209"/>
  <c r="G1440" i="209" s="1"/>
  <c r="F1348" i="209"/>
  <c r="G1348" i="209" s="1"/>
  <c r="F1111" i="209"/>
  <c r="F1174" i="209"/>
  <c r="F1197" i="209" s="1"/>
  <c r="F1220" i="209" s="1"/>
  <c r="F1151" i="209"/>
  <c r="F1046" i="209"/>
  <c r="F1069" i="209" s="1"/>
  <c r="F1092" i="209" s="1"/>
  <c r="G1092" i="209" s="1"/>
  <c r="F784" i="209"/>
  <c r="G784" i="209" s="1"/>
  <c r="F763" i="209"/>
  <c r="G763" i="209" s="1"/>
  <c r="F722" i="209"/>
  <c r="F441" i="209"/>
  <c r="G441" i="209" s="1"/>
  <c r="F402" i="209"/>
  <c r="F383" i="209"/>
  <c r="F422" i="209"/>
  <c r="G422" i="209" s="1"/>
  <c r="F426" i="209" s="1"/>
  <c r="F346" i="209"/>
  <c r="G346" i="209" s="1"/>
  <c r="F364" i="209"/>
  <c r="F311" i="209"/>
  <c r="F329" i="209"/>
  <c r="F280" i="209"/>
  <c r="F264" i="209"/>
  <c r="F247" i="209"/>
  <c r="F230" i="209"/>
  <c r="F209" i="209"/>
  <c r="F191" i="209"/>
  <c r="F168" i="209"/>
  <c r="F149" i="209"/>
  <c r="F131" i="209"/>
  <c r="G131" i="209" s="1"/>
  <c r="F113" i="209"/>
  <c r="K7" i="398"/>
  <c r="L7" i="398" s="1"/>
  <c r="G12" i="397"/>
  <c r="G17" i="210"/>
  <c r="K5" i="398"/>
  <c r="L5" i="398" s="1"/>
  <c r="G15" i="210"/>
  <c r="J25" i="400"/>
  <c r="K22" i="400"/>
  <c r="J21" i="400"/>
  <c r="J7" i="400"/>
  <c r="L7" i="400"/>
  <c r="K7" i="400"/>
  <c r="K29" i="400"/>
  <c r="J29" i="400"/>
  <c r="F350" i="209" l="1"/>
  <c r="G350" i="209" s="1"/>
  <c r="G351" i="209"/>
  <c r="F35" i="1" s="1"/>
  <c r="F445" i="209"/>
  <c r="G445" i="209" s="1"/>
  <c r="G446" i="209"/>
  <c r="F41" i="1" s="1"/>
  <c r="F767" i="209"/>
  <c r="G767" i="209" s="1"/>
  <c r="G768" i="209"/>
  <c r="F788" i="209"/>
  <c r="G788" i="209" s="1"/>
  <c r="G789" i="209"/>
  <c r="F1096" i="209"/>
  <c r="G1096" i="209" s="1"/>
  <c r="G1097" i="209"/>
  <c r="F74" i="1" s="1"/>
  <c r="G1111" i="209"/>
  <c r="F1130" i="209"/>
  <c r="G1130" i="209" s="1"/>
  <c r="F1134" i="209" s="1"/>
  <c r="G1134" i="209" s="1"/>
  <c r="G1135" i="209" s="1"/>
  <c r="F76" i="1" s="1"/>
  <c r="F1352" i="209"/>
  <c r="G1352" i="209" s="1"/>
  <c r="G1353" i="209"/>
  <c r="F88" i="1" s="1"/>
  <c r="F1444" i="209"/>
  <c r="G1444" i="209" s="1"/>
  <c r="G1445" i="209"/>
  <c r="F95" i="1" s="1"/>
  <c r="G1386" i="209"/>
  <c r="F1405" i="209"/>
  <c r="G1405" i="209" s="1"/>
  <c r="F1265" i="209"/>
  <c r="F1288" i="209" s="1"/>
  <c r="F1243" i="209"/>
  <c r="F994" i="209"/>
  <c r="F972" i="209"/>
  <c r="F949" i="209"/>
  <c r="F877" i="209"/>
  <c r="F854" i="209"/>
  <c r="F808" i="209"/>
  <c r="F831" i="209" s="1"/>
  <c r="F742" i="209"/>
  <c r="G742" i="209" s="1"/>
  <c r="F701" i="209"/>
  <c r="F644" i="209"/>
  <c r="F664" i="209" s="1"/>
  <c r="F684" i="209" s="1"/>
  <c r="F623" i="209"/>
  <c r="F545" i="209"/>
  <c r="F463" i="209"/>
  <c r="F484" i="209" s="1"/>
  <c r="F505" i="209" s="1"/>
  <c r="F526" i="209" s="1"/>
  <c r="F564" i="209" s="1"/>
  <c r="F583" i="209" s="1"/>
  <c r="F602" i="209" s="1"/>
  <c r="F77" i="209"/>
  <c r="F878" i="209"/>
  <c r="F24" i="209"/>
  <c r="I5" i="426"/>
  <c r="E92" i="396"/>
  <c r="G90" i="1"/>
  <c r="F92" i="396" s="1"/>
  <c r="N92" i="396" s="1"/>
  <c r="K30" i="400"/>
  <c r="F96" i="1" s="1"/>
  <c r="E98" i="396" s="1"/>
  <c r="G878" i="209" l="1"/>
  <c r="F902" i="209"/>
  <c r="F926" i="209" s="1"/>
  <c r="G926" i="209" s="1"/>
  <c r="F746" i="209"/>
  <c r="G746" i="209" s="1"/>
  <c r="G747" i="209"/>
  <c r="F57" i="1" s="1"/>
  <c r="F901" i="209"/>
  <c r="F925" i="209" s="1"/>
  <c r="G925" i="209" s="1"/>
  <c r="G877" i="209"/>
  <c r="G1288" i="209"/>
  <c r="F1307" i="209"/>
  <c r="F1409" i="209"/>
  <c r="G1409" i="209" s="1"/>
  <c r="G1410" i="209"/>
  <c r="F92" i="1" s="1"/>
  <c r="F1390" i="209"/>
  <c r="G1390" i="209" s="1"/>
  <c r="G1391" i="209"/>
  <c r="F91" i="1" s="1"/>
  <c r="E97" i="396"/>
  <c r="G95" i="1"/>
  <c r="F97" i="396" s="1"/>
  <c r="N97" i="396" s="1"/>
  <c r="I5" i="425"/>
  <c r="G88" i="1"/>
  <c r="F90" i="396" s="1"/>
  <c r="N90" i="396" s="1"/>
  <c r="E90" i="396"/>
  <c r="G76" i="1"/>
  <c r="F78" i="396" s="1"/>
  <c r="E78" i="396"/>
  <c r="F1115" i="209"/>
  <c r="G1115" i="209" s="1"/>
  <c r="G1116" i="209"/>
  <c r="F75" i="1" s="1"/>
  <c r="E76" i="396"/>
  <c r="G74" i="1"/>
  <c r="F76" i="396" s="1"/>
  <c r="G791" i="209"/>
  <c r="F59" i="1"/>
  <c r="G792" i="209"/>
  <c r="F58" i="1"/>
  <c r="G771" i="209"/>
  <c r="G41" i="1"/>
  <c r="F43" i="396" s="1"/>
  <c r="E43" i="396"/>
  <c r="G35" i="1"/>
  <c r="F37" i="396" s="1"/>
  <c r="E37" i="396"/>
  <c r="I5" i="404"/>
  <c r="G96" i="1"/>
  <c r="F98" i="396" s="1"/>
  <c r="N98" i="396" s="1"/>
  <c r="D39" i="210"/>
  <c r="B3" i="210"/>
  <c r="H9" i="397"/>
  <c r="A3" i="396"/>
  <c r="M37" i="396" l="1"/>
  <c r="L37" i="396"/>
  <c r="N43" i="396"/>
  <c r="M43" i="396"/>
  <c r="G58" i="1"/>
  <c r="F60" i="396" s="1"/>
  <c r="E60" i="396"/>
  <c r="E61" i="396"/>
  <c r="G59" i="1"/>
  <c r="F61" i="396" s="1"/>
  <c r="I5" i="413"/>
  <c r="N76" i="396"/>
  <c r="L76" i="396"/>
  <c r="E77" i="396"/>
  <c r="G75" i="1"/>
  <c r="F77" i="396" s="1"/>
  <c r="I5" i="421"/>
  <c r="I5" i="420"/>
  <c r="N78" i="396"/>
  <c r="L78" i="396"/>
  <c r="G91" i="1"/>
  <c r="F93" i="396" s="1"/>
  <c r="N93" i="396" s="1"/>
  <c r="E93" i="396"/>
  <c r="I5" i="427"/>
  <c r="E94" i="396"/>
  <c r="I5" i="428"/>
  <c r="G92" i="1"/>
  <c r="F94" i="396" s="1"/>
  <c r="N94" i="396" s="1"/>
  <c r="G1307" i="209"/>
  <c r="F1311" i="209" s="1"/>
  <c r="G1311" i="209" s="1"/>
  <c r="G1312" i="209" s="1"/>
  <c r="F86" i="1" s="1"/>
  <c r="F1326" i="209"/>
  <c r="G1326" i="209" s="1"/>
  <c r="F1330" i="209" s="1"/>
  <c r="G1330" i="209" s="1"/>
  <c r="G1331" i="209" s="1"/>
  <c r="F87" i="1" s="1"/>
  <c r="F1292" i="209"/>
  <c r="G1292" i="209" s="1"/>
  <c r="G1293" i="209"/>
  <c r="F85" i="1" s="1"/>
  <c r="F882" i="209"/>
  <c r="G882" i="209" s="1"/>
  <c r="G883" i="209"/>
  <c r="F64" i="1" s="1"/>
  <c r="E66" i="396" s="1"/>
  <c r="E59" i="396"/>
  <c r="I5" i="412"/>
  <c r="G57" i="1"/>
  <c r="F59" i="396" s="1"/>
  <c r="F930" i="209"/>
  <c r="G930" i="209" s="1"/>
  <c r="H10" i="397"/>
  <c r="J59" i="396" l="1"/>
  <c r="K59" i="396"/>
  <c r="E87" i="396"/>
  <c r="I5" i="422"/>
  <c r="G85" i="1"/>
  <c r="F87" i="396" s="1"/>
  <c r="N87" i="396" s="1"/>
  <c r="E89" i="396"/>
  <c r="I5" i="424"/>
  <c r="G87" i="1"/>
  <c r="F89" i="396" s="1"/>
  <c r="N89" i="396" s="1"/>
  <c r="E88" i="396"/>
  <c r="G86" i="1"/>
  <c r="F88" i="396" s="1"/>
  <c r="N88" i="396" s="1"/>
  <c r="I5" i="423"/>
  <c r="N77" i="396"/>
  <c r="L77" i="396"/>
  <c r="K61" i="396"/>
  <c r="J61" i="396"/>
  <c r="J60" i="396"/>
  <c r="K60" i="396"/>
  <c r="H12" i="397"/>
  <c r="H15" i="397" l="1"/>
  <c r="H17" i="397" s="1"/>
  <c r="H20" i="430"/>
  <c r="H22" i="430"/>
  <c r="H21" i="430"/>
  <c r="H19" i="430"/>
  <c r="H24" i="397" l="1"/>
  <c r="H137" i="209"/>
  <c r="F32" i="209"/>
  <c r="F49" i="209" s="1"/>
  <c r="F68" i="209" s="1"/>
  <c r="F85" i="209" s="1"/>
  <c r="F101" i="209" s="1"/>
  <c r="F121" i="209" s="1"/>
  <c r="F139" i="209" s="1"/>
  <c r="F157" i="209" s="1"/>
  <c r="F176" i="209" s="1"/>
  <c r="F199" i="209" s="1"/>
  <c r="F217" i="209" s="1"/>
  <c r="F238" i="209" s="1"/>
  <c r="F255" i="209" s="1"/>
  <c r="F272" i="209" s="1"/>
  <c r="F288" i="209" s="1"/>
  <c r="F304" i="209" s="1"/>
  <c r="F319" i="209" s="1"/>
  <c r="F30" i="209"/>
  <c r="F47" i="209" s="1"/>
  <c r="F66" i="209" s="1"/>
  <c r="F83" i="209" s="1"/>
  <c r="F99" i="209" s="1"/>
  <c r="F119" i="209" s="1"/>
  <c r="F137" i="209" s="1"/>
  <c r="F155" i="209" s="1"/>
  <c r="F174" i="209" s="1"/>
  <c r="F197" i="209" s="1"/>
  <c r="F215" i="209" s="1"/>
  <c r="F236" i="209" s="1"/>
  <c r="F253" i="209" s="1"/>
  <c r="F270" i="209" s="1"/>
  <c r="F286" i="209" s="1"/>
  <c r="F302" i="209" s="1"/>
  <c r="F317" i="209" s="1"/>
  <c r="F337" i="209" l="1"/>
  <c r="F372" i="209" s="1"/>
  <c r="F391" i="209" s="1"/>
  <c r="F410" i="209" s="1"/>
  <c r="F430" i="209" s="1"/>
  <c r="F354" i="209"/>
  <c r="G354" i="209" s="1"/>
  <c r="F335" i="209"/>
  <c r="F370" i="209" s="1"/>
  <c r="F389" i="209" s="1"/>
  <c r="F408" i="209" s="1"/>
  <c r="F428" i="209" s="1"/>
  <c r="F352" i="209"/>
  <c r="G352" i="209" s="1"/>
  <c r="I29" i="210"/>
  <c r="E25" i="210"/>
  <c r="F471" i="209" l="1"/>
  <c r="F492" i="209" s="1"/>
  <c r="F513" i="209" s="1"/>
  <c r="F534" i="209" s="1"/>
  <c r="F553" i="209" s="1"/>
  <c r="F572" i="209" s="1"/>
  <c r="F591" i="209" s="1"/>
  <c r="F610" i="209" s="1"/>
  <c r="F631" i="209" s="1"/>
  <c r="F652" i="209" s="1"/>
  <c r="F672" i="209" s="1"/>
  <c r="F692" i="209" s="1"/>
  <c r="F709" i="209" s="1"/>
  <c r="F730" i="209" s="1"/>
  <c r="F449" i="209"/>
  <c r="G449" i="209" s="1"/>
  <c r="F469" i="209"/>
  <c r="F490" i="209" s="1"/>
  <c r="F511" i="209" s="1"/>
  <c r="F532" i="209" s="1"/>
  <c r="F551" i="209" s="1"/>
  <c r="F570" i="209" s="1"/>
  <c r="F589" i="209" s="1"/>
  <c r="F608" i="209" s="1"/>
  <c r="F629" i="209" s="1"/>
  <c r="F650" i="209" s="1"/>
  <c r="F670" i="209" s="1"/>
  <c r="F690" i="209" s="1"/>
  <c r="F707" i="209" s="1"/>
  <c r="F728" i="209" s="1"/>
  <c r="F447" i="209"/>
  <c r="G447" i="209" s="1"/>
  <c r="E27" i="210"/>
  <c r="E26" i="210"/>
  <c r="E28" i="210" s="1"/>
  <c r="I28" i="210" s="1"/>
  <c r="F814" i="209" l="1"/>
  <c r="F837" i="209" s="1"/>
  <c r="F860" i="209" s="1"/>
  <c r="F748" i="209"/>
  <c r="G748" i="209" s="1"/>
  <c r="F816" i="209"/>
  <c r="F839" i="209" s="1"/>
  <c r="F862" i="209" s="1"/>
  <c r="F750" i="209"/>
  <c r="G1423" i="209"/>
  <c r="G1421" i="209"/>
  <c r="F1425" i="209" s="1"/>
  <c r="G1425" i="209" s="1"/>
  <c r="A1254" i="209"/>
  <c r="G1265" i="209"/>
  <c r="F1269" i="209" s="1"/>
  <c r="G1269" i="209" s="1"/>
  <c r="G1263" i="209"/>
  <c r="G1262" i="209"/>
  <c r="G1261" i="209"/>
  <c r="G1257" i="209"/>
  <c r="F1256" i="209"/>
  <c r="G1256" i="209" s="1"/>
  <c r="C1256" i="209"/>
  <c r="F886" i="209" l="1"/>
  <c r="G886" i="209" s="1"/>
  <c r="F908" i="209"/>
  <c r="F932" i="209" s="1"/>
  <c r="F955" i="209" s="1"/>
  <c r="F978" i="209" s="1"/>
  <c r="F1000" i="209" s="1"/>
  <c r="F1006" i="209" s="1"/>
  <c r="F1029" i="209" s="1"/>
  <c r="F1052" i="209" s="1"/>
  <c r="F1075" i="209" s="1"/>
  <c r="F1157" i="209" s="1"/>
  <c r="F1180" i="209" s="1"/>
  <c r="F1203" i="209" s="1"/>
  <c r="F1226" i="209" s="1"/>
  <c r="F1249" i="209" s="1"/>
  <c r="F1271" i="209" s="1"/>
  <c r="F1427" i="209" s="1"/>
  <c r="F884" i="209"/>
  <c r="G884" i="209" s="1"/>
  <c r="F770" i="209"/>
  <c r="G750" i="209"/>
  <c r="G1270" i="209"/>
  <c r="F84" i="1" s="1"/>
  <c r="E86" i="396" s="1"/>
  <c r="B1254" i="209"/>
  <c r="A1231" i="209"/>
  <c r="B1231" i="209" s="1"/>
  <c r="F1247" i="209"/>
  <c r="G1247" i="209" s="1"/>
  <c r="G1245" i="209"/>
  <c r="G1243" i="209"/>
  <c r="G1241" i="209"/>
  <c r="G1240" i="209"/>
  <c r="G1239" i="209"/>
  <c r="G1236" i="209"/>
  <c r="G1235" i="209"/>
  <c r="G1234" i="209"/>
  <c r="F1233" i="209"/>
  <c r="G1233" i="209" s="1"/>
  <c r="C1233" i="209"/>
  <c r="A1208" i="209"/>
  <c r="G1222" i="209"/>
  <c r="G1220" i="209"/>
  <c r="F1224" i="209" s="1"/>
  <c r="G1224" i="209" s="1"/>
  <c r="G1218" i="209"/>
  <c r="G1217" i="209"/>
  <c r="G1216" i="209"/>
  <c r="G1213" i="209"/>
  <c r="F1212" i="209"/>
  <c r="G1212" i="209" s="1"/>
  <c r="C1212" i="209"/>
  <c r="F1211" i="209"/>
  <c r="G1211" i="209" s="1"/>
  <c r="C1211" i="209"/>
  <c r="F1210" i="209"/>
  <c r="G1210" i="209" s="1"/>
  <c r="C1210" i="209"/>
  <c r="A1185" i="209"/>
  <c r="G1199" i="209"/>
  <c r="G1197" i="209"/>
  <c r="F1201" i="209" s="1"/>
  <c r="G1201" i="209" s="1"/>
  <c r="G1195" i="209"/>
  <c r="G1194" i="209"/>
  <c r="G1193" i="209"/>
  <c r="G1190" i="209"/>
  <c r="F1189" i="209"/>
  <c r="G1189" i="209" s="1"/>
  <c r="C1189" i="209"/>
  <c r="F1188" i="209"/>
  <c r="G1188" i="209" s="1"/>
  <c r="C1188" i="209"/>
  <c r="F1187" i="209"/>
  <c r="G1187" i="209" s="1"/>
  <c r="C1187" i="209"/>
  <c r="F1165" i="209"/>
  <c r="F1166" i="209"/>
  <c r="C1165" i="209"/>
  <c r="C1166" i="209"/>
  <c r="G770" i="209" l="1"/>
  <c r="F790" i="209"/>
  <c r="G790" i="209" s="1"/>
  <c r="G793" i="209" s="1"/>
  <c r="B1208" i="209"/>
  <c r="G1271" i="209"/>
  <c r="G1248" i="209"/>
  <c r="G1225" i="209"/>
  <c r="G1202" i="209"/>
  <c r="B1185" i="209"/>
  <c r="F83" i="1" l="1"/>
  <c r="E85" i="396" s="1"/>
  <c r="F82" i="1"/>
  <c r="E84" i="396" s="1"/>
  <c r="G1249" i="209"/>
  <c r="G1226" i="209"/>
  <c r="F81" i="1"/>
  <c r="E83" i="396" s="1"/>
  <c r="G1203" i="209"/>
  <c r="G1165" i="209" l="1"/>
  <c r="A1162" i="209"/>
  <c r="G1176" i="209"/>
  <c r="G1174" i="209"/>
  <c r="F1178" i="209" s="1"/>
  <c r="G1178" i="209" s="1"/>
  <c r="G1172" i="209"/>
  <c r="G1171" i="209"/>
  <c r="G1170" i="209"/>
  <c r="G1167" i="209"/>
  <c r="G1166" i="209"/>
  <c r="F1164" i="209"/>
  <c r="G1164" i="209" s="1"/>
  <c r="C1164" i="209"/>
  <c r="F1142" i="209"/>
  <c r="G1142" i="209" s="1"/>
  <c r="F1141" i="209"/>
  <c r="G1141" i="209" s="1"/>
  <c r="G1059" i="209"/>
  <c r="C1142" i="209"/>
  <c r="A1139" i="209"/>
  <c r="G1153" i="209"/>
  <c r="G1151" i="209"/>
  <c r="F1155" i="209" s="1"/>
  <c r="G1155" i="209" s="1"/>
  <c r="G1149" i="209"/>
  <c r="G1148" i="209"/>
  <c r="G1147" i="209"/>
  <c r="G1144" i="209"/>
  <c r="G1143" i="209"/>
  <c r="C1141" i="209"/>
  <c r="A1057" i="209"/>
  <c r="B1057" i="209" s="1"/>
  <c r="G1071" i="209"/>
  <c r="G1069" i="209"/>
  <c r="F1073" i="209" s="1"/>
  <c r="G1073" i="209" s="1"/>
  <c r="G1067" i="209"/>
  <c r="G1066" i="209"/>
  <c r="G1065" i="209"/>
  <c r="G1062" i="209"/>
  <c r="G1061" i="209"/>
  <c r="G1060" i="209"/>
  <c r="C1059" i="209"/>
  <c r="A1034" i="209"/>
  <c r="G1048" i="209"/>
  <c r="G1046" i="209"/>
  <c r="F1050" i="209" s="1"/>
  <c r="G1050" i="209" s="1"/>
  <c r="G1044" i="209"/>
  <c r="G1043" i="209"/>
  <c r="G1042" i="209"/>
  <c r="G1039" i="209"/>
  <c r="G1038" i="209"/>
  <c r="G1037" i="209"/>
  <c r="C1036" i="209"/>
  <c r="E1013" i="209"/>
  <c r="A1011" i="209"/>
  <c r="F1027" i="209"/>
  <c r="G1027" i="209" s="1"/>
  <c r="G1025" i="209"/>
  <c r="G1023" i="209"/>
  <c r="G1021" i="209"/>
  <c r="G1020" i="209"/>
  <c r="G1019" i="209"/>
  <c r="G1016" i="209"/>
  <c r="F1015" i="209"/>
  <c r="G1015" i="209" s="1"/>
  <c r="C1015" i="209"/>
  <c r="F1014" i="209"/>
  <c r="G1014" i="209" s="1"/>
  <c r="C1014" i="209"/>
  <c r="C1013" i="209"/>
  <c r="A983" i="209"/>
  <c r="G996" i="209"/>
  <c r="G994" i="209"/>
  <c r="F998" i="209" s="1"/>
  <c r="G998" i="209" s="1"/>
  <c r="G992" i="209"/>
  <c r="G991" i="209"/>
  <c r="G990" i="209"/>
  <c r="G987" i="209"/>
  <c r="G986" i="209"/>
  <c r="G985" i="209"/>
  <c r="C985" i="209"/>
  <c r="A960" i="209"/>
  <c r="G974" i="209"/>
  <c r="G972" i="209"/>
  <c r="F976" i="209" s="1"/>
  <c r="G976" i="209" s="1"/>
  <c r="G970" i="209"/>
  <c r="G969" i="209"/>
  <c r="G968" i="209"/>
  <c r="G965" i="209"/>
  <c r="G964" i="209"/>
  <c r="G963" i="209"/>
  <c r="C962" i="209"/>
  <c r="F962" i="209"/>
  <c r="G962" i="209" s="1"/>
  <c r="A937" i="209"/>
  <c r="B937" i="209" s="1"/>
  <c r="G951" i="209"/>
  <c r="G949" i="209"/>
  <c r="F953" i="209" s="1"/>
  <c r="G953" i="209" s="1"/>
  <c r="G947" i="209"/>
  <c r="G946" i="209"/>
  <c r="G945" i="209"/>
  <c r="G942" i="209"/>
  <c r="G941" i="209"/>
  <c r="G940" i="209"/>
  <c r="F939" i="209"/>
  <c r="G939" i="209" s="1"/>
  <c r="C939" i="209"/>
  <c r="F893" i="209"/>
  <c r="G893" i="209" s="1"/>
  <c r="B913" i="209"/>
  <c r="C893" i="209"/>
  <c r="G902" i="209"/>
  <c r="F892" i="209"/>
  <c r="G892" i="209" s="1"/>
  <c r="G891" i="209"/>
  <c r="A889" i="209"/>
  <c r="G904" i="209"/>
  <c r="G901" i="209"/>
  <c r="G899" i="209"/>
  <c r="G898" i="209"/>
  <c r="G897" i="209"/>
  <c r="G894" i="209"/>
  <c r="C892" i="209"/>
  <c r="C891" i="209"/>
  <c r="A842" i="209"/>
  <c r="G856" i="209"/>
  <c r="G854" i="209"/>
  <c r="F858" i="209" s="1"/>
  <c r="G858" i="209" s="1"/>
  <c r="G852" i="209"/>
  <c r="F844" i="209"/>
  <c r="G844" i="209" s="1"/>
  <c r="C844" i="209"/>
  <c r="A819" i="209"/>
  <c r="B819" i="209" s="1"/>
  <c r="G833" i="209"/>
  <c r="G831" i="209"/>
  <c r="F835" i="209" s="1"/>
  <c r="G835" i="209" s="1"/>
  <c r="G829" i="209"/>
  <c r="F828" i="209"/>
  <c r="G828" i="209" s="1"/>
  <c r="C828" i="209"/>
  <c r="F827" i="209"/>
  <c r="G827" i="209" s="1"/>
  <c r="C827" i="209"/>
  <c r="F826" i="209"/>
  <c r="G826" i="209" s="1"/>
  <c r="C826" i="209"/>
  <c r="F825" i="209"/>
  <c r="G825" i="209" s="1"/>
  <c r="C825" i="209"/>
  <c r="F824" i="209"/>
  <c r="G824" i="209" s="1"/>
  <c r="C824" i="209"/>
  <c r="F823" i="209"/>
  <c r="G823" i="209" s="1"/>
  <c r="C823" i="209"/>
  <c r="F822" i="209"/>
  <c r="G822" i="209" s="1"/>
  <c r="C822" i="209"/>
  <c r="F821" i="209"/>
  <c r="G821" i="209" s="1"/>
  <c r="C821" i="209"/>
  <c r="F804" i="209"/>
  <c r="G804" i="209" s="1"/>
  <c r="C804" i="209"/>
  <c r="F802" i="209"/>
  <c r="G802" i="209" s="1"/>
  <c r="F803" i="209"/>
  <c r="G803" i="209" s="1"/>
  <c r="F805" i="209"/>
  <c r="C802" i="209"/>
  <c r="C803" i="209"/>
  <c r="C805" i="209"/>
  <c r="F906" i="209" l="1"/>
  <c r="G906" i="209" s="1"/>
  <c r="G907" i="209" s="1"/>
  <c r="B1162" i="209"/>
  <c r="G1179" i="209"/>
  <c r="F80" i="1" s="1"/>
  <c r="E82" i="396" s="1"/>
  <c r="G1156" i="209"/>
  <c r="B1139" i="209"/>
  <c r="G1074" i="209"/>
  <c r="F73" i="1" s="1"/>
  <c r="E75" i="396" s="1"/>
  <c r="B1034" i="209"/>
  <c r="G999" i="209"/>
  <c r="B983" i="209"/>
  <c r="G977" i="209"/>
  <c r="F68" i="1" s="1"/>
  <c r="E70" i="396" s="1"/>
  <c r="B960" i="209"/>
  <c r="G954" i="209"/>
  <c r="B889" i="209"/>
  <c r="G931" i="209"/>
  <c r="F66" i="1" s="1"/>
  <c r="G859" i="209"/>
  <c r="B842" i="209"/>
  <c r="G836" i="209"/>
  <c r="I5" i="414" l="1"/>
  <c r="E68" i="396"/>
  <c r="I5" i="418"/>
  <c r="I5" i="415"/>
  <c r="I5" i="416"/>
  <c r="G908" i="209"/>
  <c r="F65" i="1"/>
  <c r="E67" i="396" s="1"/>
  <c r="G1180" i="209"/>
  <c r="F78" i="1"/>
  <c r="G1075" i="209"/>
  <c r="G1157" i="209"/>
  <c r="G1006" i="209"/>
  <c r="F69" i="1"/>
  <c r="E71" i="396" s="1"/>
  <c r="G1000" i="209"/>
  <c r="G978" i="209"/>
  <c r="F67" i="1"/>
  <c r="E69" i="396" s="1"/>
  <c r="G955" i="209"/>
  <c r="G932" i="209"/>
  <c r="F63" i="1"/>
  <c r="E65" i="396" s="1"/>
  <c r="F62" i="1"/>
  <c r="E64" i="396" s="1"/>
  <c r="G860" i="209"/>
  <c r="G837" i="209"/>
  <c r="I5" i="419" l="1"/>
  <c r="E80" i="396"/>
  <c r="G69" i="1"/>
  <c r="F71" i="396" s="1"/>
  <c r="A796" i="209"/>
  <c r="B796" i="209" s="1"/>
  <c r="G810" i="209"/>
  <c r="G808" i="209"/>
  <c r="F812" i="209" s="1"/>
  <c r="G812" i="209" s="1"/>
  <c r="G806" i="209"/>
  <c r="G805" i="209"/>
  <c r="F801" i="209"/>
  <c r="G801" i="209" s="1"/>
  <c r="C801" i="209"/>
  <c r="F800" i="209"/>
  <c r="G800" i="209" s="1"/>
  <c r="C800" i="209"/>
  <c r="F799" i="209"/>
  <c r="G799" i="209" s="1"/>
  <c r="C799" i="209"/>
  <c r="F798" i="209"/>
  <c r="G798" i="209" s="1"/>
  <c r="C798" i="209"/>
  <c r="F717" i="209"/>
  <c r="G717" i="209" s="1"/>
  <c r="C717" i="209"/>
  <c r="F716" i="209"/>
  <c r="G716" i="209" s="1"/>
  <c r="A712" i="209"/>
  <c r="G724" i="209"/>
  <c r="G722" i="209"/>
  <c r="F726" i="209" s="1"/>
  <c r="G726" i="209" s="1"/>
  <c r="G720" i="209"/>
  <c r="G719" i="209"/>
  <c r="G718" i="209"/>
  <c r="C716" i="209"/>
  <c r="F715" i="209"/>
  <c r="G715" i="209" s="1"/>
  <c r="C715" i="209"/>
  <c r="C714" i="209"/>
  <c r="A695" i="209"/>
  <c r="G703" i="209"/>
  <c r="G701" i="209"/>
  <c r="F705" i="209" s="1"/>
  <c r="G705" i="209" s="1"/>
  <c r="F699" i="209"/>
  <c r="G699" i="209" s="1"/>
  <c r="C699" i="209"/>
  <c r="F697" i="209"/>
  <c r="G697" i="209" s="1"/>
  <c r="C697" i="209"/>
  <c r="A675" i="209"/>
  <c r="G686" i="209"/>
  <c r="G684" i="209"/>
  <c r="F688" i="209" s="1"/>
  <c r="G688" i="209" s="1"/>
  <c r="A655" i="209"/>
  <c r="B655" i="209" s="1"/>
  <c r="G666" i="209"/>
  <c r="G664" i="209"/>
  <c r="F668" i="209" s="1"/>
  <c r="G668" i="209" s="1"/>
  <c r="F638" i="209"/>
  <c r="G638" i="209" s="1"/>
  <c r="C637" i="209"/>
  <c r="C638" i="209"/>
  <c r="F637" i="209"/>
  <c r="G637" i="209" s="1"/>
  <c r="A634" i="209"/>
  <c r="G646" i="209"/>
  <c r="G644" i="209"/>
  <c r="F648" i="209" s="1"/>
  <c r="G648" i="209" s="1"/>
  <c r="G642" i="209"/>
  <c r="G641" i="209"/>
  <c r="G640" i="209"/>
  <c r="G639" i="209"/>
  <c r="F636" i="209"/>
  <c r="G636" i="209" s="1"/>
  <c r="C636" i="209"/>
  <c r="A613" i="209"/>
  <c r="G625" i="209"/>
  <c r="G623" i="209"/>
  <c r="F627" i="209" s="1"/>
  <c r="G627" i="209" s="1"/>
  <c r="G621" i="209"/>
  <c r="G620" i="209"/>
  <c r="G616" i="209"/>
  <c r="C615" i="209"/>
  <c r="F615" i="209"/>
  <c r="G615" i="209" s="1"/>
  <c r="A594" i="209"/>
  <c r="F606" i="209"/>
  <c r="G606" i="209" s="1"/>
  <c r="G604" i="209"/>
  <c r="G602" i="209"/>
  <c r="F597" i="209"/>
  <c r="G597" i="209" s="1"/>
  <c r="C597" i="209"/>
  <c r="F596" i="209"/>
  <c r="G596" i="209" s="1"/>
  <c r="C596" i="209"/>
  <c r="A575" i="209"/>
  <c r="B575" i="209" s="1"/>
  <c r="F587" i="209"/>
  <c r="G587" i="209" s="1"/>
  <c r="G583" i="209"/>
  <c r="G580" i="209"/>
  <c r="F579" i="209"/>
  <c r="G579" i="209" s="1"/>
  <c r="C579" i="209"/>
  <c r="F578" i="209"/>
  <c r="G578" i="209" s="1"/>
  <c r="C578" i="209"/>
  <c r="F577" i="209"/>
  <c r="G577" i="209" s="1"/>
  <c r="C577" i="209"/>
  <c r="A556" i="209"/>
  <c r="F568" i="209"/>
  <c r="G568" i="209" s="1"/>
  <c r="G566" i="209"/>
  <c r="G564" i="209"/>
  <c r="F561" i="209"/>
  <c r="G561" i="209" s="1"/>
  <c r="C561" i="209"/>
  <c r="F560" i="209"/>
  <c r="G560" i="209" s="1"/>
  <c r="C560" i="209"/>
  <c r="F559" i="209"/>
  <c r="G559" i="209" s="1"/>
  <c r="C559" i="209"/>
  <c r="F558" i="209"/>
  <c r="G558" i="209" s="1"/>
  <c r="C558" i="209"/>
  <c r="A537" i="209"/>
  <c r="F549" i="209"/>
  <c r="G549" i="209" s="1"/>
  <c r="G547" i="209"/>
  <c r="G545" i="209"/>
  <c r="F542" i="209"/>
  <c r="G542" i="209" s="1"/>
  <c r="C542" i="209"/>
  <c r="F541" i="209"/>
  <c r="G541" i="209" s="1"/>
  <c r="C541" i="209"/>
  <c r="F540" i="209"/>
  <c r="G540" i="209" s="1"/>
  <c r="C540" i="209"/>
  <c r="F539" i="209"/>
  <c r="G539" i="209" s="1"/>
  <c r="C539" i="209"/>
  <c r="F519" i="209"/>
  <c r="G519" i="209" s="1"/>
  <c r="C522" i="209"/>
  <c r="C519" i="209"/>
  <c r="A516" i="209"/>
  <c r="F530" i="209"/>
  <c r="G530" i="209" s="1"/>
  <c r="G528" i="209"/>
  <c r="G526" i="209"/>
  <c r="G522" i="209"/>
  <c r="F521" i="209"/>
  <c r="G521" i="209" s="1"/>
  <c r="C521" i="209"/>
  <c r="F520" i="209"/>
  <c r="G520" i="209" s="1"/>
  <c r="C520" i="209"/>
  <c r="F518" i="209"/>
  <c r="G518" i="209" s="1"/>
  <c r="C518" i="209"/>
  <c r="A495" i="209"/>
  <c r="B495" i="209" s="1"/>
  <c r="F509" i="209"/>
  <c r="G509" i="209" s="1"/>
  <c r="G507" i="209"/>
  <c r="G505" i="209"/>
  <c r="F501" i="209"/>
  <c r="G501" i="209" s="1"/>
  <c r="C501" i="209"/>
  <c r="F500" i="209"/>
  <c r="G500" i="209" s="1"/>
  <c r="C500" i="209"/>
  <c r="F499" i="209"/>
  <c r="G499" i="209" s="1"/>
  <c r="C499" i="209"/>
  <c r="F498" i="209"/>
  <c r="G498" i="209" s="1"/>
  <c r="C498" i="209"/>
  <c r="F497" i="209"/>
  <c r="G497" i="209" s="1"/>
  <c r="C497" i="209"/>
  <c r="A474" i="209"/>
  <c r="F488" i="209"/>
  <c r="G488" i="209" s="1"/>
  <c r="G486" i="209"/>
  <c r="G484" i="209"/>
  <c r="F480" i="209"/>
  <c r="G480" i="209" s="1"/>
  <c r="C480" i="209"/>
  <c r="F479" i="209"/>
  <c r="G479" i="209" s="1"/>
  <c r="C479" i="209"/>
  <c r="F478" i="209"/>
  <c r="G478" i="209" s="1"/>
  <c r="C478" i="209"/>
  <c r="F477" i="209"/>
  <c r="G477" i="209" s="1"/>
  <c r="C477" i="209"/>
  <c r="F476" i="209"/>
  <c r="G476" i="209" s="1"/>
  <c r="C476" i="209"/>
  <c r="G463" i="209"/>
  <c r="F467" i="209" s="1"/>
  <c r="F459" i="209"/>
  <c r="G459" i="209" s="1"/>
  <c r="C459" i="209"/>
  <c r="J71" i="396" l="1"/>
  <c r="K71" i="396"/>
  <c r="L71" i="396"/>
  <c r="B675" i="209"/>
  <c r="F714" i="209"/>
  <c r="G714" i="209" s="1"/>
  <c r="G727" i="209" s="1"/>
  <c r="F56" i="1" s="1"/>
  <c r="B634" i="209"/>
  <c r="G813" i="209"/>
  <c r="F61" i="1" s="1"/>
  <c r="E63" i="396" s="1"/>
  <c r="B712" i="209"/>
  <c r="B613" i="209"/>
  <c r="G689" i="209"/>
  <c r="F54" i="1" s="1"/>
  <c r="B695" i="209"/>
  <c r="G706" i="209"/>
  <c r="F55" i="1" s="1"/>
  <c r="E57" i="396" s="1"/>
  <c r="G669" i="209"/>
  <c r="F53" i="1" s="1"/>
  <c r="E55" i="396" s="1"/>
  <c r="G649" i="209"/>
  <c r="F52" i="1" s="1"/>
  <c r="G628" i="209"/>
  <c r="F51" i="1" s="1"/>
  <c r="E53" i="396" s="1"/>
  <c r="G607" i="209"/>
  <c r="F50" i="1" s="1"/>
  <c r="E52" i="396" s="1"/>
  <c r="B594" i="209"/>
  <c r="G588" i="209"/>
  <c r="F49" i="1" s="1"/>
  <c r="E51" i="396" s="1"/>
  <c r="G569" i="209"/>
  <c r="F48" i="1" s="1"/>
  <c r="E50" i="396" s="1"/>
  <c r="B556" i="209"/>
  <c r="G550" i="209"/>
  <c r="B537" i="209"/>
  <c r="G531" i="209"/>
  <c r="F46" i="1" s="1"/>
  <c r="E48" i="396" s="1"/>
  <c r="B516" i="209"/>
  <c r="G510" i="209"/>
  <c r="F45" i="1" s="1"/>
  <c r="E47" i="396" s="1"/>
  <c r="B474" i="209"/>
  <c r="G489" i="209"/>
  <c r="F44" i="1" s="1"/>
  <c r="E46" i="396" s="1"/>
  <c r="G54" i="1" l="1"/>
  <c r="F56" i="396" s="1"/>
  <c r="E56" i="396"/>
  <c r="I5" i="411"/>
  <c r="E58" i="396"/>
  <c r="G52" i="1"/>
  <c r="F54" i="396" s="1"/>
  <c r="E54" i="396"/>
  <c r="I5" i="417"/>
  <c r="I5" i="410"/>
  <c r="G55" i="1"/>
  <c r="F57" i="396" s="1"/>
  <c r="G53" i="1"/>
  <c r="F55" i="396" s="1"/>
  <c r="I5" i="409"/>
  <c r="I5" i="408"/>
  <c r="G814" i="209"/>
  <c r="G728" i="209"/>
  <c r="G690" i="209"/>
  <c r="G707" i="209"/>
  <c r="G670" i="209"/>
  <c r="G650" i="209"/>
  <c r="G629" i="209"/>
  <c r="G608" i="209"/>
  <c r="G589" i="209"/>
  <c r="G570" i="209"/>
  <c r="F47" i="1"/>
  <c r="E49" i="396" s="1"/>
  <c r="G551" i="209"/>
  <c r="G532" i="209"/>
  <c r="G511" i="209"/>
  <c r="G490" i="209"/>
  <c r="J54" i="396" l="1"/>
  <c r="K54" i="396"/>
  <c r="J55" i="396"/>
  <c r="K55" i="396"/>
  <c r="J57" i="396"/>
  <c r="K57" i="396"/>
  <c r="J56" i="396"/>
  <c r="K56" i="396"/>
  <c r="A453" i="209"/>
  <c r="B453" i="209" s="1"/>
  <c r="G467" i="209"/>
  <c r="G465" i="209"/>
  <c r="F458" i="209"/>
  <c r="G458" i="209" s="1"/>
  <c r="C458" i="209"/>
  <c r="F457" i="209"/>
  <c r="G457" i="209" s="1"/>
  <c r="C457" i="209"/>
  <c r="F456" i="209"/>
  <c r="G456" i="209" s="1"/>
  <c r="C456" i="209"/>
  <c r="F455" i="209"/>
  <c r="G455" i="209" s="1"/>
  <c r="C455" i="209"/>
  <c r="F420" i="209"/>
  <c r="G420" i="209" s="1"/>
  <c r="C420" i="209"/>
  <c r="F419" i="209"/>
  <c r="G419" i="209" s="1"/>
  <c r="C419" i="209"/>
  <c r="A413" i="209"/>
  <c r="G426" i="209"/>
  <c r="G424" i="209"/>
  <c r="F418" i="209"/>
  <c r="G418" i="209" s="1"/>
  <c r="C418" i="209"/>
  <c r="F417" i="209"/>
  <c r="G417" i="209" s="1"/>
  <c r="C417" i="209"/>
  <c r="F416" i="209"/>
  <c r="G416" i="209" s="1"/>
  <c r="C416" i="209"/>
  <c r="F415" i="209"/>
  <c r="G415" i="209" s="1"/>
  <c r="C415" i="209"/>
  <c r="A394" i="209"/>
  <c r="G404" i="209"/>
  <c r="G402" i="209"/>
  <c r="F406" i="209" s="1"/>
  <c r="G406" i="209" s="1"/>
  <c r="F399" i="209"/>
  <c r="G399" i="209" s="1"/>
  <c r="C399" i="209"/>
  <c r="F398" i="209"/>
  <c r="G398" i="209" s="1"/>
  <c r="C398" i="209"/>
  <c r="F397" i="209"/>
  <c r="G397" i="209" s="1"/>
  <c r="C397" i="209"/>
  <c r="F396" i="209"/>
  <c r="G396" i="209" s="1"/>
  <c r="C396" i="209"/>
  <c r="F360" i="209"/>
  <c r="G360" i="209" s="1"/>
  <c r="C360" i="209"/>
  <c r="A375" i="209"/>
  <c r="G385" i="209"/>
  <c r="G383" i="209"/>
  <c r="F387" i="209" s="1"/>
  <c r="G387" i="209" s="1"/>
  <c r="F380" i="209"/>
  <c r="G380" i="209" s="1"/>
  <c r="C380" i="209"/>
  <c r="F378" i="209"/>
  <c r="G378" i="209" s="1"/>
  <c r="C378" i="209"/>
  <c r="F377" i="209"/>
  <c r="G377" i="209" s="1"/>
  <c r="C377" i="209"/>
  <c r="A357" i="209"/>
  <c r="G366" i="209"/>
  <c r="G364" i="209"/>
  <c r="F368" i="209" s="1"/>
  <c r="G368" i="209" s="1"/>
  <c r="G362" i="209"/>
  <c r="G361" i="209"/>
  <c r="F359" i="209"/>
  <c r="G359" i="209" s="1"/>
  <c r="C359" i="209"/>
  <c r="B307" i="209"/>
  <c r="A322" i="209"/>
  <c r="B322" i="209" s="1"/>
  <c r="A291" i="209"/>
  <c r="B291" i="209" s="1"/>
  <c r="A258" i="209"/>
  <c r="G266" i="209"/>
  <c r="G264" i="209"/>
  <c r="F268" i="209" s="1"/>
  <c r="G268" i="209" s="1"/>
  <c r="G262" i="209"/>
  <c r="F261" i="209"/>
  <c r="G261" i="209" s="1"/>
  <c r="C261" i="209"/>
  <c r="F260" i="209"/>
  <c r="G260" i="209" s="1"/>
  <c r="C260" i="209"/>
  <c r="B5" i="395"/>
  <c r="F5" i="395" s="1"/>
  <c r="A51" i="395"/>
  <c r="J18" i="395"/>
  <c r="J19" i="395"/>
  <c r="J20" i="395"/>
  <c r="J21" i="395"/>
  <c r="J22" i="395"/>
  <c r="J23" i="395"/>
  <c r="J24" i="395"/>
  <c r="J25" i="395"/>
  <c r="J26" i="395"/>
  <c r="J27" i="395"/>
  <c r="J28" i="395"/>
  <c r="J29" i="395"/>
  <c r="J30" i="395"/>
  <c r="J31" i="395"/>
  <c r="J32" i="395"/>
  <c r="J33" i="395"/>
  <c r="J34" i="395"/>
  <c r="J35" i="395"/>
  <c r="J36" i="395"/>
  <c r="J37" i="395"/>
  <c r="J38" i="395"/>
  <c r="J39" i="395"/>
  <c r="J45" i="395"/>
  <c r="J46" i="395"/>
  <c r="A4" i="395"/>
  <c r="A3" i="395"/>
  <c r="A241" i="209"/>
  <c r="F243" i="209"/>
  <c r="G243" i="209" s="1"/>
  <c r="F244" i="209"/>
  <c r="G244" i="209" s="1"/>
  <c r="F245" i="209"/>
  <c r="G245" i="209" s="1"/>
  <c r="G247" i="209"/>
  <c r="G249" i="209"/>
  <c r="F251" i="209"/>
  <c r="G251" i="209" s="1"/>
  <c r="C245" i="209"/>
  <c r="C244" i="209"/>
  <c r="C243" i="209"/>
  <c r="F222" i="209"/>
  <c r="G222" i="209" s="1"/>
  <c r="F223" i="209"/>
  <c r="G223" i="209" s="1"/>
  <c r="F224" i="209"/>
  <c r="G224" i="209" s="1"/>
  <c r="F226" i="209"/>
  <c r="G226" i="209" s="1"/>
  <c r="F227" i="209"/>
  <c r="G227" i="209" s="1"/>
  <c r="F228" i="209"/>
  <c r="G228" i="209" s="1"/>
  <c r="G230" i="209"/>
  <c r="F234" i="209" s="1"/>
  <c r="G234" i="209" s="1"/>
  <c r="G232" i="209"/>
  <c r="J9" i="388"/>
  <c r="J8" i="388"/>
  <c r="F182" i="209"/>
  <c r="G182" i="209" s="1"/>
  <c r="C226" i="209"/>
  <c r="C227" i="209"/>
  <c r="C228" i="209"/>
  <c r="A220" i="209"/>
  <c r="C224" i="209"/>
  <c r="C223" i="209"/>
  <c r="C222" i="209"/>
  <c r="J10" i="388"/>
  <c r="G209" i="209"/>
  <c r="F213" i="209"/>
  <c r="G213" i="209" s="1"/>
  <c r="E204" i="209"/>
  <c r="F207" i="209"/>
  <c r="G207" i="209" s="1"/>
  <c r="G211" i="209"/>
  <c r="A202" i="209"/>
  <c r="C207" i="209"/>
  <c r="C205" i="209"/>
  <c r="C204" i="209"/>
  <c r="F189" i="209"/>
  <c r="G189" i="209" s="1"/>
  <c r="G191" i="209"/>
  <c r="F195" i="209" s="1"/>
  <c r="G195" i="209" s="1"/>
  <c r="G193" i="209"/>
  <c r="A179" i="209"/>
  <c r="C189" i="209"/>
  <c r="C182" i="209"/>
  <c r="C181" i="209"/>
  <c r="F166" i="209"/>
  <c r="G166" i="209" s="1"/>
  <c r="G168" i="209"/>
  <c r="F172" i="209" s="1"/>
  <c r="G172" i="209" s="1"/>
  <c r="G170" i="209"/>
  <c r="A160" i="209"/>
  <c r="C166" i="209"/>
  <c r="C163" i="209"/>
  <c r="C162" i="209"/>
  <c r="G149" i="209"/>
  <c r="G151" i="209"/>
  <c r="C145" i="209"/>
  <c r="F135" i="209"/>
  <c r="G135" i="209" s="1"/>
  <c r="G133" i="209"/>
  <c r="C128" i="209"/>
  <c r="A125" i="209"/>
  <c r="B125" i="209" s="1"/>
  <c r="F107" i="209"/>
  <c r="G107" i="209" s="1"/>
  <c r="G115" i="209"/>
  <c r="F110" i="209"/>
  <c r="G110" i="209" s="1"/>
  <c r="G113" i="209"/>
  <c r="F117" i="209" s="1"/>
  <c r="G117" i="209" s="1"/>
  <c r="C108" i="209"/>
  <c r="C110" i="209"/>
  <c r="G91" i="209"/>
  <c r="F93" i="209"/>
  <c r="F97" i="209" s="1"/>
  <c r="G97" i="209" s="1"/>
  <c r="G95" i="209"/>
  <c r="A88" i="209"/>
  <c r="B88" i="209" s="1"/>
  <c r="F73" i="209"/>
  <c r="G73" i="209" s="1"/>
  <c r="F74" i="209"/>
  <c r="G74" i="209" s="1"/>
  <c r="G75" i="209"/>
  <c r="F81" i="209"/>
  <c r="G81" i="209" s="1"/>
  <c r="G79" i="209"/>
  <c r="G60" i="209"/>
  <c r="F64" i="209" s="1"/>
  <c r="G62" i="209"/>
  <c r="F37" i="209"/>
  <c r="G37" i="209" s="1"/>
  <c r="E38" i="209"/>
  <c r="F38" i="209"/>
  <c r="E39" i="209"/>
  <c r="G41" i="209"/>
  <c r="F45" i="209" s="1"/>
  <c r="G45" i="209" s="1"/>
  <c r="G43" i="209"/>
  <c r="F3" i="209"/>
  <c r="G3" i="209" s="1"/>
  <c r="F4" i="209"/>
  <c r="G4" i="209" s="1"/>
  <c r="G5" i="209"/>
  <c r="G7" i="209"/>
  <c r="G9" i="209"/>
  <c r="F14" i="209"/>
  <c r="F31" i="209" s="1"/>
  <c r="C39" i="209"/>
  <c r="A35" i="209"/>
  <c r="B35" i="209" s="1"/>
  <c r="B4" i="210"/>
  <c r="B5" i="393"/>
  <c r="C5" i="393" s="1"/>
  <c r="A57" i="393"/>
  <c r="J52" i="393"/>
  <c r="A4" i="393"/>
  <c r="A3" i="393"/>
  <c r="B5" i="392"/>
  <c r="C5" i="392" s="1"/>
  <c r="A57" i="392"/>
  <c r="J52" i="392"/>
  <c r="J22" i="392"/>
  <c r="J21" i="392"/>
  <c r="J20" i="392"/>
  <c r="J19" i="392"/>
  <c r="J18" i="392"/>
  <c r="J17" i="392"/>
  <c r="J16" i="392"/>
  <c r="J15" i="392"/>
  <c r="J14" i="392"/>
  <c r="J13" i="392"/>
  <c r="J12" i="392"/>
  <c r="J11" i="392"/>
  <c r="J10" i="392"/>
  <c r="J9" i="392"/>
  <c r="J8" i="392"/>
  <c r="A4" i="392"/>
  <c r="A3" i="392"/>
  <c r="B5" i="391"/>
  <c r="F5" i="391" s="1"/>
  <c r="A57" i="391"/>
  <c r="J52" i="391"/>
  <c r="A4" i="391"/>
  <c r="A3" i="391"/>
  <c r="B5" i="389"/>
  <c r="C5" i="389" s="1"/>
  <c r="A51" i="389"/>
  <c r="J46" i="389"/>
  <c r="J45" i="389"/>
  <c r="J39" i="389"/>
  <c r="J38" i="389"/>
  <c r="J37" i="389"/>
  <c r="J36" i="389"/>
  <c r="J35" i="389"/>
  <c r="J34" i="389"/>
  <c r="J33" i="389"/>
  <c r="J32" i="389"/>
  <c r="J31" i="389"/>
  <c r="J30" i="389"/>
  <c r="J29" i="389"/>
  <c r="J28" i="389"/>
  <c r="J27" i="389"/>
  <c r="J26" i="389"/>
  <c r="J25" i="389"/>
  <c r="J24" i="389"/>
  <c r="J23" i="389"/>
  <c r="J22" i="389"/>
  <c r="J21" i="389"/>
  <c r="J20" i="389"/>
  <c r="J19" i="389"/>
  <c r="J18" i="389"/>
  <c r="J17" i="389"/>
  <c r="J16" i="389"/>
  <c r="J15" i="389"/>
  <c r="J14" i="389"/>
  <c r="J13" i="389"/>
  <c r="J12" i="389"/>
  <c r="J11" i="389"/>
  <c r="J10" i="389"/>
  <c r="J9" i="389"/>
  <c r="J8" i="389"/>
  <c r="A4" i="389"/>
  <c r="A3" i="389"/>
  <c r="B5" i="388"/>
  <c r="C5" i="388" s="1"/>
  <c r="A51" i="388"/>
  <c r="J46" i="388"/>
  <c r="J45" i="388"/>
  <c r="J39" i="388"/>
  <c r="J38" i="388"/>
  <c r="J37" i="388"/>
  <c r="J36" i="388"/>
  <c r="J35" i="388"/>
  <c r="J34" i="388"/>
  <c r="J33" i="388"/>
  <c r="J32" i="388"/>
  <c r="J31" i="388"/>
  <c r="J30" i="388"/>
  <c r="J29" i="388"/>
  <c r="J28" i="388"/>
  <c r="J27" i="388"/>
  <c r="J26" i="388"/>
  <c r="J25" i="388"/>
  <c r="J24" i="388"/>
  <c r="J23" i="388"/>
  <c r="J22" i="388"/>
  <c r="J21" i="388"/>
  <c r="J20" i="388"/>
  <c r="J19" i="388"/>
  <c r="J18" i="388"/>
  <c r="J17" i="388"/>
  <c r="J16" i="388"/>
  <c r="J15" i="388"/>
  <c r="J14" i="388"/>
  <c r="J13" i="388"/>
  <c r="J12" i="388"/>
  <c r="J11" i="388"/>
  <c r="A4" i="388"/>
  <c r="A3" i="388"/>
  <c r="G78" i="1"/>
  <c r="A51" i="387"/>
  <c r="J46" i="387"/>
  <c r="J45" i="387"/>
  <c r="J39" i="387"/>
  <c r="J38" i="387"/>
  <c r="J37" i="387"/>
  <c r="J36" i="387"/>
  <c r="J35" i="387"/>
  <c r="J34" i="387"/>
  <c r="J33" i="387"/>
  <c r="J32" i="387"/>
  <c r="J31" i="387"/>
  <c r="J30" i="387"/>
  <c r="J29" i="387"/>
  <c r="J28" i="387"/>
  <c r="J27" i="387"/>
  <c r="J26" i="387"/>
  <c r="J25" i="387"/>
  <c r="J24" i="387"/>
  <c r="J23" i="387"/>
  <c r="J22" i="387"/>
  <c r="J21" i="387"/>
  <c r="J20" i="387"/>
  <c r="J19" i="387"/>
  <c r="J18" i="387"/>
  <c r="J17" i="387"/>
  <c r="J16" i="387"/>
  <c r="J15" i="387"/>
  <c r="J14" i="387"/>
  <c r="J13" i="387"/>
  <c r="J12" i="387"/>
  <c r="I5" i="387"/>
  <c r="F5" i="387"/>
  <c r="C5" i="387"/>
  <c r="A4" i="387"/>
  <c r="A3" i="387"/>
  <c r="A51" i="386"/>
  <c r="J46" i="386"/>
  <c r="J45" i="386"/>
  <c r="J39" i="386"/>
  <c r="J38" i="386"/>
  <c r="J37" i="386"/>
  <c r="J36" i="386"/>
  <c r="J35" i="386"/>
  <c r="J34" i="386"/>
  <c r="J33" i="386"/>
  <c r="J32" i="386"/>
  <c r="J31" i="386"/>
  <c r="J30" i="386"/>
  <c r="J29" i="386"/>
  <c r="J28" i="386"/>
  <c r="J27" i="386"/>
  <c r="J26" i="386"/>
  <c r="J25" i="386"/>
  <c r="J24" i="386"/>
  <c r="J23" i="386"/>
  <c r="J22" i="386"/>
  <c r="J21" i="386"/>
  <c r="J20" i="386"/>
  <c r="J19" i="386"/>
  <c r="J18" i="386"/>
  <c r="J17" i="386"/>
  <c r="J16" i="386"/>
  <c r="J15" i="386"/>
  <c r="J14" i="386"/>
  <c r="J13" i="386"/>
  <c r="J12" i="386"/>
  <c r="J11" i="386"/>
  <c r="J10" i="386"/>
  <c r="J9" i="386"/>
  <c r="J8" i="386"/>
  <c r="I5" i="386"/>
  <c r="F5" i="386"/>
  <c r="C5" i="386"/>
  <c r="A4" i="386"/>
  <c r="A3" i="386"/>
  <c r="A50" i="385"/>
  <c r="J45" i="385"/>
  <c r="J44" i="385"/>
  <c r="J38" i="385"/>
  <c r="J37" i="385"/>
  <c r="J36" i="385"/>
  <c r="J35" i="385"/>
  <c r="J34" i="385"/>
  <c r="J33" i="385"/>
  <c r="J32" i="385"/>
  <c r="J31" i="385"/>
  <c r="J30" i="385"/>
  <c r="J29" i="385"/>
  <c r="J28" i="385"/>
  <c r="J27" i="385"/>
  <c r="J26" i="385"/>
  <c r="J25" i="385"/>
  <c r="J24" i="385"/>
  <c r="J23" i="385"/>
  <c r="J22" i="385"/>
  <c r="J21" i="385"/>
  <c r="J20" i="385"/>
  <c r="J19" i="385"/>
  <c r="J18" i="385"/>
  <c r="J17" i="385"/>
  <c r="J16" i="385"/>
  <c r="J15" i="385"/>
  <c r="J14" i="385"/>
  <c r="J13" i="385"/>
  <c r="J12" i="385"/>
  <c r="J11" i="385"/>
  <c r="J10" i="385"/>
  <c r="J9" i="385"/>
  <c r="J8" i="385"/>
  <c r="I5" i="385"/>
  <c r="F5" i="385"/>
  <c r="C5" i="385"/>
  <c r="A4" i="385"/>
  <c r="A3" i="385"/>
  <c r="A51" i="384"/>
  <c r="J46" i="384"/>
  <c r="J45" i="384"/>
  <c r="J39" i="384"/>
  <c r="J38" i="384"/>
  <c r="J37" i="384"/>
  <c r="J36" i="384"/>
  <c r="J35" i="384"/>
  <c r="J34" i="384"/>
  <c r="J33" i="384"/>
  <c r="J32" i="384"/>
  <c r="J31" i="384"/>
  <c r="J30" i="384"/>
  <c r="J29" i="384"/>
  <c r="J28" i="384"/>
  <c r="J27" i="384"/>
  <c r="J26" i="384"/>
  <c r="J25" i="384"/>
  <c r="J24" i="384"/>
  <c r="J23" i="384"/>
  <c r="J22" i="384"/>
  <c r="J21" i="384"/>
  <c r="J20" i="384"/>
  <c r="J19" i="384"/>
  <c r="J18" i="384"/>
  <c r="J17" i="384"/>
  <c r="J16" i="384"/>
  <c r="J15" i="384"/>
  <c r="J14" i="384"/>
  <c r="J13" i="384"/>
  <c r="J12" i="384"/>
  <c r="J11" i="384"/>
  <c r="J10" i="384"/>
  <c r="J9" i="384"/>
  <c r="J8" i="384"/>
  <c r="I5" i="384"/>
  <c r="F5" i="384"/>
  <c r="C5" i="384"/>
  <c r="A4" i="384"/>
  <c r="A3" i="384"/>
  <c r="A51" i="383"/>
  <c r="J46" i="383"/>
  <c r="J45" i="383"/>
  <c r="J39" i="383"/>
  <c r="J38" i="383"/>
  <c r="J37" i="383"/>
  <c r="J36" i="383"/>
  <c r="J35" i="383"/>
  <c r="J34" i="383"/>
  <c r="J33" i="383"/>
  <c r="J32" i="383"/>
  <c r="J31" i="383"/>
  <c r="J30" i="383"/>
  <c r="J29" i="383"/>
  <c r="J28" i="383"/>
  <c r="J27" i="383"/>
  <c r="J26" i="383"/>
  <c r="J25" i="383"/>
  <c r="J24" i="383"/>
  <c r="J23" i="383"/>
  <c r="J22" i="383"/>
  <c r="J21" i="383"/>
  <c r="J20" i="383"/>
  <c r="J19" i="383"/>
  <c r="J18" i="383"/>
  <c r="J17" i="383"/>
  <c r="J16" i="383"/>
  <c r="J15" i="383"/>
  <c r="J14" i="383"/>
  <c r="J13" i="383"/>
  <c r="J12" i="383"/>
  <c r="J11" i="383"/>
  <c r="J10" i="383"/>
  <c r="J9" i="383"/>
  <c r="J8" i="383"/>
  <c r="I5" i="383"/>
  <c r="F5" i="383"/>
  <c r="C5" i="383"/>
  <c r="A4" i="383"/>
  <c r="A3" i="383"/>
  <c r="A49" i="382"/>
  <c r="J44" i="382"/>
  <c r="J43" i="382"/>
  <c r="J37" i="382"/>
  <c r="J36" i="382"/>
  <c r="J35" i="382"/>
  <c r="J34" i="382"/>
  <c r="J33" i="382"/>
  <c r="J32" i="382"/>
  <c r="J31" i="382"/>
  <c r="J30" i="382"/>
  <c r="J29" i="382"/>
  <c r="J28" i="382"/>
  <c r="J27" i="382"/>
  <c r="J26" i="382"/>
  <c r="J25" i="382"/>
  <c r="J24" i="382"/>
  <c r="J23" i="382"/>
  <c r="J22" i="382"/>
  <c r="J21" i="382"/>
  <c r="J9" i="382"/>
  <c r="J8" i="382"/>
  <c r="I5" i="382"/>
  <c r="F5" i="382"/>
  <c r="C5" i="382"/>
  <c r="A4" i="382"/>
  <c r="A3" i="382"/>
  <c r="A56" i="381"/>
  <c r="J51" i="381"/>
  <c r="J50" i="381"/>
  <c r="J44" i="381"/>
  <c r="J43" i="381"/>
  <c r="J42" i="381"/>
  <c r="J41" i="381"/>
  <c r="J40" i="381"/>
  <c r="J39" i="381"/>
  <c r="J38" i="381"/>
  <c r="J37" i="381"/>
  <c r="J36" i="381"/>
  <c r="J35" i="381"/>
  <c r="J34" i="381"/>
  <c r="J33" i="381"/>
  <c r="J32" i="381"/>
  <c r="J31" i="381"/>
  <c r="J9" i="381"/>
  <c r="J8" i="381"/>
  <c r="F5" i="381"/>
  <c r="C5" i="381"/>
  <c r="A4" i="381"/>
  <c r="A3" i="381"/>
  <c r="G68" i="1"/>
  <c r="A51" i="378"/>
  <c r="J46" i="378"/>
  <c r="J45" i="378"/>
  <c r="J39" i="378"/>
  <c r="J38" i="378"/>
  <c r="J37" i="378"/>
  <c r="J36" i="378"/>
  <c r="J35" i="378"/>
  <c r="J34" i="378"/>
  <c r="J33" i="378"/>
  <c r="J32" i="378"/>
  <c r="J31" i="378"/>
  <c r="J30" i="378"/>
  <c r="J29" i="378"/>
  <c r="J28" i="378"/>
  <c r="J27" i="378"/>
  <c r="J26" i="378"/>
  <c r="J25" i="378"/>
  <c r="J24" i="378"/>
  <c r="J23" i="378"/>
  <c r="J22" i="378"/>
  <c r="J21" i="378"/>
  <c r="J20" i="378"/>
  <c r="J19" i="378"/>
  <c r="J18" i="378"/>
  <c r="J17" i="378"/>
  <c r="J16" i="378"/>
  <c r="J15" i="378"/>
  <c r="J14" i="378"/>
  <c r="J13" i="378"/>
  <c r="J12" i="378"/>
  <c r="J11" i="378"/>
  <c r="J10" i="378"/>
  <c r="J9" i="378"/>
  <c r="I5" i="378"/>
  <c r="F5" i="378"/>
  <c r="C5" i="378"/>
  <c r="A4" i="378"/>
  <c r="A3" i="378"/>
  <c r="A51" i="376"/>
  <c r="J46" i="376"/>
  <c r="J45" i="376"/>
  <c r="J39" i="376"/>
  <c r="J38" i="376"/>
  <c r="J37" i="376"/>
  <c r="J36" i="376"/>
  <c r="J35" i="376"/>
  <c r="J34" i="376"/>
  <c r="J33" i="376"/>
  <c r="J32" i="376"/>
  <c r="J31" i="376"/>
  <c r="J30" i="376"/>
  <c r="J29" i="376"/>
  <c r="J28" i="376"/>
  <c r="J27" i="376"/>
  <c r="J26" i="376"/>
  <c r="J25" i="376"/>
  <c r="J24" i="376"/>
  <c r="J23" i="376"/>
  <c r="J22" i="376"/>
  <c r="J21" i="376"/>
  <c r="J20" i="376"/>
  <c r="J19" i="376"/>
  <c r="J18" i="376"/>
  <c r="J17" i="376"/>
  <c r="J16" i="376"/>
  <c r="J15" i="376"/>
  <c r="J14" i="376"/>
  <c r="J13" i="376"/>
  <c r="J12" i="376"/>
  <c r="J11" i="376"/>
  <c r="J10" i="376"/>
  <c r="J9" i="376"/>
  <c r="I5" i="376"/>
  <c r="F5" i="376"/>
  <c r="C5" i="376"/>
  <c r="A4" i="376"/>
  <c r="A3" i="376"/>
  <c r="A51" i="375"/>
  <c r="J46" i="375"/>
  <c r="J45" i="375"/>
  <c r="J39" i="375"/>
  <c r="J38" i="375"/>
  <c r="J37" i="375"/>
  <c r="J36" i="375"/>
  <c r="J35" i="375"/>
  <c r="J34" i="375"/>
  <c r="J33" i="375"/>
  <c r="J32" i="375"/>
  <c r="J31" i="375"/>
  <c r="J30" i="375"/>
  <c r="J29" i="375"/>
  <c r="J28" i="375"/>
  <c r="J27" i="375"/>
  <c r="J26" i="375"/>
  <c r="J25" i="375"/>
  <c r="J24" i="375"/>
  <c r="J23" i="375"/>
  <c r="J22" i="375"/>
  <c r="J21" i="375"/>
  <c r="J20" i="375"/>
  <c r="J19" i="375"/>
  <c r="J18" i="375"/>
  <c r="J17" i="375"/>
  <c r="J10" i="375"/>
  <c r="J9" i="375"/>
  <c r="I5" i="375"/>
  <c r="F5" i="375"/>
  <c r="C5" i="375"/>
  <c r="A4" i="375"/>
  <c r="A3" i="375"/>
  <c r="A51" i="374"/>
  <c r="J46" i="374"/>
  <c r="J45" i="374"/>
  <c r="J39" i="374"/>
  <c r="J38" i="374"/>
  <c r="J37" i="374"/>
  <c r="J36" i="374"/>
  <c r="J35" i="374"/>
  <c r="J34" i="374"/>
  <c r="J33" i="374"/>
  <c r="J32" i="374"/>
  <c r="J31" i="374"/>
  <c r="J30" i="374"/>
  <c r="J29" i="374"/>
  <c r="J28" i="374"/>
  <c r="J27" i="374"/>
  <c r="J26" i="374"/>
  <c r="J25" i="374"/>
  <c r="J24" i="374"/>
  <c r="J23" i="374"/>
  <c r="J22" i="374"/>
  <c r="J21" i="374"/>
  <c r="J20" i="374"/>
  <c r="J19" i="374"/>
  <c r="J18" i="374"/>
  <c r="J17" i="374"/>
  <c r="J16" i="374"/>
  <c r="J15" i="374"/>
  <c r="J14" i="374"/>
  <c r="J13" i="374"/>
  <c r="J12" i="374"/>
  <c r="I5" i="374"/>
  <c r="F5" i="374"/>
  <c r="C5" i="374"/>
  <c r="A4" i="374"/>
  <c r="A3" i="374"/>
  <c r="A51" i="373"/>
  <c r="J46" i="373"/>
  <c r="J45" i="373"/>
  <c r="J39" i="373"/>
  <c r="J38" i="373"/>
  <c r="J37" i="373"/>
  <c r="J36" i="373"/>
  <c r="J35" i="373"/>
  <c r="J34" i="373"/>
  <c r="J33" i="373"/>
  <c r="J32" i="373"/>
  <c r="J31" i="373"/>
  <c r="J30" i="373"/>
  <c r="J29" i="373"/>
  <c r="J28" i="373"/>
  <c r="J27" i="373"/>
  <c r="J26" i="373"/>
  <c r="J25" i="373"/>
  <c r="J24" i="373"/>
  <c r="J23" i="373"/>
  <c r="J22" i="373"/>
  <c r="J21" i="373"/>
  <c r="J20" i="373"/>
  <c r="J19" i="373"/>
  <c r="J18" i="373"/>
  <c r="J17" i="373"/>
  <c r="J16" i="373"/>
  <c r="J15" i="373"/>
  <c r="J14" i="373"/>
  <c r="J13" i="373"/>
  <c r="I5" i="373"/>
  <c r="F5" i="373"/>
  <c r="C5" i="373"/>
  <c r="A4" i="373"/>
  <c r="A3" i="373"/>
  <c r="A51" i="372"/>
  <c r="J46" i="372"/>
  <c r="J45" i="372"/>
  <c r="J39" i="372"/>
  <c r="J38" i="372"/>
  <c r="J37" i="372"/>
  <c r="J36" i="372"/>
  <c r="J35" i="372"/>
  <c r="J34" i="372"/>
  <c r="J33" i="372"/>
  <c r="J32" i="372"/>
  <c r="J31" i="372"/>
  <c r="J30" i="372"/>
  <c r="J29" i="372"/>
  <c r="J28" i="372"/>
  <c r="J27" i="372"/>
  <c r="J26" i="372"/>
  <c r="J25" i="372"/>
  <c r="J24" i="372"/>
  <c r="J23" i="372"/>
  <c r="J22" i="372"/>
  <c r="J21" i="372"/>
  <c r="J20" i="372"/>
  <c r="J19" i="372"/>
  <c r="J18" i="372"/>
  <c r="J17" i="372"/>
  <c r="J16" i="372"/>
  <c r="J15" i="372"/>
  <c r="J14" i="372"/>
  <c r="J13" i="372"/>
  <c r="J12" i="372"/>
  <c r="J11" i="372"/>
  <c r="J10" i="372"/>
  <c r="I5" i="372"/>
  <c r="F5" i="372"/>
  <c r="C5" i="372"/>
  <c r="A4" i="372"/>
  <c r="A3" i="372"/>
  <c r="G56" i="1"/>
  <c r="A51" i="371"/>
  <c r="J46" i="371"/>
  <c r="J45" i="371"/>
  <c r="J39" i="371"/>
  <c r="J38" i="371"/>
  <c r="J37" i="371"/>
  <c r="J36" i="371"/>
  <c r="J35" i="371"/>
  <c r="J34" i="371"/>
  <c r="J33" i="371"/>
  <c r="J32" i="371"/>
  <c r="J31" i="371"/>
  <c r="J30" i="371"/>
  <c r="J29" i="371"/>
  <c r="J28" i="371"/>
  <c r="J27" i="371"/>
  <c r="J26" i="371"/>
  <c r="J25" i="371"/>
  <c r="J24" i="371"/>
  <c r="J23" i="371"/>
  <c r="J22" i="371"/>
  <c r="J21" i="371"/>
  <c r="J20" i="371"/>
  <c r="J19" i="371"/>
  <c r="J18" i="371"/>
  <c r="J17" i="371"/>
  <c r="J16" i="371"/>
  <c r="J15" i="371"/>
  <c r="J14" i="371"/>
  <c r="J13" i="371"/>
  <c r="J12" i="371"/>
  <c r="J11" i="371"/>
  <c r="J10" i="371"/>
  <c r="J9" i="371"/>
  <c r="I5" i="371"/>
  <c r="F5" i="371"/>
  <c r="C5" i="371"/>
  <c r="A4" i="371"/>
  <c r="A3" i="371"/>
  <c r="A51" i="370"/>
  <c r="J46" i="370"/>
  <c r="J45" i="370"/>
  <c r="J39" i="370"/>
  <c r="J38" i="370"/>
  <c r="J37" i="370"/>
  <c r="J36" i="370"/>
  <c r="J35" i="370"/>
  <c r="J34" i="370"/>
  <c r="J33" i="370"/>
  <c r="J32" i="370"/>
  <c r="J31" i="370"/>
  <c r="J30" i="370"/>
  <c r="J29" i="370"/>
  <c r="J28" i="370"/>
  <c r="J27" i="370"/>
  <c r="J26" i="370"/>
  <c r="J25" i="370"/>
  <c r="J24" i="370"/>
  <c r="J23" i="370"/>
  <c r="J22" i="370"/>
  <c r="J21" i="370"/>
  <c r="J20" i="370"/>
  <c r="J19" i="370"/>
  <c r="J18" i="370"/>
  <c r="J17" i="370"/>
  <c r="J16" i="370"/>
  <c r="J15" i="370"/>
  <c r="J14" i="370"/>
  <c r="J13" i="370"/>
  <c r="J12" i="370"/>
  <c r="J11" i="370"/>
  <c r="J10" i="370"/>
  <c r="J9" i="370"/>
  <c r="J8" i="370"/>
  <c r="I5" i="370"/>
  <c r="F5" i="370"/>
  <c r="C5" i="370"/>
  <c r="A4" i="370"/>
  <c r="A3" i="370"/>
  <c r="A51" i="369"/>
  <c r="J46" i="369"/>
  <c r="J45" i="369"/>
  <c r="J39" i="369"/>
  <c r="J38" i="369"/>
  <c r="J37" i="369"/>
  <c r="J36" i="369"/>
  <c r="J35" i="369"/>
  <c r="J34" i="369"/>
  <c r="J33" i="369"/>
  <c r="J32" i="369"/>
  <c r="J31" i="369"/>
  <c r="J30" i="369"/>
  <c r="J29" i="369"/>
  <c r="J28" i="369"/>
  <c r="J27" i="369"/>
  <c r="J26" i="369"/>
  <c r="J25" i="369"/>
  <c r="J24" i="369"/>
  <c r="J23" i="369"/>
  <c r="J22" i="369"/>
  <c r="J21" i="369"/>
  <c r="J20" i="369"/>
  <c r="J19" i="369"/>
  <c r="J18" i="369"/>
  <c r="J17" i="369"/>
  <c r="J16" i="369"/>
  <c r="J15" i="369"/>
  <c r="J14" i="369"/>
  <c r="J13" i="369"/>
  <c r="J12" i="369"/>
  <c r="J11" i="369"/>
  <c r="J10" i="369"/>
  <c r="J9" i="369"/>
  <c r="J8" i="369"/>
  <c r="I5" i="369"/>
  <c r="F5" i="369"/>
  <c r="C5" i="369"/>
  <c r="A4" i="369"/>
  <c r="A3" i="369"/>
  <c r="A51" i="368"/>
  <c r="J46" i="368"/>
  <c r="J45" i="368"/>
  <c r="J39" i="368"/>
  <c r="J38" i="368"/>
  <c r="J37" i="368"/>
  <c r="J36" i="368"/>
  <c r="J35" i="368"/>
  <c r="J34" i="368"/>
  <c r="J33" i="368"/>
  <c r="J32" i="368"/>
  <c r="J31" i="368"/>
  <c r="J30" i="368"/>
  <c r="J29" i="368"/>
  <c r="J28" i="368"/>
  <c r="J27" i="368"/>
  <c r="J26" i="368"/>
  <c r="J25" i="368"/>
  <c r="J24" i="368"/>
  <c r="J23" i="368"/>
  <c r="J22" i="368"/>
  <c r="J21" i="368"/>
  <c r="J20" i="368"/>
  <c r="J19" i="368"/>
  <c r="J18" i="368"/>
  <c r="J17" i="368"/>
  <c r="J16" i="368"/>
  <c r="J15" i="368"/>
  <c r="J14" i="368"/>
  <c r="J13" i="368"/>
  <c r="J12" i="368"/>
  <c r="J11" i="368"/>
  <c r="J10" i="368"/>
  <c r="J9" i="368"/>
  <c r="J8" i="368"/>
  <c r="I5" i="368"/>
  <c r="F5" i="368"/>
  <c r="C5" i="368"/>
  <c r="A4" i="368"/>
  <c r="A3" i="368"/>
  <c r="A45" i="367"/>
  <c r="J40" i="367"/>
  <c r="J39" i="367"/>
  <c r="J33" i="367"/>
  <c r="J32" i="367"/>
  <c r="J31" i="367"/>
  <c r="J30" i="367"/>
  <c r="J29" i="367"/>
  <c r="J28" i="367"/>
  <c r="J27" i="367"/>
  <c r="J26" i="367"/>
  <c r="J25" i="367"/>
  <c r="J24" i="367"/>
  <c r="J23" i="367"/>
  <c r="J22" i="367"/>
  <c r="J21" i="367"/>
  <c r="J20" i="367"/>
  <c r="J19" i="367"/>
  <c r="J18" i="367"/>
  <c r="J17" i="367"/>
  <c r="J16" i="367"/>
  <c r="J15" i="367"/>
  <c r="J14" i="367"/>
  <c r="J13" i="367"/>
  <c r="J12" i="367"/>
  <c r="J11" i="367"/>
  <c r="J10" i="367"/>
  <c r="J9" i="367"/>
  <c r="J8" i="367"/>
  <c r="I5" i="367"/>
  <c r="F5" i="367"/>
  <c r="C5" i="367"/>
  <c r="A4" i="367"/>
  <c r="A3" i="367"/>
  <c r="A51" i="366"/>
  <c r="J46" i="366"/>
  <c r="J45" i="366"/>
  <c r="J39" i="366"/>
  <c r="J38" i="366"/>
  <c r="J37" i="366"/>
  <c r="J36" i="366"/>
  <c r="J35" i="366"/>
  <c r="J34" i="366"/>
  <c r="J33" i="366"/>
  <c r="J32" i="366"/>
  <c r="J31" i="366"/>
  <c r="J30" i="366"/>
  <c r="J29" i="366"/>
  <c r="J28" i="366"/>
  <c r="J27" i="366"/>
  <c r="J26" i="366"/>
  <c r="J25" i="366"/>
  <c r="J24" i="366"/>
  <c r="J23" i="366"/>
  <c r="J22" i="366"/>
  <c r="J21" i="366"/>
  <c r="J20" i="366"/>
  <c r="J19" i="366"/>
  <c r="J18" i="366"/>
  <c r="J17" i="366"/>
  <c r="J16" i="366"/>
  <c r="J15" i="366"/>
  <c r="J14" i="366"/>
  <c r="J13" i="366"/>
  <c r="J12" i="366"/>
  <c r="J11" i="366"/>
  <c r="J10" i="366"/>
  <c r="J9" i="366"/>
  <c r="J8" i="366"/>
  <c r="I5" i="366"/>
  <c r="F5" i="366"/>
  <c r="C5" i="366"/>
  <c r="A4" i="366"/>
  <c r="A3" i="366"/>
  <c r="A51" i="365"/>
  <c r="J46" i="365"/>
  <c r="J45" i="365"/>
  <c r="J39" i="365"/>
  <c r="J38" i="365"/>
  <c r="J37" i="365"/>
  <c r="J36" i="365"/>
  <c r="J35" i="365"/>
  <c r="J34" i="365"/>
  <c r="J33" i="365"/>
  <c r="J32" i="365"/>
  <c r="J31" i="365"/>
  <c r="J30" i="365"/>
  <c r="J29" i="365"/>
  <c r="J28" i="365"/>
  <c r="J27" i="365"/>
  <c r="J26" i="365"/>
  <c r="J25" i="365"/>
  <c r="J24" i="365"/>
  <c r="J23" i="365"/>
  <c r="J22" i="365"/>
  <c r="J21" i="365"/>
  <c r="J20" i="365"/>
  <c r="J19" i="365"/>
  <c r="J18" i="365"/>
  <c r="J17" i="365"/>
  <c r="J16" i="365"/>
  <c r="J15" i="365"/>
  <c r="J14" i="365"/>
  <c r="J13" i="365"/>
  <c r="J12" i="365"/>
  <c r="J11" i="365"/>
  <c r="J10" i="365"/>
  <c r="J9" i="365"/>
  <c r="J8" i="365"/>
  <c r="I5" i="365"/>
  <c r="F5" i="365"/>
  <c r="C5" i="365"/>
  <c r="A4" i="365"/>
  <c r="A3" i="365"/>
  <c r="A51" i="364"/>
  <c r="J46" i="364"/>
  <c r="J45" i="364"/>
  <c r="J39" i="364"/>
  <c r="J38" i="364"/>
  <c r="J37" i="364"/>
  <c r="J36" i="364"/>
  <c r="J35" i="364"/>
  <c r="J34" i="364"/>
  <c r="J33" i="364"/>
  <c r="J32" i="364"/>
  <c r="J31" i="364"/>
  <c r="J30" i="364"/>
  <c r="J29" i="364"/>
  <c r="J28" i="364"/>
  <c r="J27" i="364"/>
  <c r="J26" i="364"/>
  <c r="J25" i="364"/>
  <c r="J24" i="364"/>
  <c r="J23" i="364"/>
  <c r="J22" i="364"/>
  <c r="J21" i="364"/>
  <c r="J20" i="364"/>
  <c r="J19" i="364"/>
  <c r="J18" i="364"/>
  <c r="J17" i="364"/>
  <c r="J16" i="364"/>
  <c r="J15" i="364"/>
  <c r="J14" i="364"/>
  <c r="J13" i="364"/>
  <c r="J12" i="364"/>
  <c r="J11" i="364"/>
  <c r="J10" i="364"/>
  <c r="J9" i="364"/>
  <c r="J8" i="364"/>
  <c r="I5" i="364"/>
  <c r="F5" i="364"/>
  <c r="C5" i="364"/>
  <c r="A4" i="364"/>
  <c r="A3" i="364"/>
  <c r="A50" i="363"/>
  <c r="J45" i="363"/>
  <c r="J44" i="363"/>
  <c r="J38" i="363"/>
  <c r="J37" i="363"/>
  <c r="J36" i="363"/>
  <c r="J35" i="363"/>
  <c r="J34" i="363"/>
  <c r="J33" i="363"/>
  <c r="J32" i="363"/>
  <c r="J31" i="363"/>
  <c r="J30" i="363"/>
  <c r="J29" i="363"/>
  <c r="J28" i="363"/>
  <c r="J27" i="363"/>
  <c r="J26" i="363"/>
  <c r="J25" i="363"/>
  <c r="J24" i="363"/>
  <c r="J23" i="363"/>
  <c r="J22" i="363"/>
  <c r="J21" i="363"/>
  <c r="J20" i="363"/>
  <c r="J19" i="363"/>
  <c r="J18" i="363"/>
  <c r="J17" i="363"/>
  <c r="J16" i="363"/>
  <c r="J15" i="363"/>
  <c r="J14" i="363"/>
  <c r="J13" i="363"/>
  <c r="J12" i="363"/>
  <c r="J11" i="363"/>
  <c r="J10" i="363"/>
  <c r="J9" i="363"/>
  <c r="J8" i="363"/>
  <c r="C5" i="363"/>
  <c r="A4" i="363"/>
  <c r="A3" i="363"/>
  <c r="F5" i="363"/>
  <c r="B5" i="362"/>
  <c r="C5" i="362" s="1"/>
  <c r="B5" i="361"/>
  <c r="C5" i="361" s="1"/>
  <c r="B5" i="360"/>
  <c r="F5" i="360" s="1"/>
  <c r="B5" i="359"/>
  <c r="C5" i="359" s="1"/>
  <c r="B5" i="358"/>
  <c r="B5" i="355"/>
  <c r="C5" i="355" s="1"/>
  <c r="B5" i="356"/>
  <c r="B5" i="354"/>
  <c r="F5" i="354" s="1"/>
  <c r="A40" i="362"/>
  <c r="J35" i="362"/>
  <c r="J34" i="362"/>
  <c r="J33" i="362"/>
  <c r="J32" i="362"/>
  <c r="J31" i="362"/>
  <c r="J30" i="362"/>
  <c r="J29" i="362"/>
  <c r="J28" i="362"/>
  <c r="J27" i="362"/>
  <c r="J26" i="362"/>
  <c r="J25" i="362"/>
  <c r="J24" i="362"/>
  <c r="J23" i="362"/>
  <c r="J22" i="362"/>
  <c r="J21" i="362"/>
  <c r="J20" i="362"/>
  <c r="J19" i="362"/>
  <c r="J18" i="362"/>
  <c r="J17" i="362"/>
  <c r="J16" i="362"/>
  <c r="J15" i="362"/>
  <c r="J14" i="362"/>
  <c r="J13" i="362"/>
  <c r="J12" i="362"/>
  <c r="A4" i="362"/>
  <c r="A3" i="362"/>
  <c r="A40" i="361"/>
  <c r="J35" i="361"/>
  <c r="J34" i="361"/>
  <c r="J33" i="361"/>
  <c r="J32" i="361"/>
  <c r="J31" i="361"/>
  <c r="J30" i="361"/>
  <c r="J29" i="361"/>
  <c r="J28" i="361"/>
  <c r="J27" i="361"/>
  <c r="J26" i="361"/>
  <c r="J25" i="361"/>
  <c r="J24" i="361"/>
  <c r="J23" i="361"/>
  <c r="J22" i="361"/>
  <c r="J21" i="361"/>
  <c r="J20" i="361"/>
  <c r="J19" i="361"/>
  <c r="J18" i="361"/>
  <c r="J17" i="361"/>
  <c r="J16" i="361"/>
  <c r="J15" i="361"/>
  <c r="J14" i="361"/>
  <c r="J13" i="361"/>
  <c r="J12" i="361"/>
  <c r="J11" i="361"/>
  <c r="J10" i="361"/>
  <c r="J9" i="361"/>
  <c r="E22" i="1"/>
  <c r="D24" i="396" s="1"/>
  <c r="A4" i="361"/>
  <c r="A3" i="361"/>
  <c r="B5" i="350"/>
  <c r="F5" i="350" s="1"/>
  <c r="A51" i="360"/>
  <c r="J46" i="360"/>
  <c r="J45" i="360"/>
  <c r="J39" i="360"/>
  <c r="J38" i="360"/>
  <c r="J37" i="360"/>
  <c r="J36" i="360"/>
  <c r="J35" i="360"/>
  <c r="J34" i="360"/>
  <c r="J33" i="360"/>
  <c r="J32" i="360"/>
  <c r="J31" i="360"/>
  <c r="J30" i="360"/>
  <c r="J29" i="360"/>
  <c r="J28" i="360"/>
  <c r="J27" i="360"/>
  <c r="J26" i="360"/>
  <c r="J25" i="360"/>
  <c r="J24" i="360"/>
  <c r="J23" i="360"/>
  <c r="J22" i="360"/>
  <c r="J21" i="360"/>
  <c r="J20" i="360"/>
  <c r="J19" i="360"/>
  <c r="J18" i="360"/>
  <c r="J17" i="360"/>
  <c r="J16" i="360"/>
  <c r="J15" i="360"/>
  <c r="J14" i="360"/>
  <c r="J13" i="360"/>
  <c r="J12" i="360"/>
  <c r="J11" i="360"/>
  <c r="J10" i="360"/>
  <c r="J9" i="360"/>
  <c r="J8" i="360"/>
  <c r="A4" i="360"/>
  <c r="A3" i="360"/>
  <c r="A51" i="359"/>
  <c r="J46" i="359"/>
  <c r="J45" i="359"/>
  <c r="J39" i="359"/>
  <c r="J38" i="359"/>
  <c r="J37" i="359"/>
  <c r="J36" i="359"/>
  <c r="J35" i="359"/>
  <c r="J34" i="359"/>
  <c r="J33" i="359"/>
  <c r="J32" i="359"/>
  <c r="J31" i="359"/>
  <c r="J30" i="359"/>
  <c r="J29" i="359"/>
  <c r="J28" i="359"/>
  <c r="J27" i="359"/>
  <c r="J26" i="359"/>
  <c r="J25" i="359"/>
  <c r="J24" i="359"/>
  <c r="J23" i="359"/>
  <c r="J22" i="359"/>
  <c r="J21" i="359"/>
  <c r="J20" i="359"/>
  <c r="J19" i="359"/>
  <c r="J18" i="359"/>
  <c r="J17" i="359"/>
  <c r="J16" i="359"/>
  <c r="J15" i="359"/>
  <c r="J14" i="359"/>
  <c r="J13" i="359"/>
  <c r="J12" i="359"/>
  <c r="J11" i="359"/>
  <c r="J10" i="359"/>
  <c r="J9" i="359"/>
  <c r="J8" i="359"/>
  <c r="A4" i="359"/>
  <c r="A3" i="359"/>
  <c r="J13" i="358"/>
  <c r="J11" i="358"/>
  <c r="J52" i="356"/>
  <c r="J52" i="354"/>
  <c r="A51" i="358"/>
  <c r="J46" i="358"/>
  <c r="J45" i="358"/>
  <c r="J39" i="358"/>
  <c r="J38" i="358"/>
  <c r="J37" i="358"/>
  <c r="J36" i="358"/>
  <c r="J35" i="358"/>
  <c r="J34" i="358"/>
  <c r="J33" i="358"/>
  <c r="J32" i="358"/>
  <c r="J31" i="358"/>
  <c r="J30" i="358"/>
  <c r="J29" i="358"/>
  <c r="J28" i="358"/>
  <c r="J27" i="358"/>
  <c r="J26" i="358"/>
  <c r="J25" i="358"/>
  <c r="J24" i="358"/>
  <c r="J23" i="358"/>
  <c r="J22" i="358"/>
  <c r="J21" i="358"/>
  <c r="J20" i="358"/>
  <c r="J19" i="358"/>
  <c r="J18" i="358"/>
  <c r="J17" i="358"/>
  <c r="J16" i="358"/>
  <c r="J15" i="358"/>
  <c r="J14" i="358"/>
  <c r="J12" i="358"/>
  <c r="J10" i="358"/>
  <c r="J9" i="358"/>
  <c r="J8" i="358"/>
  <c r="A4" i="358"/>
  <c r="A3" i="358"/>
  <c r="A57" i="356"/>
  <c r="J53" i="356"/>
  <c r="A4" i="356"/>
  <c r="A3" i="356"/>
  <c r="A51" i="355"/>
  <c r="J46" i="355"/>
  <c r="J45" i="355"/>
  <c r="J39" i="355"/>
  <c r="J38" i="355"/>
  <c r="J37" i="355"/>
  <c r="J36" i="355"/>
  <c r="J35" i="355"/>
  <c r="J34" i="355"/>
  <c r="J33" i="355"/>
  <c r="J32" i="355"/>
  <c r="J31" i="355"/>
  <c r="J30" i="355"/>
  <c r="J29" i="355"/>
  <c r="J28" i="355"/>
  <c r="A4" i="355"/>
  <c r="A3" i="355"/>
  <c r="A57" i="354"/>
  <c r="J22" i="354"/>
  <c r="J21" i="354"/>
  <c r="J20" i="354"/>
  <c r="J19" i="354"/>
  <c r="J18" i="354"/>
  <c r="J17" i="354"/>
  <c r="J16" i="354"/>
  <c r="J15" i="354"/>
  <c r="J14" i="354"/>
  <c r="J13" i="354"/>
  <c r="J12" i="354"/>
  <c r="J11" i="354"/>
  <c r="J10" i="354"/>
  <c r="J9" i="354"/>
  <c r="J8" i="354"/>
  <c r="A4" i="354"/>
  <c r="A3" i="354"/>
  <c r="A40" i="353"/>
  <c r="J35" i="353"/>
  <c r="J34" i="353"/>
  <c r="J33" i="353"/>
  <c r="J32" i="353"/>
  <c r="J31" i="353"/>
  <c r="J30" i="353"/>
  <c r="J29" i="353"/>
  <c r="J28" i="353"/>
  <c r="J27" i="353"/>
  <c r="J26" i="353"/>
  <c r="J25" i="353"/>
  <c r="J24" i="353"/>
  <c r="J23" i="353"/>
  <c r="J22" i="353"/>
  <c r="J21" i="353"/>
  <c r="J20" i="353"/>
  <c r="J19" i="353"/>
  <c r="J18" i="353"/>
  <c r="J17" i="353"/>
  <c r="J16" i="353"/>
  <c r="J15" i="353"/>
  <c r="J14" i="353"/>
  <c r="J13" i="353"/>
  <c r="J12" i="353"/>
  <c r="J11" i="353"/>
  <c r="J10" i="353"/>
  <c r="J9" i="353"/>
  <c r="J8" i="353"/>
  <c r="F5" i="353"/>
  <c r="C5" i="353"/>
  <c r="A4" i="353"/>
  <c r="A3" i="353"/>
  <c r="A40" i="352"/>
  <c r="J35" i="352"/>
  <c r="J34" i="352"/>
  <c r="J33" i="352"/>
  <c r="J32" i="352"/>
  <c r="J31" i="352"/>
  <c r="J30" i="352"/>
  <c r="J29" i="352"/>
  <c r="J28" i="352"/>
  <c r="J27" i="352"/>
  <c r="J26" i="352"/>
  <c r="J25" i="352"/>
  <c r="J24" i="352"/>
  <c r="J23" i="352"/>
  <c r="J22" i="352"/>
  <c r="J21" i="352"/>
  <c r="J20" i="352"/>
  <c r="J19" i="352"/>
  <c r="J18" i="352"/>
  <c r="J17" i="352"/>
  <c r="J16" i="352"/>
  <c r="J15" i="352"/>
  <c r="J14" i="352"/>
  <c r="J13" i="352"/>
  <c r="J12" i="352"/>
  <c r="J11" i="352"/>
  <c r="F5" i="352"/>
  <c r="C5" i="352"/>
  <c r="A4" i="352"/>
  <c r="A3" i="352"/>
  <c r="A40" i="351"/>
  <c r="J35" i="351"/>
  <c r="J34" i="351"/>
  <c r="J33" i="351"/>
  <c r="J32" i="351"/>
  <c r="J31" i="351"/>
  <c r="J30" i="351"/>
  <c r="J29" i="351"/>
  <c r="J28" i="351"/>
  <c r="J27" i="351"/>
  <c r="J26" i="351"/>
  <c r="J25" i="351"/>
  <c r="J24" i="351"/>
  <c r="J23" i="351"/>
  <c r="J22" i="351"/>
  <c r="J21" i="351"/>
  <c r="J20" i="351"/>
  <c r="J19" i="351"/>
  <c r="J18" i="351"/>
  <c r="J17" i="351"/>
  <c r="J16" i="351"/>
  <c r="J15" i="351"/>
  <c r="J14" i="351"/>
  <c r="J13" i="351"/>
  <c r="J12" i="351"/>
  <c r="J11" i="351"/>
  <c r="F5" i="351"/>
  <c r="C5" i="351"/>
  <c r="A4" i="351"/>
  <c r="A3" i="351"/>
  <c r="A40" i="350"/>
  <c r="J35" i="350"/>
  <c r="J34" i="350"/>
  <c r="J33" i="350"/>
  <c r="J32" i="350"/>
  <c r="J31" i="350"/>
  <c r="J30" i="350"/>
  <c r="J29" i="350"/>
  <c r="J28" i="350"/>
  <c r="J27" i="350"/>
  <c r="J26" i="350"/>
  <c r="J25" i="350"/>
  <c r="J24" i="350"/>
  <c r="J23" i="350"/>
  <c r="J22" i="350"/>
  <c r="J21" i="350"/>
  <c r="J20" i="350"/>
  <c r="J19" i="350"/>
  <c r="J18" i="350"/>
  <c r="J17" i="350"/>
  <c r="J16" i="350"/>
  <c r="J15" i="350"/>
  <c r="J14" i="350"/>
  <c r="J13" i="350"/>
  <c r="J12" i="350"/>
  <c r="J8" i="350"/>
  <c r="A4" i="350"/>
  <c r="A3" i="350"/>
  <c r="A40" i="349"/>
  <c r="J35" i="349"/>
  <c r="J34" i="349"/>
  <c r="J33" i="349"/>
  <c r="J32" i="349"/>
  <c r="J31" i="349"/>
  <c r="J30" i="349"/>
  <c r="J29" i="349"/>
  <c r="J28" i="349"/>
  <c r="J27" i="349"/>
  <c r="J26" i="349"/>
  <c r="J25" i="349"/>
  <c r="J24" i="349"/>
  <c r="J23" i="349"/>
  <c r="J22" i="349"/>
  <c r="J21" i="349"/>
  <c r="J20" i="349"/>
  <c r="J19" i="349"/>
  <c r="J18" i="349"/>
  <c r="J17" i="349"/>
  <c r="J16" i="349"/>
  <c r="J15" i="349"/>
  <c r="J14" i="349"/>
  <c r="J13" i="349"/>
  <c r="J12" i="349"/>
  <c r="J11" i="349"/>
  <c r="J10" i="349"/>
  <c r="J9" i="349"/>
  <c r="J8" i="349"/>
  <c r="F5" i="349"/>
  <c r="C5" i="349"/>
  <c r="A4" i="349"/>
  <c r="A3" i="349"/>
  <c r="A40" i="348"/>
  <c r="J35" i="348"/>
  <c r="J34" i="348"/>
  <c r="J33" i="348"/>
  <c r="J32" i="348"/>
  <c r="J31" i="348"/>
  <c r="J30" i="348"/>
  <c r="J29" i="348"/>
  <c r="J28" i="348"/>
  <c r="J27" i="348"/>
  <c r="J26" i="348"/>
  <c r="J25" i="348"/>
  <c r="J24" i="348"/>
  <c r="J23" i="348"/>
  <c r="J22" i="348"/>
  <c r="J21" i="348"/>
  <c r="J20" i="348"/>
  <c r="F5" i="348"/>
  <c r="C5" i="348"/>
  <c r="A4" i="348"/>
  <c r="A3" i="348"/>
  <c r="A40" i="347"/>
  <c r="J35" i="347"/>
  <c r="J34" i="347"/>
  <c r="J33" i="347"/>
  <c r="J32" i="347"/>
  <c r="J31" i="347"/>
  <c r="J30" i="347"/>
  <c r="J29" i="347"/>
  <c r="J28" i="347"/>
  <c r="J27" i="347"/>
  <c r="J26" i="347"/>
  <c r="J25" i="347"/>
  <c r="J24" i="347"/>
  <c r="J23" i="347"/>
  <c r="J22" i="347"/>
  <c r="J21" i="347"/>
  <c r="J20" i="347"/>
  <c r="J19" i="347"/>
  <c r="J18" i="347"/>
  <c r="J17" i="347"/>
  <c r="J16" i="347"/>
  <c r="J15" i="347"/>
  <c r="J14" i="347"/>
  <c r="J13" i="347"/>
  <c r="J12" i="347"/>
  <c r="J11" i="347"/>
  <c r="J10" i="347"/>
  <c r="J9" i="347"/>
  <c r="J8" i="347"/>
  <c r="F5" i="347"/>
  <c r="A4" i="347"/>
  <c r="A3" i="347"/>
  <c r="A40" i="346"/>
  <c r="J35" i="346"/>
  <c r="J34" i="346"/>
  <c r="J33" i="346"/>
  <c r="J32" i="346"/>
  <c r="J31" i="346"/>
  <c r="J30" i="346"/>
  <c r="J29" i="346"/>
  <c r="J28" i="346"/>
  <c r="J27" i="346"/>
  <c r="J26" i="346"/>
  <c r="J25" i="346"/>
  <c r="J24" i="346"/>
  <c r="J23" i="346"/>
  <c r="J22" i="346"/>
  <c r="J21" i="346"/>
  <c r="J20" i="346"/>
  <c r="J19" i="346"/>
  <c r="J18" i="346"/>
  <c r="J17" i="346"/>
  <c r="J16" i="346"/>
  <c r="J15" i="346"/>
  <c r="J14" i="346"/>
  <c r="J13" i="346"/>
  <c r="J12" i="346"/>
  <c r="J11" i="346"/>
  <c r="J10" i="346"/>
  <c r="J9" i="346"/>
  <c r="J8" i="346"/>
  <c r="F5" i="346"/>
  <c r="A4" i="346"/>
  <c r="A3" i="346"/>
  <c r="A40" i="345"/>
  <c r="J35" i="345"/>
  <c r="J34" i="345"/>
  <c r="J33" i="345"/>
  <c r="J32" i="345"/>
  <c r="J31" i="345"/>
  <c r="J30" i="345"/>
  <c r="J29" i="345"/>
  <c r="J28" i="345"/>
  <c r="J27" i="345"/>
  <c r="J26" i="345"/>
  <c r="J25" i="345"/>
  <c r="J24" i="345"/>
  <c r="J23" i="345"/>
  <c r="J22" i="345"/>
  <c r="J21" i="345"/>
  <c r="J20" i="345"/>
  <c r="J19" i="345"/>
  <c r="J18" i="345"/>
  <c r="J17" i="345"/>
  <c r="J16" i="345"/>
  <c r="J15" i="345"/>
  <c r="J14" i="345"/>
  <c r="J13" i="345"/>
  <c r="J12" i="345"/>
  <c r="J11" i="345"/>
  <c r="J10" i="345"/>
  <c r="J9" i="345"/>
  <c r="J8" i="345"/>
  <c r="J36" i="345" s="1"/>
  <c r="J38" i="345" s="1"/>
  <c r="F5" i="345"/>
  <c r="A4" i="345"/>
  <c r="A3" i="345"/>
  <c r="C5" i="347"/>
  <c r="C5" i="346"/>
  <c r="C5" i="345"/>
  <c r="F48" i="209"/>
  <c r="F67" i="209" s="1"/>
  <c r="F84" i="209" s="1"/>
  <c r="F100" i="209" s="1"/>
  <c r="F120" i="209" s="1"/>
  <c r="F138" i="209" s="1"/>
  <c r="F156" i="209" s="1"/>
  <c r="F175" i="209" s="1"/>
  <c r="F198" i="209" s="1"/>
  <c r="F216" i="209" s="1"/>
  <c r="F237" i="209" s="1"/>
  <c r="F254" i="209" s="1"/>
  <c r="F271" i="209" s="1"/>
  <c r="F287" i="209" s="1"/>
  <c r="F303" i="209" s="1"/>
  <c r="F318" i="209" s="1"/>
  <c r="F309" i="209"/>
  <c r="G309" i="209" s="1"/>
  <c r="C309" i="209"/>
  <c r="F294" i="209"/>
  <c r="G294" i="209" s="1"/>
  <c r="C294" i="209"/>
  <c r="F293" i="209"/>
  <c r="G293" i="209" s="1"/>
  <c r="C293" i="209"/>
  <c r="F324" i="209"/>
  <c r="G324" i="209" s="1"/>
  <c r="C324" i="209"/>
  <c r="C74" i="209"/>
  <c r="F278" i="209"/>
  <c r="G278" i="209" s="1"/>
  <c r="C278" i="209"/>
  <c r="G331" i="209"/>
  <c r="G329" i="209"/>
  <c r="F333" i="209" s="1"/>
  <c r="G333" i="209" s="1"/>
  <c r="G311" i="209"/>
  <c r="F315" i="209" s="1"/>
  <c r="G315" i="209" s="1"/>
  <c r="G296" i="209"/>
  <c r="F300" i="209" s="1"/>
  <c r="G300" i="209" s="1"/>
  <c r="A275" i="209"/>
  <c r="F284" i="209"/>
  <c r="G284" i="209" s="1"/>
  <c r="G282" i="209"/>
  <c r="G280" i="209"/>
  <c r="F277" i="209"/>
  <c r="G277" i="209" s="1"/>
  <c r="C277" i="209"/>
  <c r="A142" i="209"/>
  <c r="B142" i="209" s="1"/>
  <c r="C144" i="209"/>
  <c r="C127" i="209"/>
  <c r="A104" i="209"/>
  <c r="C107" i="209"/>
  <c r="C106" i="209"/>
  <c r="C90" i="209"/>
  <c r="A71" i="209"/>
  <c r="C73" i="209"/>
  <c r="A52" i="209"/>
  <c r="C38" i="209"/>
  <c r="C37" i="209"/>
  <c r="A18" i="209"/>
  <c r="B18" i="209" s="1"/>
  <c r="G26" i="209"/>
  <c r="G24" i="209"/>
  <c r="F28" i="209" s="1"/>
  <c r="G28" i="209" s="1"/>
  <c r="G22" i="209"/>
  <c r="F21" i="209"/>
  <c r="C21" i="209"/>
  <c r="F20" i="209"/>
  <c r="G20" i="209" s="1"/>
  <c r="C20" i="209"/>
  <c r="I22" i="210"/>
  <c r="I27" i="210"/>
  <c r="I26" i="210"/>
  <c r="I25" i="210"/>
  <c r="I17" i="210"/>
  <c r="I16" i="210"/>
  <c r="I15" i="210"/>
  <c r="I14" i="210"/>
  <c r="C3" i="209"/>
  <c r="B1" i="209"/>
  <c r="A1" i="209"/>
  <c r="J47" i="384" l="1"/>
  <c r="F58" i="396"/>
  <c r="F80" i="396"/>
  <c r="M80" i="396" s="1"/>
  <c r="F70" i="396"/>
  <c r="J46" i="385"/>
  <c r="E82" i="1" s="1"/>
  <c r="D84" i="396" s="1"/>
  <c r="J47" i="373"/>
  <c r="E62" i="1" s="1"/>
  <c r="J47" i="372"/>
  <c r="E61" i="1" s="1"/>
  <c r="D63" i="396" s="1"/>
  <c r="F5" i="388"/>
  <c r="J47" i="359"/>
  <c r="F336" i="209"/>
  <c r="F371" i="209" s="1"/>
  <c r="F390" i="209" s="1"/>
  <c r="F409" i="209" s="1"/>
  <c r="F429" i="209" s="1"/>
  <c r="F353" i="209"/>
  <c r="G353" i="209" s="1"/>
  <c r="G355" i="209" s="1"/>
  <c r="J47" i="388"/>
  <c r="J49" i="388" s="1"/>
  <c r="F153" i="209"/>
  <c r="G153" i="209" s="1"/>
  <c r="J36" i="350"/>
  <c r="E17" i="1" s="1"/>
  <c r="D19" i="396" s="1"/>
  <c r="J49" i="384"/>
  <c r="J53" i="354"/>
  <c r="E31" i="1" s="1"/>
  <c r="D33" i="396" s="1"/>
  <c r="J47" i="364"/>
  <c r="E44" i="1" s="1"/>
  <c r="D46" i="396" s="1"/>
  <c r="J47" i="365"/>
  <c r="M46" i="365" s="1"/>
  <c r="J47" i="366"/>
  <c r="J47" i="368"/>
  <c r="J36" i="353"/>
  <c r="J38" i="353" s="1"/>
  <c r="J36" i="361"/>
  <c r="J38" i="361" s="1"/>
  <c r="J46" i="363"/>
  <c r="E43" i="1" s="1"/>
  <c r="D45" i="396" s="1"/>
  <c r="J47" i="371"/>
  <c r="E51" i="1" s="1"/>
  <c r="J47" i="378"/>
  <c r="J36" i="352"/>
  <c r="J38" i="352" s="1"/>
  <c r="J41" i="367"/>
  <c r="M40" i="367" s="1"/>
  <c r="J47" i="370"/>
  <c r="J49" i="370" s="1"/>
  <c r="J47" i="376"/>
  <c r="J49" i="376" s="1"/>
  <c r="J36" i="347"/>
  <c r="J38" i="347" s="1"/>
  <c r="E11" i="1" s="1"/>
  <c r="D13" i="396" s="1"/>
  <c r="J47" i="369"/>
  <c r="E49" i="1" s="1"/>
  <c r="D51" i="396" s="1"/>
  <c r="J47" i="375"/>
  <c r="J47" i="387"/>
  <c r="J36" i="346"/>
  <c r="J38" i="346" s="1"/>
  <c r="J36" i="348"/>
  <c r="J38" i="348" s="1"/>
  <c r="J36" i="362"/>
  <c r="J38" i="362" s="1"/>
  <c r="J47" i="383"/>
  <c r="E80" i="1" s="1"/>
  <c r="D82" i="396" s="1"/>
  <c r="J47" i="389"/>
  <c r="E27" i="1" s="1"/>
  <c r="D29" i="396" s="1"/>
  <c r="J47" i="358"/>
  <c r="J49" i="358" s="1"/>
  <c r="J36" i="349"/>
  <c r="J38" i="349" s="1"/>
  <c r="J47" i="386"/>
  <c r="E83" i="1" s="1"/>
  <c r="D85" i="396" s="1"/>
  <c r="J47" i="360"/>
  <c r="E40" i="1" s="1"/>
  <c r="D42" i="396" s="1"/>
  <c r="J47" i="374"/>
  <c r="M46" i="374" s="1"/>
  <c r="J53" i="392"/>
  <c r="E34" i="1" s="1"/>
  <c r="D36" i="396" s="1"/>
  <c r="J52" i="381"/>
  <c r="E72" i="1" s="1"/>
  <c r="D74" i="396" s="1"/>
  <c r="J45" i="382"/>
  <c r="E73" i="1" s="1"/>
  <c r="D75" i="396" s="1"/>
  <c r="J36" i="351"/>
  <c r="E18" i="1" s="1"/>
  <c r="D20" i="396" s="1"/>
  <c r="C5" i="354"/>
  <c r="J49" i="366"/>
  <c r="E46" i="1"/>
  <c r="D48" i="396" s="1"/>
  <c r="M46" i="366"/>
  <c r="J53" i="393"/>
  <c r="J47" i="355"/>
  <c r="J53" i="391"/>
  <c r="J55" i="356"/>
  <c r="E32" i="1"/>
  <c r="D34" i="396" s="1"/>
  <c r="E81" i="1"/>
  <c r="D83" i="396" s="1"/>
  <c r="E9" i="1"/>
  <c r="D11" i="396" s="1"/>
  <c r="J49" i="373"/>
  <c r="J48" i="385"/>
  <c r="F5" i="362"/>
  <c r="F128" i="209"/>
  <c r="G128" i="209" s="1"/>
  <c r="F145" i="209"/>
  <c r="G145" i="209" s="1"/>
  <c r="F163" i="209"/>
  <c r="G163" i="209" s="1"/>
  <c r="F205" i="209"/>
  <c r="G205" i="209" s="1"/>
  <c r="F108" i="209"/>
  <c r="G108" i="209" s="1"/>
  <c r="G468" i="209"/>
  <c r="F43" i="1" s="1"/>
  <c r="E45" i="396" s="1"/>
  <c r="B375" i="209"/>
  <c r="B413" i="209"/>
  <c r="G427" i="209"/>
  <c r="F40" i="1" s="1"/>
  <c r="E42" i="396" s="1"/>
  <c r="G407" i="209"/>
  <c r="F39" i="1" s="1"/>
  <c r="E41" i="396" s="1"/>
  <c r="B394" i="209"/>
  <c r="B357" i="209"/>
  <c r="G388" i="209"/>
  <c r="F38" i="1" s="1"/>
  <c r="E40" i="396" s="1"/>
  <c r="G369" i="209"/>
  <c r="F5" i="393"/>
  <c r="F5" i="392"/>
  <c r="C5" i="395"/>
  <c r="C5" i="350"/>
  <c r="F5" i="355"/>
  <c r="F5" i="359"/>
  <c r="C5" i="360"/>
  <c r="F5" i="389"/>
  <c r="F5" i="361"/>
  <c r="C5" i="356"/>
  <c r="C5" i="358"/>
  <c r="F5" i="356"/>
  <c r="F5" i="358"/>
  <c r="C5" i="391"/>
  <c r="B258" i="209"/>
  <c r="G1426" i="209"/>
  <c r="G269" i="209"/>
  <c r="B202" i="209"/>
  <c r="G38" i="209"/>
  <c r="B241" i="209"/>
  <c r="G285" i="209"/>
  <c r="B275" i="209"/>
  <c r="G21" i="209"/>
  <c r="G29" i="209" s="1"/>
  <c r="B220" i="209"/>
  <c r="G252" i="209"/>
  <c r="F27" i="1" s="1"/>
  <c r="E29" i="396" s="1"/>
  <c r="G77" i="209"/>
  <c r="G82" i="209" s="1"/>
  <c r="G93" i="209"/>
  <c r="G316" i="209"/>
  <c r="F34" i="1" s="1"/>
  <c r="E36" i="396" s="1"/>
  <c r="B104" i="209"/>
  <c r="G301" i="209"/>
  <c r="F32" i="1" s="1"/>
  <c r="E34" i="396" s="1"/>
  <c r="B52" i="209"/>
  <c r="G334" i="209"/>
  <c r="F33" i="1" s="1"/>
  <c r="E35" i="396" s="1"/>
  <c r="B71" i="209"/>
  <c r="G12" i="209"/>
  <c r="G235" i="209"/>
  <c r="G64" i="209"/>
  <c r="B160" i="209"/>
  <c r="B179" i="209"/>
  <c r="J47" i="395"/>
  <c r="M46" i="375" l="1"/>
  <c r="E64" i="1"/>
  <c r="D66" i="396" s="1"/>
  <c r="D53" i="396"/>
  <c r="G51" i="1"/>
  <c r="F53" i="396" s="1"/>
  <c r="G82" i="1"/>
  <c r="F84" i="396" s="1"/>
  <c r="N84" i="396" s="1"/>
  <c r="L70" i="396"/>
  <c r="K70" i="396"/>
  <c r="J70" i="396"/>
  <c r="J58" i="396"/>
  <c r="K58" i="396"/>
  <c r="K53" i="396"/>
  <c r="J53" i="396"/>
  <c r="G62" i="1"/>
  <c r="F64" i="396" s="1"/>
  <c r="D64" i="396"/>
  <c r="J49" i="387"/>
  <c r="E84" i="1"/>
  <c r="D86" i="396" s="1"/>
  <c r="J49" i="386"/>
  <c r="J54" i="381"/>
  <c r="E67" i="1"/>
  <c r="D69" i="396" s="1"/>
  <c r="M46" i="376"/>
  <c r="E65" i="1"/>
  <c r="J49" i="375"/>
  <c r="E63" i="1"/>
  <c r="J49" i="374"/>
  <c r="J49" i="372"/>
  <c r="I5" i="407"/>
  <c r="J49" i="371"/>
  <c r="E50" i="1"/>
  <c r="M46" i="369"/>
  <c r="J49" i="369"/>
  <c r="J49" i="368"/>
  <c r="E48" i="1"/>
  <c r="E47" i="1"/>
  <c r="J43" i="367"/>
  <c r="J49" i="364"/>
  <c r="M46" i="364"/>
  <c r="J48" i="363"/>
  <c r="I5" i="406"/>
  <c r="F470" i="209"/>
  <c r="F491" i="209" s="1"/>
  <c r="F512" i="209" s="1"/>
  <c r="F533" i="209" s="1"/>
  <c r="F448" i="209"/>
  <c r="G448" i="209" s="1"/>
  <c r="G450" i="209" s="1"/>
  <c r="J49" i="360"/>
  <c r="E39" i="1"/>
  <c r="D41" i="396" s="1"/>
  <c r="J49" i="359"/>
  <c r="E38" i="1"/>
  <c r="D40" i="396" s="1"/>
  <c r="J55" i="392"/>
  <c r="J55" i="354"/>
  <c r="J49" i="389"/>
  <c r="E26" i="1"/>
  <c r="D28" i="396" s="1"/>
  <c r="E19" i="1"/>
  <c r="D21" i="396" s="1"/>
  <c r="E23" i="1"/>
  <c r="D25" i="396" s="1"/>
  <c r="E20" i="1"/>
  <c r="D22" i="396" s="1"/>
  <c r="E10" i="1"/>
  <c r="D12" i="396" s="1"/>
  <c r="J38" i="351"/>
  <c r="J38" i="350"/>
  <c r="E14" i="1"/>
  <c r="D16" i="396" s="1"/>
  <c r="E13" i="1"/>
  <c r="D15" i="396" s="1"/>
  <c r="J49" i="383"/>
  <c r="M46" i="378"/>
  <c r="E45" i="1"/>
  <c r="D47" i="396" s="1"/>
  <c r="J49" i="378"/>
  <c r="J49" i="365"/>
  <c r="G46" i="1"/>
  <c r="J47" i="382"/>
  <c r="G44" i="1"/>
  <c r="G49" i="1"/>
  <c r="I5" i="358"/>
  <c r="G64" i="1"/>
  <c r="I5" i="391"/>
  <c r="G32" i="1"/>
  <c r="G66" i="1"/>
  <c r="G61" i="1"/>
  <c r="G34" i="1"/>
  <c r="F36" i="396" s="1"/>
  <c r="L36" i="396" s="1"/>
  <c r="I5" i="363"/>
  <c r="G80" i="1"/>
  <c r="E36" i="1"/>
  <c r="D38" i="396" s="1"/>
  <c r="J55" i="393"/>
  <c r="J49" i="395"/>
  <c r="E29" i="1"/>
  <c r="D31" i="396" s="1"/>
  <c r="G73" i="1"/>
  <c r="E24" i="1"/>
  <c r="D26" i="396" s="1"/>
  <c r="J49" i="355"/>
  <c r="G83" i="1"/>
  <c r="G81" i="1"/>
  <c r="E33" i="1"/>
  <c r="D35" i="396" s="1"/>
  <c r="J55" i="391"/>
  <c r="F94" i="1"/>
  <c r="E96" i="396" s="1"/>
  <c r="G1427" i="209"/>
  <c r="F1036" i="209"/>
  <c r="G1036" i="209" s="1"/>
  <c r="G1051" i="209" s="1"/>
  <c r="F72" i="1" s="1"/>
  <c r="E74" i="396" s="1"/>
  <c r="F1013" i="209"/>
  <c r="G1013" i="209" s="1"/>
  <c r="G1028" i="209" s="1"/>
  <c r="G43" i="1"/>
  <c r="G469" i="209"/>
  <c r="I5" i="360"/>
  <c r="G409" i="209"/>
  <c r="I5" i="359"/>
  <c r="G408" i="209"/>
  <c r="G429" i="209"/>
  <c r="G428" i="209"/>
  <c r="F36" i="1"/>
  <c r="E38" i="396" s="1"/>
  <c r="G390" i="209"/>
  <c r="G389" i="209"/>
  <c r="G370" i="209"/>
  <c r="G371" i="209"/>
  <c r="I5" i="392"/>
  <c r="I5" i="356"/>
  <c r="F31" i="1"/>
  <c r="E33" i="396" s="1"/>
  <c r="F29" i="1"/>
  <c r="E31" i="396" s="1"/>
  <c r="G271" i="209"/>
  <c r="G270" i="209"/>
  <c r="F204" i="209"/>
  <c r="G204" i="209" s="1"/>
  <c r="G214" i="209" s="1"/>
  <c r="F24" i="1" s="1"/>
  <c r="E26" i="396" s="1"/>
  <c r="F162" i="209"/>
  <c r="F127" i="209"/>
  <c r="G127" i="209" s="1"/>
  <c r="G136" i="209" s="1"/>
  <c r="I137" i="209" s="1"/>
  <c r="F181" i="209"/>
  <c r="G181" i="209" s="1"/>
  <c r="G196" i="209" s="1"/>
  <c r="G198" i="209" s="1"/>
  <c r="G90" i="209"/>
  <c r="G98" i="209" s="1"/>
  <c r="F17" i="1" s="1"/>
  <c r="E19" i="396" s="1"/>
  <c r="F39" i="209"/>
  <c r="G39" i="209" s="1"/>
  <c r="G46" i="209" s="1"/>
  <c r="G47" i="209" s="1"/>
  <c r="F144" i="209"/>
  <c r="G144" i="209" s="1"/>
  <c r="G154" i="209" s="1"/>
  <c r="F106" i="209"/>
  <c r="G106" i="209" s="1"/>
  <c r="G118" i="209" s="1"/>
  <c r="F18" i="1" s="1"/>
  <c r="E20" i="396" s="1"/>
  <c r="G65" i="209"/>
  <c r="F14" i="1"/>
  <c r="E16" i="396" s="1"/>
  <c r="G83" i="209"/>
  <c r="G84" i="209"/>
  <c r="G253" i="209"/>
  <c r="G286" i="209"/>
  <c r="G287" i="209"/>
  <c r="G254" i="209"/>
  <c r="G13" i="209"/>
  <c r="G14" i="209"/>
  <c r="F9" i="1"/>
  <c r="E11" i="396" s="1"/>
  <c r="G318" i="209"/>
  <c r="G317" i="209"/>
  <c r="G237" i="209"/>
  <c r="F26" i="1"/>
  <c r="E28" i="396" s="1"/>
  <c r="G236" i="209"/>
  <c r="G27" i="1"/>
  <c r="I5" i="389"/>
  <c r="G303" i="209"/>
  <c r="G302" i="209"/>
  <c r="G336" i="209"/>
  <c r="G335" i="209"/>
  <c r="G31" i="209"/>
  <c r="F10" i="1"/>
  <c r="E12" i="396" s="1"/>
  <c r="G30" i="209"/>
  <c r="L64" i="396" l="1"/>
  <c r="K64" i="396"/>
  <c r="J64" i="396"/>
  <c r="G48" i="1"/>
  <c r="F50" i="396" s="1"/>
  <c r="D50" i="396"/>
  <c r="G63" i="1"/>
  <c r="F65" i="396" s="1"/>
  <c r="D65" i="396"/>
  <c r="G65" i="1"/>
  <c r="F67" i="396" s="1"/>
  <c r="D67" i="396"/>
  <c r="G50" i="1"/>
  <c r="F52" i="396" s="1"/>
  <c r="D52" i="396"/>
  <c r="G84" i="1"/>
  <c r="F86" i="396" s="1"/>
  <c r="N86" i="396" s="1"/>
  <c r="G47" i="1"/>
  <c r="F49" i="396" s="1"/>
  <c r="D49" i="396"/>
  <c r="F51" i="396"/>
  <c r="F82" i="396"/>
  <c r="N82" i="396" s="1"/>
  <c r="F46" i="396"/>
  <c r="F75" i="396"/>
  <c r="F63" i="396"/>
  <c r="F68" i="396"/>
  <c r="F34" i="396"/>
  <c r="F48" i="396"/>
  <c r="F83" i="396"/>
  <c r="N83" i="396" s="1"/>
  <c r="N30" i="396"/>
  <c r="F29" i="396"/>
  <c r="L29" i="396" s="1"/>
  <c r="N44" i="396"/>
  <c r="F45" i="396"/>
  <c r="F85" i="396"/>
  <c r="N85" i="396" s="1"/>
  <c r="N62" i="396"/>
  <c r="F66" i="396"/>
  <c r="G67" i="1"/>
  <c r="G512" i="209"/>
  <c r="G470" i="209"/>
  <c r="G491" i="209"/>
  <c r="G38" i="1"/>
  <c r="G40" i="1"/>
  <c r="G39" i="1"/>
  <c r="G162" i="209"/>
  <c r="G173" i="209" s="1"/>
  <c r="G45" i="1"/>
  <c r="G14" i="1"/>
  <c r="G94" i="1"/>
  <c r="G33" i="1"/>
  <c r="F552" i="209"/>
  <c r="G533" i="209"/>
  <c r="G155" i="209"/>
  <c r="F20" i="1"/>
  <c r="E22" i="396" s="1"/>
  <c r="G72" i="1"/>
  <c r="F74" i="396" s="1"/>
  <c r="I5" i="381"/>
  <c r="F70" i="1"/>
  <c r="E72" i="396" s="1"/>
  <c r="G1029" i="209"/>
  <c r="G1052" i="209"/>
  <c r="F23" i="1"/>
  <c r="E25" i="396" s="1"/>
  <c r="K25" i="396" s="1"/>
  <c r="G36" i="1"/>
  <c r="I5" i="393"/>
  <c r="G31" i="1"/>
  <c r="I5" i="354"/>
  <c r="G216" i="209"/>
  <c r="G215" i="209"/>
  <c r="G156" i="209"/>
  <c r="G197" i="209"/>
  <c r="I5" i="395"/>
  <c r="G29" i="1"/>
  <c r="F11" i="1"/>
  <c r="E13" i="396" s="1"/>
  <c r="G137" i="209"/>
  <c r="G138" i="209"/>
  <c r="G67" i="209"/>
  <c r="F19" i="1"/>
  <c r="E21" i="396" s="1"/>
  <c r="G48" i="209"/>
  <c r="G100" i="209"/>
  <c r="G99" i="209"/>
  <c r="I5" i="350"/>
  <c r="I5" i="351"/>
  <c r="G120" i="209"/>
  <c r="G119" i="209"/>
  <c r="F13" i="1"/>
  <c r="E15" i="396" s="1"/>
  <c r="G66" i="209"/>
  <c r="I5" i="349"/>
  <c r="G10" i="1"/>
  <c r="I5" i="346"/>
  <c r="I5" i="345"/>
  <c r="G9" i="1"/>
  <c r="G24" i="1"/>
  <c r="I5" i="355"/>
  <c r="I5" i="388"/>
  <c r="G26" i="1"/>
  <c r="L67" i="396" l="1"/>
  <c r="K67" i="396"/>
  <c r="J67" i="396"/>
  <c r="J66" i="396"/>
  <c r="L66" i="396"/>
  <c r="K66" i="396"/>
  <c r="K65" i="396"/>
  <c r="J65" i="396"/>
  <c r="L65" i="396"/>
  <c r="K51" i="396"/>
  <c r="J51" i="396"/>
  <c r="J68" i="396"/>
  <c r="L68" i="396"/>
  <c r="K68" i="396"/>
  <c r="J50" i="396"/>
  <c r="K50" i="396"/>
  <c r="N75" i="396"/>
  <c r="L75" i="396"/>
  <c r="J49" i="396"/>
  <c r="K49" i="396"/>
  <c r="J48" i="396"/>
  <c r="K48" i="396"/>
  <c r="J45" i="396"/>
  <c r="K45" i="396"/>
  <c r="J63" i="396"/>
  <c r="K63" i="396"/>
  <c r="L63" i="396"/>
  <c r="L74" i="396"/>
  <c r="N74" i="396"/>
  <c r="K52" i="396"/>
  <c r="J52" i="396"/>
  <c r="J46" i="396"/>
  <c r="K46" i="396"/>
  <c r="K34" i="396"/>
  <c r="L34" i="396" s="1"/>
  <c r="F33" i="396"/>
  <c r="F11" i="396"/>
  <c r="I11" i="396" s="1"/>
  <c r="F12" i="396"/>
  <c r="I12" i="396" s="1"/>
  <c r="F69" i="396"/>
  <c r="F38" i="396"/>
  <c r="I17" i="396"/>
  <c r="J17" i="396" s="1"/>
  <c r="F16" i="396"/>
  <c r="I16" i="396" s="1"/>
  <c r="I32" i="396"/>
  <c r="J32" i="396" s="1"/>
  <c r="F31" i="396"/>
  <c r="F47" i="396"/>
  <c r="F28" i="396"/>
  <c r="L28" i="396" s="1"/>
  <c r="F42" i="396"/>
  <c r="F41" i="396"/>
  <c r="L27" i="396"/>
  <c r="M27" i="396" s="1"/>
  <c r="F26" i="396"/>
  <c r="F35" i="396"/>
  <c r="F40" i="396"/>
  <c r="F96" i="396"/>
  <c r="N96" i="396" s="1"/>
  <c r="G175" i="209"/>
  <c r="F22" i="1"/>
  <c r="E24" i="396" s="1"/>
  <c r="G174" i="209"/>
  <c r="G70" i="1"/>
  <c r="G11" i="1"/>
  <c r="F13" i="396" s="1"/>
  <c r="G20" i="1"/>
  <c r="G23" i="1"/>
  <c r="G13" i="1"/>
  <c r="F15" i="396" s="1"/>
  <c r="I15" i="396" s="1"/>
  <c r="F571" i="209"/>
  <c r="G552" i="209"/>
  <c r="I5" i="352"/>
  <c r="I5" i="362"/>
  <c r="G17" i="1"/>
  <c r="I5" i="353"/>
  <c r="I5" i="347"/>
  <c r="I5" i="348"/>
  <c r="G18" i="1"/>
  <c r="G19" i="1"/>
  <c r="K41" i="396" l="1"/>
  <c r="L41" i="396"/>
  <c r="L69" i="396"/>
  <c r="K69" i="396"/>
  <c r="J69" i="396"/>
  <c r="M38" i="396"/>
  <c r="L38" i="396"/>
  <c r="N42" i="396"/>
  <c r="M42" i="396"/>
  <c r="J47" i="396"/>
  <c r="K47" i="396"/>
  <c r="L40" i="396"/>
  <c r="M40" i="396"/>
  <c r="K40" i="396"/>
  <c r="L33" i="396"/>
  <c r="K33" i="396"/>
  <c r="L35" i="396"/>
  <c r="K35" i="396"/>
  <c r="M35" i="396"/>
  <c r="L31" i="396"/>
  <c r="I31" i="396"/>
  <c r="J31" i="396"/>
  <c r="K31" i="396"/>
  <c r="K26" i="396"/>
  <c r="L26" i="396"/>
  <c r="F25" i="396"/>
  <c r="F20" i="396"/>
  <c r="K20" i="396" s="1"/>
  <c r="J20" i="396" s="1"/>
  <c r="I23" i="396"/>
  <c r="J23" i="396" s="1"/>
  <c r="F22" i="396"/>
  <c r="J22" i="396" s="1"/>
  <c r="F72" i="396"/>
  <c r="F19" i="396"/>
  <c r="J19" i="396" s="1"/>
  <c r="F21" i="396"/>
  <c r="J21" i="396" s="1"/>
  <c r="I5" i="361"/>
  <c r="G22" i="1"/>
  <c r="G98" i="1" s="1"/>
  <c r="G101" i="1" s="1"/>
  <c r="I13" i="396"/>
  <c r="F590" i="209"/>
  <c r="G571" i="209"/>
  <c r="L72" i="396" l="1"/>
  <c r="K72" i="396"/>
  <c r="J72" i="396"/>
  <c r="K21" i="396"/>
  <c r="F24" i="396"/>
  <c r="K24" i="396" s="1"/>
  <c r="F609" i="209"/>
  <c r="G590" i="209"/>
  <c r="G862" i="209"/>
  <c r="G839" i="209"/>
  <c r="G631" i="209"/>
  <c r="G513" i="209"/>
  <c r="G514" i="209" s="1"/>
  <c r="G816" i="209"/>
  <c r="G709" i="209"/>
  <c r="G553" i="209"/>
  <c r="G554" i="209" s="1"/>
  <c r="G730" i="209"/>
  <c r="G692" i="209"/>
  <c r="G672" i="209"/>
  <c r="G572" i="209"/>
  <c r="G573" i="209" s="1"/>
  <c r="G652" i="209"/>
  <c r="G610" i="209"/>
  <c r="G591" i="209"/>
  <c r="G492" i="209"/>
  <c r="G493" i="209" s="1"/>
  <c r="G534" i="209"/>
  <c r="G535" i="209" s="1"/>
  <c r="G430" i="209"/>
  <c r="G431" i="209" s="1"/>
  <c r="G288" i="209"/>
  <c r="G289" i="209" s="1"/>
  <c r="G101" i="209"/>
  <c r="G102" i="209" s="1"/>
  <c r="G32" i="209"/>
  <c r="G33" i="209" s="1"/>
  <c r="G471" i="209"/>
  <c r="G472" i="209" s="1"/>
  <c r="G272" i="209"/>
  <c r="G273" i="209" s="1"/>
  <c r="G238" i="209"/>
  <c r="G239" i="209" s="1"/>
  <c r="G304" i="209"/>
  <c r="G305" i="209" s="1"/>
  <c r="G121" i="209"/>
  <c r="G122" i="209" s="1"/>
  <c r="G49" i="209"/>
  <c r="G50" i="209" s="1"/>
  <c r="G410" i="209"/>
  <c r="G411" i="209" s="1"/>
  <c r="G372" i="209"/>
  <c r="G373" i="209" s="1"/>
  <c r="G217" i="209"/>
  <c r="G218" i="209" s="1"/>
  <c r="G199" i="209"/>
  <c r="G200" i="209" s="1"/>
  <c r="G176" i="209"/>
  <c r="G177" i="209" s="1"/>
  <c r="G15" i="209"/>
  <c r="G16" i="209" s="1"/>
  <c r="G319" i="209"/>
  <c r="G320" i="209" s="1"/>
  <c r="G139" i="209"/>
  <c r="G140" i="209" s="1"/>
  <c r="G68" i="209"/>
  <c r="G69" i="209" s="1"/>
  <c r="G391" i="209"/>
  <c r="G392" i="209" s="1"/>
  <c r="G255" i="209"/>
  <c r="G256" i="209" s="1"/>
  <c r="G337" i="209"/>
  <c r="G338" i="209" s="1"/>
  <c r="G157" i="209"/>
  <c r="G158" i="209" s="1"/>
  <c r="G85" i="209"/>
  <c r="G86" i="209" s="1"/>
  <c r="I10" i="210" l="1"/>
  <c r="I49" i="210"/>
  <c r="I8" i="210"/>
  <c r="G592" i="209"/>
  <c r="F630" i="209"/>
  <c r="G609" i="209"/>
  <c r="G611" i="209" s="1"/>
  <c r="H16" i="210" l="1"/>
  <c r="G24" i="397"/>
  <c r="H17" i="210"/>
  <c r="H26" i="210"/>
  <c r="H22" i="210"/>
  <c r="H21" i="210"/>
  <c r="H14" i="210"/>
  <c r="H27" i="210"/>
  <c r="H15" i="210"/>
  <c r="H28" i="210"/>
  <c r="H25" i="210"/>
  <c r="H29" i="210"/>
  <c r="H20" i="210"/>
  <c r="F651" i="209"/>
  <c r="G630" i="209"/>
  <c r="G632" i="209" s="1"/>
  <c r="F671" i="209" l="1"/>
  <c r="G651" i="209"/>
  <c r="G653" i="209" s="1"/>
  <c r="F691" i="209" l="1"/>
  <c r="G671" i="209"/>
  <c r="G673" i="209" s="1"/>
  <c r="F708" i="209" l="1"/>
  <c r="G691" i="209"/>
  <c r="G693" i="209" s="1"/>
  <c r="F729" i="209" l="1"/>
  <c r="F749" i="209" s="1"/>
  <c r="G708" i="209"/>
  <c r="G710" i="209" s="1"/>
  <c r="F769" i="209" l="1"/>
  <c r="G769" i="209" s="1"/>
  <c r="G772" i="209" s="1"/>
  <c r="G749" i="209"/>
  <c r="G751" i="209" s="1"/>
  <c r="F815" i="209"/>
  <c r="G729" i="209"/>
  <c r="G731" i="209" s="1"/>
  <c r="F838" i="209" l="1"/>
  <c r="G815" i="209"/>
  <c r="G817" i="209" s="1"/>
  <c r="F861" i="209" l="1"/>
  <c r="F885" i="209" s="1"/>
  <c r="G838" i="209"/>
  <c r="G840" i="209" s="1"/>
  <c r="G885" i="209" l="1"/>
  <c r="G887" i="209" s="1"/>
  <c r="F910" i="209"/>
  <c r="G861" i="209"/>
  <c r="G863" i="209" s="1"/>
  <c r="F934" i="209" l="1"/>
  <c r="G910" i="209"/>
  <c r="F909" i="209"/>
  <c r="F957" i="209" l="1"/>
  <c r="G934" i="209"/>
  <c r="F933" i="209"/>
  <c r="G909" i="209"/>
  <c r="G911" i="209" s="1"/>
  <c r="F980" i="209" l="1"/>
  <c r="G957" i="209"/>
  <c r="G933" i="209"/>
  <c r="G935" i="209" s="1"/>
  <c r="F1002" i="209" l="1"/>
  <c r="G980" i="209"/>
  <c r="F956" i="209"/>
  <c r="F1008" i="209" l="1"/>
  <c r="G1002" i="209"/>
  <c r="F979" i="209"/>
  <c r="G956" i="209"/>
  <c r="G958" i="209" s="1"/>
  <c r="F1031" i="209" l="1"/>
  <c r="G1008" i="209"/>
  <c r="F1001" i="209"/>
  <c r="G979" i="209"/>
  <c r="G981" i="209" s="1"/>
  <c r="F1054" i="209" l="1"/>
  <c r="G1031" i="209"/>
  <c r="F1007" i="209"/>
  <c r="G1001" i="209"/>
  <c r="G1003" i="209" s="1"/>
  <c r="F1077" i="209" l="1"/>
  <c r="G1054" i="209"/>
  <c r="F1030" i="209"/>
  <c r="G1007" i="209"/>
  <c r="G1009" i="209" s="1"/>
  <c r="F1159" i="209" l="1"/>
  <c r="G1077" i="209"/>
  <c r="F1053" i="209"/>
  <c r="G1030" i="209"/>
  <c r="G1032" i="209" s="1"/>
  <c r="F1182" i="209" l="1"/>
  <c r="G1159" i="209"/>
  <c r="F1076" i="209"/>
  <c r="G1053" i="209"/>
  <c r="G1055" i="209" s="1"/>
  <c r="F1205" i="209" l="1"/>
  <c r="G1182" i="209"/>
  <c r="F1158" i="209"/>
  <c r="G1076" i="209"/>
  <c r="G1078" i="209" s="1"/>
  <c r="F1228" i="209" l="1"/>
  <c r="G1205" i="209"/>
  <c r="F1181" i="209"/>
  <c r="G1158" i="209"/>
  <c r="G1160" i="209" s="1"/>
  <c r="F1251" i="209" l="1"/>
  <c r="G1228" i="209"/>
  <c r="F1204" i="209"/>
  <c r="G1181" i="209"/>
  <c r="G1183" i="209" s="1"/>
  <c r="F1273" i="209" l="1"/>
  <c r="G1251" i="209"/>
  <c r="F1227" i="209"/>
  <c r="G1204" i="209"/>
  <c r="G1206" i="209" s="1"/>
  <c r="F1429" i="209" l="1"/>
  <c r="G1429" i="209" s="1"/>
  <c r="G1273" i="209"/>
  <c r="F1250" i="209"/>
  <c r="G1227" i="209"/>
  <c r="G1229" i="209" s="1"/>
  <c r="F1272" i="209" l="1"/>
  <c r="G1250" i="209"/>
  <c r="G1252" i="209" s="1"/>
  <c r="F1428" i="209" l="1"/>
  <c r="G1428" i="209" s="1"/>
  <c r="G1430" i="209" s="1"/>
  <c r="G1272" i="209"/>
  <c r="G1274" i="209" s="1"/>
  <c r="H25" i="397" l="1"/>
  <c r="E17" i="430" l="1"/>
  <c r="H17" i="430" s="1"/>
  <c r="E16" i="430"/>
  <c r="H16" i="430" s="1"/>
  <c r="E15" i="430"/>
  <c r="H15" i="430" s="1"/>
  <c r="H13" i="430"/>
  <c r="H25" i="430" l="1"/>
  <c r="J16" i="397" s="1"/>
  <c r="H112" i="1"/>
  <c r="H113" i="1" l="1"/>
  <c r="H114" i="1"/>
  <c r="G104" i="1"/>
  <c r="L31" i="210"/>
  <c r="I35" i="210"/>
  <c r="I47" i="210"/>
  <c r="G99" i="1"/>
  <c r="I21" i="431"/>
  <c r="I26" i="431"/>
  <c r="I29" i="431"/>
  <c r="I37" i="431"/>
  <c r="H26" i="397"/>
  <c r="H27" i="397"/>
  <c r="A17" i="431"/>
  <c r="C21" i="431"/>
  <c r="H21" i="431"/>
  <c r="C20" i="431"/>
  <c r="H20" i="431"/>
  <c r="A17" i="429"/>
  <c r="C24" i="429"/>
  <c r="H24" i="429"/>
  <c r="C23" i="431"/>
  <c r="C21" i="429"/>
  <c r="H21" i="429"/>
  <c r="I21" i="429"/>
  <c r="I26" i="429"/>
  <c r="I29" i="429"/>
  <c r="I37" i="429"/>
  <c r="C25" i="431"/>
  <c r="H25" i="431"/>
  <c r="C25" i="429"/>
  <c r="H25" i="429"/>
  <c r="I25" i="431"/>
  <c r="C24" i="431"/>
  <c r="H24" i="431"/>
  <c r="I24" i="431"/>
  <c r="A15" i="431" a="1"/>
  <c r="I25" i="429"/>
  <c r="G106" i="1"/>
  <c r="H107" i="1"/>
  <c r="G27" i="397"/>
  <c r="F105" i="1"/>
  <c r="I28" i="431"/>
  <c r="H106" i="1"/>
  <c r="C22" i="431"/>
  <c r="H22" i="431"/>
  <c r="I22" i="431"/>
  <c r="C20" i="429"/>
  <c r="C27" i="429"/>
  <c r="I42" i="210"/>
  <c r="H47" i="210"/>
  <c r="F99" i="1"/>
  <c r="I9" i="210"/>
  <c r="C23" i="429"/>
  <c r="H23" i="429"/>
  <c r="C22" i="429"/>
  <c r="H22" i="429"/>
  <c r="H23" i="431"/>
  <c r="H20" i="429"/>
  <c r="A15" i="429" a="1"/>
  <c r="I24" i="429"/>
  <c r="I23" i="431"/>
  <c r="C27" i="431"/>
  <c r="I23" i="429"/>
  <c r="I28" i="429"/>
  <c r="I22" i="429"/>
  <c r="L32" i="210"/>
  <c r="I37" i="210"/>
  <c r="I36" i="210"/>
  <c r="I38" i="210"/>
  <c r="I39" i="210"/>
  <c r="G26" i="397"/>
  <c r="G10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2" authorId="0" shapeId="0" xr:uid="{3C202836-2C7B-4DC9-9406-9A528E9EBA1D}">
      <text>
        <r>
          <rPr>
            <sz val="10"/>
            <color rgb="FF000000"/>
            <rFont val="Arial"/>
            <family val="2"/>
          </rPr>
          <t>======
ID#AAAAIRjo_AI
Agencia Medellin    (2021-04-17 16:59:36)
Seleccione el ramo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C2" authorId="0" shapeId="0" xr:uid="{08365F4E-062F-4B31-A355-DFEB4F91BEA7}">
      <text>
        <r>
          <rPr>
            <sz val="10"/>
            <color rgb="FF000000"/>
            <rFont val="Arial"/>
            <family val="2"/>
          </rPr>
          <t>======
ID#AAAAIRjo_AI
Agencia Medellin    (2021-04-17 16:59:36)
Seleccione el ramo</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1">
    <bk>
      <extLst>
        <ext uri="{3e2802c4-a4d2-4d8b-9148-e3be6c30e623}">
          <xlrd:rvb i="0"/>
        </ext>
      </extLst>
    </bk>
  </futureMetadata>
  <cellMetadata count="1">
    <bk>
      <rc t="1" v="0"/>
    </bk>
  </cellMetadata>
  <valueMetadata count="1">
    <bk>
      <rc t="2" v="0"/>
    </bk>
  </valueMetadata>
</metadata>
</file>

<file path=xl/sharedStrings.xml><?xml version="1.0" encoding="utf-8"?>
<sst xmlns="http://schemas.openxmlformats.org/spreadsheetml/2006/main" count="5550" uniqueCount="1264">
  <si>
    <t xml:space="preserve">CONSTRUCCIÓN CENTRO DÍA GERONTOLÓGICO CORREGIMIENTO SAN JOSÉ DEL NUS DEL MUNICIPIO DE SAN ROQUE ANTIOQUIA </t>
  </si>
  <si>
    <t xml:space="preserve">FECHA </t>
  </si>
  <si>
    <t xml:space="preserve">MUNICIPIO DE SAN ROQUE - ANTIOQUIA, CORREGIMIENTO DE SAN JOSÉ DEL NÚS. </t>
  </si>
  <si>
    <t>JUNIO DE 2026</t>
  </si>
  <si>
    <t xml:space="preserve">CONSTRUCCIÓN DE CENTRO DIA - MUNICIPIO DE SAN ROQUE </t>
  </si>
  <si>
    <t>ITEM</t>
  </si>
  <si>
    <t>DESCRIPCION NUEVOS APUS</t>
  </si>
  <si>
    <t>UNIDAD</t>
  </si>
  <si>
    <t>MEMORIAS DE CALCULO</t>
  </si>
  <si>
    <t>VALOR UNITARIO APUS NUEVOS</t>
  </si>
  <si>
    <t>TOTAL</t>
  </si>
  <si>
    <t>REPLANTEO Y PRELIMINARES</t>
  </si>
  <si>
    <t xml:space="preserve">Localizacion, trazado y Replanteo, se incluye suministro de cuadrilla topografíca para rectificación de cartera, verificación de alineamientos, desarrollo de planos. </t>
  </si>
  <si>
    <t>DIA</t>
  </si>
  <si>
    <t>Excavación mecanica de capa organica Incluye: (Excavacion mecanica, cargue y votada de material sobrante a la escombrera)</t>
  </si>
  <si>
    <t>M3</t>
  </si>
  <si>
    <t>Instalación de CERRAMIENTO PROVISIONAL en tela verde con una altura de 2,1 m. Incluye suministro, transporte, instalación y desmonte de la tela y estructura en larguero común, excavación manual en cualquier material y todos los demás elementos necesarios para su correcta instalación.</t>
  </si>
  <si>
    <t>ML</t>
  </si>
  <si>
    <t>EXCAVACIONES Y LLENOS</t>
  </si>
  <si>
    <t xml:space="preserve">EXCAVACIÓN de material heterogéneo DE 0-2 m., bajo cualquier grado de humedad. Incluye: roca descompuesta, bolas de roca de volumen inferior a 0.035 m³. Incluye botada </t>
  </si>
  <si>
    <t>LLENOS CON MATERIAL DE PRESTAMO, compactados mecánicamente hasta obtener una densidad del 98% de la máxima obtenida en el ensayo del Próctor modificado. Incluye el suministro, transporte, colocación de la arenilla, la compactación de la misma y transporte interno. Y su medida será en sitio ya compactado.</t>
  </si>
  <si>
    <t xml:space="preserve">ESTRUCTURA Y CONCRETOS </t>
  </si>
  <si>
    <t>CIMENTACIONES</t>
  </si>
  <si>
    <t/>
  </si>
  <si>
    <t>3,1,1</t>
  </si>
  <si>
    <t>Suministro, transporte y colocación de concreto de 14 Mpa para SOLADO, con un espesor DE 0.05 m. Incluye el suministro y el transporte del concreto y todos los demás elementos necesarios para su correcta construcción, incluye acarreo interno.</t>
  </si>
  <si>
    <t>M2</t>
  </si>
  <si>
    <t>3,1,2</t>
  </si>
  <si>
    <t>Construcción de LOSA MACIZA en concreto de 21 MPa., con un ESPESOR DE 10 cm. Incluye suministro, transporte y la colocación del concreto, vibrado, protección y curado para estructuras, de acuerdo a las diferentes dimensiones establecidas en los planos y todos los demás elementos necesarios para su correcto vaciado, se incluye acero de refuerzo con doble malla electrosoldada D084 y plastico para evitar el contacto directo de la losa con el terreno</t>
  </si>
  <si>
    <t>3,1,3</t>
  </si>
  <si>
    <t>Suministro, transporte y colocación de concreto para vigas de fundación 0,3 x 0,3 IIncluye: concreto 21MPa, vibrado y todo para su correcta construcción. El acero se pagará en su respectivo ITEM.</t>
  </si>
  <si>
    <t>3,1,4</t>
  </si>
  <si>
    <t>Suministro, transporte y colocación de concreto para cimentación superficilaes tipo zapatas, incluye pedestales de 0,40 x 0,40 x 1,30: y bases de 1,0 x 1,0 x 0,3 Incluye concreto 21MPa. El acero se pagará en su respectivo ITEM.</t>
  </si>
  <si>
    <t xml:space="preserve">ESTRUCTURA </t>
  </si>
  <si>
    <t>3,2,1</t>
  </si>
  <si>
    <t>Suministro, transporte y colocación de concreto para columnas de 0.30 x 0.30, h= 2.70m,  Incluye: formaleta, concreto 21MPa, vibrado y todo para su correcta instalación. El acero se pagará en su respectivo ITEM.</t>
  </si>
  <si>
    <t>3,2,2</t>
  </si>
  <si>
    <t>Suministro, transporte y colocación de concreto para vigas de amarre, de 0.25 x 0.30,  Incluye: ( formaleta y concreto 21MPa), el acero se pagará en su respectivo ITEM.</t>
  </si>
  <si>
    <t>3,2,3</t>
  </si>
  <si>
    <t>Dovelas en concreto GRAUTING para amarre de mampostería 10x15x30 incluye acero de refuerzo con varilla de 1/2</t>
  </si>
  <si>
    <t xml:space="preserve">CUBIERTA </t>
  </si>
  <si>
    <t>3,3,1</t>
  </si>
  <si>
    <t>Suministro, transporte e instalación de estructura metalica para cubierta, suministro y transporte de perfiles tipo PHR 254X67X2mm, platinas, uniones, soldaduras de acabado o presentación, anclajes y pernos a estructura de concreto. Incluye transporte a sitio e izaje. Todos los elementos deben llevar dos manos de pintura anticorrosiva, color por definir. tambien incluye obra falsa y todo el equipo y la herramienta necesaria para el montaje.</t>
  </si>
  <si>
    <t>KG</t>
  </si>
  <si>
    <t>3,3,2</t>
  </si>
  <si>
    <t>Suministro, transporte e instalación de cubierta tipo Teja Termoacustica Ecoroof UPVC 2.5mm Blanco 1.07 x 5.90 Mts. Incluye remates internos y externos de cubierta, tornillos autoroscantes y todo lo necesario para su correcta instalación. Según diseño.</t>
  </si>
  <si>
    <t xml:space="preserve">ACERO DE REFUERZO  </t>
  </si>
  <si>
    <t>3,4,1</t>
  </si>
  <si>
    <t xml:space="preserve">Suministro, figurado y armado de Acero de refuerzo 6000PSI, (se incluyen zapatas, vigas de fundación y vigas de amarre y columnas). </t>
  </si>
  <si>
    <t>MAMPOSTERIA</t>
  </si>
  <si>
    <t>Construcción de mampostería en ladrillo a la vista, de 10x15x30cm. Espesor de 15 cm. Incluye el suministro y transporte del ladrillo, el mortero de pega 1:4 espesor max=0.01 m y todos los demás elementos necesarios para su correcta construcción y funcionamiento.</t>
  </si>
  <si>
    <t>Impermeabilización Sobrecimientos en bloque por medio de  IGOL denso plus o similar. Incluye mortero 1:4 espesor 2cm para revoque, pendientes, emulsión asfáltica, mediacaña, regata y todo lo necesario para su correcta construcción.. PRIMER NIVEL 80 cm</t>
  </si>
  <si>
    <t>Colocación de revoque con mortero 1:4 impermeabilizado con sika 1 o equivalente en muros. Incluye suministro y transporte de materiales, fajas, ranuras, filetes y todos los demas elementos para su correcta construcció.</t>
  </si>
  <si>
    <t>Suministro, transporte y aplicación de hidrófugo impermeabilizante del tipo siliconite (Sika transparente o equivalente) o equivalente para mampostería de fachadas, con todos los elementos necesarios para su correcta instalación y funcionamiento, incluye a su vez lavado con  aplicación de ácido nítrico e hidrosolve proporción 1:1:5 para lavada de muros interiores</t>
  </si>
  <si>
    <t>Suministro, transporte y colocación de estuco en muros. Incluye fajas, ranuras, filetes, y todos los demás elementos necesarios para su correcta construcción.</t>
  </si>
  <si>
    <t xml:space="preserve">Suministro y aplicación de pintura tipo 1, tres manos, incluye la preparación de la superficie y todos los insumos necesarios para el desarrollo de la actividad. </t>
  </si>
  <si>
    <t>OBRA BLANCA</t>
  </si>
  <si>
    <t>Enchape de piso antideslizante incluye: mortero, pegante, cerámica antideslizante y lechada de limpieza.</t>
  </si>
  <si>
    <t>Enchape cocina pared sobre mesón incluye: pegante, cerámica y lechada de limpieza</t>
  </si>
  <si>
    <r>
      <t xml:space="preserve">Cielo en drywall local con fajas y dilatadores </t>
    </r>
    <r>
      <rPr>
        <sz val="12"/>
        <color indexed="8"/>
        <rFont val="Trebuchet MS"/>
        <family val="2"/>
      </rPr>
      <t>incluye: (estructura, placa, macilla y pintura)</t>
    </r>
  </si>
  <si>
    <t xml:space="preserve">Suministro transporte e instalación de guarda escoba o zocalo en piso en baldosa del mismo color de la baldosa , incluye pega lechada y demás elementos necesarios para su correcta instalación. </t>
  </si>
  <si>
    <t xml:space="preserve">INSTALACIONES ELECTRICAS </t>
  </si>
  <si>
    <t>Suministro, transporte e instalación de salida para toma doble p/t. Incluye en tubería IMC, accesorios, alambre de cobre THHN-AWG- LS#12,  según cuadro de cargas y notas en planos, elementos para el correcto funcionamiento y aparato línea Génesis.</t>
  </si>
  <si>
    <t>UN</t>
  </si>
  <si>
    <t>Suministro, transporte e instalación de salida eléctrica para toma GFCI. en  IMC 3/4", caja y accesorios, alambre de cobre THHN-AWG-LS #12, según cuadro de cargas y notas en planos, aparato línea Génesis.</t>
  </si>
  <si>
    <t>Suministro, transporte e instalación de salida para toma doble  especial p/t, en  PVC 1/2", caja y accesorios, alambre de cobre THHN-AWG- LS #12,  según cuadro de cargas y notas en planos. Toma para equipos especiales</t>
  </si>
  <si>
    <t>Suministro, transporte e instalación de salida eléctrica para toma 3x30A p/t. en  PVC 3/4", caja y accesorios, alambre de cobre THHN-AWG #10+12,  según cuadro de cargas y notas en planos. Toma levinton.</t>
  </si>
  <si>
    <t xml:space="preserve">Suministro, transporte e instalación de salida para luminaria panel tipo LED de 24,2W, de cielo, con tubería EMT 1/2", según planos, alambre de cobre THHN-AWG #12 y todos los elementos para el correcto funcionamiento. </t>
  </si>
  <si>
    <t xml:space="preserve">Suministro, transporte e instalación de salida para luminaria OJO BUEY TIPO INTERIOR (Panel led redondo 120V 12W), incrustada en losa, pared o mampostería.  Incluye  tubería PVC 1/2", según planos, accesorios, alambre de cobre THHN-AWG-LS #12, y todos los elementos para el correcto funcionamiento. </t>
  </si>
  <si>
    <t xml:space="preserve">Suministro, transporte e instalación de salida para luminaria OJO BUEY TIPO INTERIOR Panel led redondo 120V 16W), incrustada en losa, pared o mampostería.  Incluye  tubería PVC 1/2", según planos, accesorios, alambre de cobre THHN-AWG-LS #12, y todos los elementos para el correcto funcionamiento. </t>
  </si>
  <si>
    <t>Suministro, transporte e instalación de Tubería PVC de 1" para alimentación de circuitos, incluye  elementos para el correcto funcionamiento.</t>
  </si>
  <si>
    <t>Suministro, transporte e instalación de tablero de distribución especial, tablero de distribución final y tabler de distribución final regulado, con espacio para totalizador y breackers. Incluye marcación elementos para el correcto funcionamiento.</t>
  </si>
  <si>
    <t xml:space="preserve">Suministro, transporte e instalación de materiales para salida interruptor sencillo (switche) eléctrico  mono polar de alumbrado 15 A. TIPO LEV referencia 1451, 10A, 125 V, según certificación RETIE y pruebas de conformidad UL. Incluye el interruptor, tapa, tubo emt, cajas 4"x4" met. Galv. Con tapa suplemento, adaptadores, curvas, pega pvc, conductores 12 AWG-CU-THHN/THWN-90ºC, conectores de conexión y empalme, tornillos, obra civil y demás elementos y accesorios para su correcta instalación y funcionamiento. </t>
  </si>
  <si>
    <t xml:space="preserve">Suministro, transporte e instalación de materiales para salida interruptor doble (switche) eléctrico  mono polar de alumbrado 15 A. TIPO LEV referencia 1451, 10A, 125 V, según certificación RETIE y pruebas de conformidad UL. Incluye el interruptor, tapa, tubo pvc, cajas 4"x4" met. Galv. Con tapa suplemento, adaptadores, curvas, pega pvc, conductores 12 AWG-CU-THHN/THWN-90ºC, conectores de conexión y empalme, tornillos, obra civil y demás elementos y accesorios para su correcta instalación y funcionamiento. </t>
  </si>
  <si>
    <t xml:space="preserve">Suministro, transporte e instalación de materiales para salida interruptor triple (switche) eléctrico  mono polar de alumbrado 15 A. TIPO LEV referencia 1451, 10A, 125 V, según certificación RETIE y pruebas de conformidad UL. Incluye el interruptor, tapa, tubo pvc, cajas 4"x4" met. Galv. Con tapa suplemento, adaptadores, curvas, pega pvc, conductores 12 AWG-CU-THHN/THWN-90ºC, conectores de conexión y empalme, tornillos, obra civil y demás elementos y accesorios para su correcta instalación y funcionamiento. </t>
  </si>
  <si>
    <t>Suministro, transporte e instalación de acometida monofásica en cables, incluye excavación, conectores, encintada y demás accesorios para su correcta instalación y funcionamiento según RETIE.</t>
  </si>
  <si>
    <t>Suministro, transporte e instalación PUESTA A TIERRA Y APANTALLAMIENTO.  5/8'' x 2.4m incluye elementos para el correcto funcionamiento.</t>
  </si>
  <si>
    <t>GL</t>
  </si>
  <si>
    <t xml:space="preserve">Suministro, transporte e instalación de salida para luminaria de emergencia. Incluye tubería EMT 1/2", según planos, alambre de cobre THHN-AWG #12 y todos los elementos para el correcto funcionamiento. </t>
  </si>
  <si>
    <t>Suministro, transporte e instalación de Rack de telecomunicaciones</t>
  </si>
  <si>
    <t>Suministro, transporte e instalación de puntos de conexión ethernet</t>
  </si>
  <si>
    <t>INSTALACIONES SANITARIAS</t>
  </si>
  <si>
    <t>SUMINISTRO, TRANSPORTE  E INSTALACION DE  Salidas abastos 1/2"  PVC presión, incluye 1m de tubería contempladas por salidas, accesorios y toda actividad adicional para su correcta instalación.</t>
  </si>
  <si>
    <t>SUMINISTRO, TRANSPORTE  E INSTALACION DE  Salidas sanitarias de 2" incluye: Accesorios, acoples y todo lo relacionado para su instalación de (lavadero, sanitario, lavamanos, ducha, etc.) incluye 2m de tubería contempladas por punto  y toda actividad adicional para su correcta instalación.</t>
  </si>
  <si>
    <t>SUMINISTRO, TRANSPORTE  E INSTALACION de tubería para Bajante sanitario en tubería de 3" PVC. Bajante de ventilación incluye: (tubería por m, amarres, accesorios de empalme, equipos de alturas y todo lo relacionado para su instalación, altura elemento 1,5m.máx)</t>
  </si>
  <si>
    <t>UND</t>
  </si>
  <si>
    <t>SUMINISTRO, TRANSPORTE  E INSTALACION de Tubería ALL D=4" en desagües primer piso incluye: excavación primer por metro lineal con pendiente, tubería, y accesorios.)</t>
  </si>
  <si>
    <t>SUMINISTRO, TRANSPORTE  E INSTALACION de Tubería ALL D=6" en desagües primer piso incluye: excavación por metro lineal con pendiente, tubería, y accesorios.)</t>
  </si>
  <si>
    <t>SUMINISTRO, TRANSPORTE  E INSTALACION de Tubería PVC 4" en desagües primer piso incluye: excavación por metro lineal con pendiente, tubería, y accesorios.)</t>
  </si>
  <si>
    <t xml:space="preserve"> SUMINISTRO, TRANSPORTE  E INSTALACION de Canastilla para lavaplatos con rejilla extraíble, set de tubería y empaques incluidos para evitar fugas, dos mangueras de alimentación con acoples para el agua</t>
  </si>
  <si>
    <t>SUMINISTO, TRANSPORTE E INSTALACION DE CANOA EN LAMINA GALVANIZADA Cal .22 d/ 0.40 m. Suministro e instalación con 2 manos de anticorrosivo WASH PRIMER + esmalte + anclaje a muro + sikaflex 1A</t>
  </si>
  <si>
    <t>ml</t>
  </si>
  <si>
    <t>SUMINISTO, TRANSPORTE E INSTALACION de embudos en lamina galvanizada Cal .26</t>
  </si>
  <si>
    <t>suministro y construcción de caja sanitaria de 80x80 cm vaciada en concreto de 21MPa,  incluye tapa reforzada y todo lo requerido para su construcción .</t>
  </si>
  <si>
    <t>CARPINTERIA METALICA Y DE MADERA</t>
  </si>
  <si>
    <t>Suministro e instalación de ventanas en aluminio mate o negro, sistema fijo corredizo 50-20 y vidrio claro 6mm. Incluye alfajía, sello y todos sus accesorios para su correcta instalación y funcionamiento</t>
  </si>
  <si>
    <t xml:space="preserve"> M2</t>
  </si>
  <si>
    <t xml:space="preserve">Suministro e instalación de Puerta metálica: ala incrustada en perfil metálico cerramiento en perfiles tipo Z y marco metálico. Incluye sello y todos sus accesorios para su correcta instalación y funcionamiento.Color negro mate                                                                                                           </t>
  </si>
  <si>
    <t xml:space="preserve">Suministro e instalación de ventanas con rejilla metálica: perfil metálico con rejillas tipo persiana Incluye sello y todos sus accesorios para su correcta instalación y funcionamiento. Color negro mate                                                                                                           </t>
  </si>
  <si>
    <t>Suministro e Instalación Divisiones de sanitarios en Acero Inox , Calibre 20 Satinado, con puertas y Tabiques en altura de 1600mm SAE 304 , Incluye Cerrojos , Percheros , Parales Altura de 1800mm.</t>
  </si>
  <si>
    <t>m2</t>
  </si>
  <si>
    <t>Suministro e Instalación Divisiones de orinales en Acero Inox , Calibre 20 Satinado, con puertas y Tabiques en altura de 1600mm SAE 304 , Incluye Cerrojos , Percheros , Parales Altura de 1800mm.</t>
  </si>
  <si>
    <t>MUEBLES EQUIPOS DE COCINA</t>
  </si>
  <si>
    <t>Cocina tipo industrial. Incluye: Mesones en  Acero inoxidable, campana con ducto, abastos, estufa</t>
  </si>
  <si>
    <t>MUEBLES Y APARATOS SANITARIOS</t>
  </si>
  <si>
    <t>Suministro e instalación de Sanitarios, incluye: accesorios PVC, Sanitario Manantial blanco según detalle del proyecto, grifería y todo lo necesario para su correcta instalación</t>
  </si>
  <si>
    <t>Suministro e instalación de Orinales, incluye: accesorios PVC, Orinal arrecife corona o similar según detalle del proyecto, grifería, y todo lo necesario para su correcta instalación</t>
  </si>
  <si>
    <t>Colocación e instalación de Lavamanos, incluye: accesorios PVC, lavamanos corona o equivalente color blanco, grifería metálica antivandálica, de push ref 71100 de Grival o equivalente, abasto metálico y todos los demás elementos necesarios para su correcta instalación y funcionamiento.</t>
  </si>
  <si>
    <t>Suministr e instalación de Kit para duchas (Rejilla de piso, griferia y todo lo necesario para su correcto funcionamiento)</t>
  </si>
  <si>
    <t>Suministro e instalación de Lava escobas prefabricado de 70x70x25cm Granito y cemento blanco (incluye llave boca manguera)</t>
  </si>
  <si>
    <t>Colocación e instalación de Lavamanos PMR, incluye: accesorios PVC, lavamanos corona o equivalente color blanco, grifería metálica antivandálica, de push ref 71100 de Grival o equivalente, abasto metálico y todos los demás elementos necesarios para su correcta instalación y funcionamiento.</t>
  </si>
  <si>
    <t>Suministro e instalación de Mesones prefabricados en quartzone. Color a definir, incluye todo lo necesario para su correcto funcionamiento</t>
  </si>
  <si>
    <t>Suministro e instalacion de barras de seguridad en acero inoxidable L=60cm, incluye accesorios y todos los elementos para su correcta instalacion</t>
  </si>
  <si>
    <t>Suministro e instalación de tanque de abastecimiento de 1200Lt</t>
  </si>
  <si>
    <t>Red contra incendios</t>
  </si>
  <si>
    <t>Suministro transporte e instalacion de detector inteligente de humo con alarma sonora.</t>
  </si>
  <si>
    <t>Suministro transporte e instalacion de Extintor multiproposito de polvo químico seco 10 Libras Con manguera</t>
  </si>
  <si>
    <t>Suministro transporte e instalacion de Extintor TIPO K 10 Libras Con manguera</t>
  </si>
  <si>
    <t>OBRAS EXTERIORES Y PAISAJISMO</t>
  </si>
  <si>
    <t>Suministro, transporte e instalación de materas en concreto incluye tierra, planta ornamental según caracteristicas del Municipio</t>
  </si>
  <si>
    <t xml:space="preserve">Suministro, transporte e instalación de adoquín </t>
  </si>
  <si>
    <t>Suministro e instalación de Gimnasio al aire libre</t>
  </si>
  <si>
    <t>TOTAL COSTOS DIRECTOS</t>
  </si>
  <si>
    <t>Administración</t>
  </si>
  <si>
    <t>%</t>
  </si>
  <si>
    <t xml:space="preserve">Imprevistos </t>
  </si>
  <si>
    <t>Utilidad</t>
  </si>
  <si>
    <t>PLAN DE MANEJO AMBIENTAL (PMA)</t>
  </si>
  <si>
    <t>RETIE Y RETILAP</t>
  </si>
  <si>
    <t>VALOR DE OBRA</t>
  </si>
  <si>
    <t>Interventoría</t>
  </si>
  <si>
    <t>VALOR TOTAL</t>
  </si>
  <si>
    <t>RESPONSABLE DEL DILIGENCIAMIENTO DEL FORMATO</t>
  </si>
  <si>
    <t>________________________________________________________</t>
  </si>
  <si>
    <t>Nombre</t>
  </si>
  <si>
    <t>Carlos Holguín</t>
  </si>
  <si>
    <t>Cargo</t>
  </si>
  <si>
    <t>Secretario de planeación.</t>
  </si>
  <si>
    <t>Correo Electrónico</t>
  </si>
  <si>
    <t>planeacionsanrque@antioquia.gov.cocom</t>
  </si>
  <si>
    <t>Teléfono Celular</t>
  </si>
  <si>
    <t>AIU SAN ROQUE</t>
  </si>
  <si>
    <t>COSTOS DIRECTOS:</t>
  </si>
  <si>
    <t>AIU  ESTIMADO :</t>
  </si>
  <si>
    <t>COSTO TOTAL</t>
  </si>
  <si>
    <t>PLAZO EN MESES:</t>
  </si>
  <si>
    <t>Item</t>
  </si>
  <si>
    <t>Unidad</t>
  </si>
  <si>
    <t>Cant</t>
  </si>
  <si>
    <t>Dedicación</t>
  </si>
  <si>
    <t>Valor (Incluye FM)</t>
  </si>
  <si>
    <t>Porcentaje sobre el contrato</t>
  </si>
  <si>
    <t>Subtotal</t>
  </si>
  <si>
    <t>1</t>
  </si>
  <si>
    <t>Personal de Admón. del Contrato</t>
  </si>
  <si>
    <t>1.1</t>
  </si>
  <si>
    <t>Director de Obra</t>
  </si>
  <si>
    <t>Mes</t>
  </si>
  <si>
    <t>1.2</t>
  </si>
  <si>
    <t>Ingeniero residente obra civil</t>
  </si>
  <si>
    <t>1.3</t>
  </si>
  <si>
    <t>Auxiliar ambiental</t>
  </si>
  <si>
    <t>1.4</t>
  </si>
  <si>
    <t>Tecnologo SST.</t>
  </si>
  <si>
    <t xml:space="preserve">  </t>
  </si>
  <si>
    <t>2</t>
  </si>
  <si>
    <t>Instalaciones provisionales</t>
  </si>
  <si>
    <t>2.1</t>
  </si>
  <si>
    <t>Zona de acopio de material (incluye construcción y cerradura)</t>
  </si>
  <si>
    <t>gl</t>
  </si>
  <si>
    <t>2.2</t>
  </si>
  <si>
    <t>Costos oficina (construcción campamento, con pago de servicios púlbicos, aseo, seguridad, dotación)</t>
  </si>
  <si>
    <t>2.3</t>
  </si>
  <si>
    <t>Desmonte de provisionales y adecuación final</t>
  </si>
  <si>
    <t>Gastos administrativos</t>
  </si>
  <si>
    <t>3.1</t>
  </si>
  <si>
    <t>Gastos de papelería y permisos</t>
  </si>
  <si>
    <t>3.2</t>
  </si>
  <si>
    <t>Computadores y software</t>
  </si>
  <si>
    <t>un/mes</t>
  </si>
  <si>
    <t>3.3</t>
  </si>
  <si>
    <t>Medio de comunicación (celular, Internet)</t>
  </si>
  <si>
    <t>3.10</t>
  </si>
  <si>
    <t>Mantenimiento de equipo/herramientas</t>
  </si>
  <si>
    <t>mes</t>
  </si>
  <si>
    <t>3.13</t>
  </si>
  <si>
    <t>Vallas de obra</t>
  </si>
  <si>
    <t>un</t>
  </si>
  <si>
    <t>Valor total del proyecto</t>
  </si>
  <si>
    <t>Cargos sobre el valor de la oferta</t>
  </si>
  <si>
    <t xml:space="preserve">                                                                                                                                                          </t>
  </si>
  <si>
    <t>Valor contrato de obra/ Base estampillas municipales</t>
  </si>
  <si>
    <t>Estampilla pro deporte</t>
  </si>
  <si>
    <t>Valor contrato de obra- Pro Deporte</t>
  </si>
  <si>
    <t>Tasa Pro-Deporte y Recreación – Departamento de Antioquia</t>
  </si>
  <si>
    <t>Aporte gobernación 90%</t>
  </si>
  <si>
    <t>Estampillas municipios</t>
  </si>
  <si>
    <t>Aporte Municipio 10%</t>
  </si>
  <si>
    <t>Impuesto de contribución especial (5%)</t>
  </si>
  <si>
    <t>Estampilla adulto mayor</t>
  </si>
  <si>
    <t>Estampilla Pro Cultura</t>
  </si>
  <si>
    <t>Estampilla Pro Hospital</t>
  </si>
  <si>
    <t>Pro justicia familiar</t>
  </si>
  <si>
    <t>5</t>
  </si>
  <si>
    <t>Polizas</t>
  </si>
  <si>
    <t>Pólizas del proyecto</t>
  </si>
  <si>
    <t>TOTAL ADMINISTRACIÓN (A)</t>
  </si>
  <si>
    <t>TOTAL IMPREVISTOS (I)</t>
  </si>
  <si>
    <t>TOTAL UTILIDADES (U)</t>
  </si>
  <si>
    <t>COTIZACIÓN PÓLIZA DE SEGURO DE CUMPLIMIENTO A FAVOR DE</t>
  </si>
  <si>
    <t>TIPO DE PÓLIZA</t>
  </si>
  <si>
    <t>ENTIDADES ESTATALES</t>
  </si>
  <si>
    <t>PARTICULARES</t>
  </si>
  <si>
    <t>Convenio/Contrato:</t>
  </si>
  <si>
    <t>Tomador/Afianzado:</t>
  </si>
  <si>
    <t>GOBERNACION DE ANTIOQUIA</t>
  </si>
  <si>
    <t>C.C./NIT:</t>
  </si>
  <si>
    <t>Asegurado/Beneficiario:</t>
  </si>
  <si>
    <t>MUNICIPIO DE SAN ROQUE</t>
  </si>
  <si>
    <t>890884595-7</t>
  </si>
  <si>
    <t>Plazo: 6meses</t>
  </si>
  <si>
    <t>Objeto del Contrato:</t>
  </si>
  <si>
    <t>Valor del Contrato</t>
  </si>
  <si>
    <t>Desde</t>
  </si>
  <si>
    <t>Hasta</t>
  </si>
  <si>
    <t>Dias</t>
  </si>
  <si>
    <t>Meses</t>
  </si>
  <si>
    <t>Garantía</t>
  </si>
  <si>
    <t>Porcentaje</t>
  </si>
  <si>
    <t>Vr. Asegurado</t>
  </si>
  <si>
    <t>Días</t>
  </si>
  <si>
    <t>Tasa</t>
  </si>
  <si>
    <t>Prorrata</t>
  </si>
  <si>
    <t>Prima</t>
  </si>
  <si>
    <t>Seriedad</t>
  </si>
  <si>
    <t>Cumplimiento</t>
  </si>
  <si>
    <t>Buen manejo del anticipo</t>
  </si>
  <si>
    <t>Pago de Salarios</t>
  </si>
  <si>
    <t>Estabilidad</t>
  </si>
  <si>
    <t>Calidad del Servicio</t>
  </si>
  <si>
    <t>Gastos Expedición</t>
  </si>
  <si>
    <t>IVA</t>
  </si>
  <si>
    <t>Total</t>
  </si>
  <si>
    <t xml:space="preserve">Garantía </t>
  </si>
  <si>
    <t>R.C.E.</t>
  </si>
  <si>
    <r>
      <rPr>
        <b/>
        <sz val="8"/>
        <color theme="1"/>
        <rFont val="Verdana"/>
        <family val="2"/>
      </rPr>
      <t>DEDUCIBLE:</t>
    </r>
    <r>
      <rPr>
        <sz val="8"/>
        <color theme="1"/>
        <rFont val="Verdana"/>
        <family val="2"/>
      </rPr>
      <t xml:space="preserve"> </t>
    </r>
  </si>
  <si>
    <t>GASTOS</t>
  </si>
  <si>
    <t>REQUISITOS:</t>
  </si>
  <si>
    <t>Persona Jurídica</t>
  </si>
  <si>
    <t>Persona Natural</t>
  </si>
  <si>
    <t>1. Diligenciamiento y firma correcta de las contragarantías.</t>
  </si>
  <si>
    <t>2. Estados Financieros de los últimos dos años, Balance y P&amp;G.</t>
  </si>
  <si>
    <t>2. Declaración de Renta.</t>
  </si>
  <si>
    <t>3. Certificado de Constitución y Gerencia vigente.</t>
  </si>
  <si>
    <t>3. Certificado de Libertad y Tradición de los bienes inmuebles, no superior a 30 días.</t>
  </si>
  <si>
    <t>4. Declaración de Renta (cuando el objeto del contrato es un suministro de bienes no elaborados por el contratista).</t>
  </si>
  <si>
    <t>4. Solicitud de Seguro de Cumplimiento y Circular Básica Reglamentaria.</t>
  </si>
  <si>
    <t>5. Certificado de Libertad y Tradición de los bienes inmuebles, no superior a 30 días.</t>
  </si>
  <si>
    <t>5. Fotocopia de la cédula de ciudadanía.</t>
  </si>
  <si>
    <t>6. Fotocopia del contrato completo.</t>
  </si>
  <si>
    <t>7. Solicitud de Seguro de Cumplimiento y Circular Básica Reglamentaria.</t>
  </si>
  <si>
    <t>7. Récord de obras u hoja de vida.</t>
  </si>
  <si>
    <t>8. Fotocopia de la cédula de ciudadanía del representante legal.</t>
  </si>
  <si>
    <t>9. Fotocopia del contrato completo.</t>
  </si>
  <si>
    <t>10. Récord de obras.</t>
  </si>
  <si>
    <t>En caso de que el afianzado no cumpla con la solvencia requerida, es necesario se adjunte un codeudor con los mismo requisitos.</t>
  </si>
  <si>
    <t>La presente cotización no implica aceptación de cobertura por parte de Aseguradora Solidaria de Colombia. Para la aceptación de cobertura se requiere del cumplimiento de los anteriores requisitos de asegurabilidad por parte del contratista y confirmación de cobertura por parte de la compañía aseguradora.</t>
  </si>
  <si>
    <t>Esta propuesta posee una validez de 30 días.</t>
  </si>
  <si>
    <t>SERIEDAD</t>
  </si>
  <si>
    <t>CUMPLIMIENTO</t>
  </si>
  <si>
    <t>ANTICIPO</t>
  </si>
  <si>
    <t>PRESTACIONES</t>
  </si>
  <si>
    <t>ESTABILIDAD</t>
  </si>
  <si>
    <t>CALIDAD</t>
  </si>
  <si>
    <t>D%</t>
  </si>
  <si>
    <t>CANT</t>
  </si>
  <si>
    <t>VALOR UNI.</t>
  </si>
  <si>
    <t>VALOR</t>
  </si>
  <si>
    <t>MATERIALES</t>
  </si>
  <si>
    <t>EQUIPO ESTACIÓN TOTAL</t>
  </si>
  <si>
    <t>ESTACAS Y PUNTILLAS</t>
  </si>
  <si>
    <t>MANO DE OBRA</t>
  </si>
  <si>
    <t>M. de O. CUADRILLA TOPOGRAFICA (1 TOP + 2 CAD)</t>
  </si>
  <si>
    <t>TRANSPORTE</t>
  </si>
  <si>
    <t>TRANSPORTE DE CUADRILLA Y EQUIPO</t>
  </si>
  <si>
    <t>DÍA</t>
  </si>
  <si>
    <t>HERRAMIENTA MENOR</t>
  </si>
  <si>
    <t>SUBTOTAL</t>
  </si>
  <si>
    <t xml:space="preserve"> </t>
  </si>
  <si>
    <t>ADMINISTRACION</t>
  </si>
  <si>
    <t>IMPREVISTOS</t>
  </si>
  <si>
    <t>UTILIDADES</t>
  </si>
  <si>
    <t>RETROEXCAVADORA</t>
  </si>
  <si>
    <t>DERECHOS DE EXPLOTACIÓN Y/O DISPOSICIÓN DE MATERIALES</t>
  </si>
  <si>
    <t>M. de O. CUADRILLA MOVIMIENTO DE TIERRAS (2 AYUDANTES)</t>
  </si>
  <si>
    <t>TRANSPORTE DE ESCOMBROS</t>
  </si>
  <si>
    <t>Larguero madera común 4cmx8cmx2.80m.</t>
  </si>
  <si>
    <t>Rollo tela verde 50m x 2.10m ancho 55gr/m2</t>
  </si>
  <si>
    <t>CONCRETO 2000 PSI (140 MPA) EN OBRA</t>
  </si>
  <si>
    <t>M. de O. CUADRILLA (2 AYUDANTES)</t>
  </si>
  <si>
    <t>TRANSPORTE DE MATERIAL</t>
  </si>
  <si>
    <t xml:space="preserve">cuadrilla excavacion 2 Ay </t>
  </si>
  <si>
    <t>Jor</t>
  </si>
  <si>
    <t>TRANSPORTE INTERNO (EN EL MISMO LOTE O MÁXIMO A 40M DE DISTANCIA)</t>
  </si>
  <si>
    <t>m3</t>
  </si>
  <si>
    <t>Material de prestamo</t>
  </si>
  <si>
    <t xml:space="preserve">Compactador tipo rana </t>
  </si>
  <si>
    <t>M. de O. CUADRILLA 1 oficial + 1 ayudante</t>
  </si>
  <si>
    <t>Hr</t>
  </si>
  <si>
    <t>M. de O. CUADRILLA ESTRUCTURAS</t>
  </si>
  <si>
    <t>TRANSPORTE DE INSUMOS</t>
  </si>
  <si>
    <t>CONCRETO 3000 PSI (210 MPA) EN OBRA</t>
  </si>
  <si>
    <t>Malla electrosoldada D084 6x2.35m</t>
  </si>
  <si>
    <t>5,70 x 2,05</t>
  </si>
  <si>
    <t>Vibrador de concreto a gasolina (alquiler)</t>
  </si>
  <si>
    <t>und</t>
  </si>
  <si>
    <t>Alambre Recocido C17</t>
  </si>
  <si>
    <t>kg</t>
  </si>
  <si>
    <t>2und</t>
  </si>
  <si>
    <t>FORMALETA PARA MUROS, ALETAS, DISIPADORES Y ESTRIBOS</t>
  </si>
  <si>
    <t>PLASTICO NEGRO CALIBRE 3,5</t>
  </si>
  <si>
    <t>jornal</t>
  </si>
  <si>
    <t>GLB</t>
  </si>
  <si>
    <t>HERRAMIENTA</t>
  </si>
  <si>
    <t>Sección completa de andamio (1.2m-1.5m) x 1.5 m. (+ 4 ruedas)</t>
  </si>
  <si>
    <t>día</t>
  </si>
  <si>
    <t>Telera 0.90 m</t>
  </si>
  <si>
    <t>Larguero de 1"X1" por 3m</t>
  </si>
  <si>
    <t>Clavo común de 1". Caja x 500gr.</t>
  </si>
  <si>
    <t>Kg</t>
  </si>
  <si>
    <t>Taco metálico hasta 2.8m</t>
  </si>
  <si>
    <t>CONCRETO 2500 PSI (175 MPA) EN OBRA</t>
  </si>
  <si>
    <t>Acero de refuerzo # 4</t>
  </si>
  <si>
    <t>Acero estructural</t>
  </si>
  <si>
    <t xml:space="preserve">SOLDADURA </t>
  </si>
  <si>
    <t>PLATINAS Y ANCLAJES</t>
  </si>
  <si>
    <t>ANGULOS Y PERNOS</t>
  </si>
  <si>
    <t xml:space="preserve">PINTURA GRIS ANTICORROSIVA </t>
  </si>
  <si>
    <t xml:space="preserve">DISOLVENTE PARA PINTURAS A BASE DE ACEITE </t>
  </si>
  <si>
    <t>Teja Termoacustica Ecoroof UPVC 2.5mm Blanco 1.07 x 5.90 Mts</t>
  </si>
  <si>
    <t>Set de Fijación Teja Maxter Azul x 10 Pares Mathiesen</t>
  </si>
  <si>
    <t>Sección completa de andamio (1.2m-1.5m) x 1.5 m. (+ 4 ruedas) Incluye transporte.</t>
  </si>
  <si>
    <t>Jornal</t>
  </si>
  <si>
    <t>Acero de refuerzo # 5</t>
  </si>
  <si>
    <t>MORTERO 1:4 EN OBRA</t>
  </si>
  <si>
    <t>Ladrillo 10x15x30</t>
  </si>
  <si>
    <t>IGOL Denso Plus cimentaciones</t>
  </si>
  <si>
    <t>M. de O. IMPERMEABILIZACIÓN</t>
  </si>
  <si>
    <t>Aditivo hidrófugo para impermeabilización de morteros u concretos</t>
  </si>
  <si>
    <t>JORNAL</t>
  </si>
  <si>
    <t>MORTERO 1:3 EN OBRA</t>
  </si>
  <si>
    <t>M. de O. REVOQUE</t>
  </si>
  <si>
    <t>estuco</t>
  </si>
  <si>
    <t>M. de O. Obra blanca</t>
  </si>
  <si>
    <t>pintura tipo 1</t>
  </si>
  <si>
    <t>Pegante para ceramica</t>
  </si>
  <si>
    <t>Enchape ceramico para pisos antidezlizantes</t>
  </si>
  <si>
    <t>lechada</t>
  </si>
  <si>
    <t>Estopa de limpieza</t>
  </si>
  <si>
    <t>M. de O. ENCHAPES</t>
  </si>
  <si>
    <t xml:space="preserve">Enchape para pared </t>
  </si>
  <si>
    <t>PLACA DRYWALL  DE MEDIA PULGADA</t>
  </si>
  <si>
    <t>Estructura tipo perfileria</t>
  </si>
  <si>
    <t>Tornilleria</t>
  </si>
  <si>
    <t>cinta malla</t>
  </si>
  <si>
    <t>macilla</t>
  </si>
  <si>
    <t>M. de O. DRYWALL</t>
  </si>
  <si>
    <t xml:space="preserve">Tubería PVC de 1/2", </t>
  </si>
  <si>
    <t xml:space="preserve">Alambre Nro 12 THHN </t>
  </si>
  <si>
    <t>CAJA 2X4 PVC</t>
  </si>
  <si>
    <t xml:space="preserve">Toma corriente, 120V doble con polo a tierra,15A </t>
  </si>
  <si>
    <t>Terminales PVC 1/2"</t>
  </si>
  <si>
    <t xml:space="preserve">Soldadura PVC </t>
  </si>
  <si>
    <t>M. de O. electrica</t>
  </si>
  <si>
    <t>hora</t>
  </si>
  <si>
    <t>Toma doble GFCI blanca arquea</t>
  </si>
  <si>
    <t>TOMA CORRIENTE REGULADO DOBLE CON POLO A TIERRA 120V - 20A</t>
  </si>
  <si>
    <t>Toma corriente 3X30A</t>
  </si>
  <si>
    <t>Tuberia Emt de 1/2"</t>
  </si>
  <si>
    <t>panel led de 24.2w</t>
  </si>
  <si>
    <t>Panel led redondo 120V 12W</t>
  </si>
  <si>
    <t>HORA</t>
  </si>
  <si>
    <t>Panel led redondo 120V 16W</t>
  </si>
  <si>
    <t>Hora</t>
  </si>
  <si>
    <t>Tubería PVC de 1"</t>
  </si>
  <si>
    <t xml:space="preserve">Grapas y accesorios para tubería </t>
  </si>
  <si>
    <t>Tablero Trifásico 24 Circuitos con espacio para totalizador</t>
  </si>
  <si>
    <t>Cable No.12</t>
  </si>
  <si>
    <t>Breaker Legrand Enchufable 2X20A</t>
  </si>
  <si>
    <t xml:space="preserve">Alambre Nro 10 THHN </t>
  </si>
  <si>
    <t>Breaker Enchufable Monopolar 1 X 20 Amp</t>
  </si>
  <si>
    <t>Breaker de 1X20 A</t>
  </si>
  <si>
    <t>Suiche SENCILLO o interruptor</t>
  </si>
  <si>
    <t>Tuberia pvc 1/2" conduit</t>
  </si>
  <si>
    <t>Curvas PVC 1/2"</t>
  </si>
  <si>
    <t>Suiche doble o interruptor</t>
  </si>
  <si>
    <t>suiche triple</t>
  </si>
  <si>
    <t>Cable # 4 tipo libre de halogeno</t>
  </si>
  <si>
    <t>cinta de señalización</t>
  </si>
  <si>
    <t>Varilla De Cobre Con Conector Puesta A Tierra 2.4Mx14.28 Mm</t>
  </si>
  <si>
    <t>Conductor Cobre Desnudo Duro 35 mm2 7H</t>
  </si>
  <si>
    <t>Caja de inspección de polipropileno para toma de tierra, de 300x300 mm, con tapa de registro (Incluye excavación)</t>
  </si>
  <si>
    <t>Luminaria de emergencia</t>
  </si>
  <si>
    <t>Rack metálico 19” (12U–18U)</t>
  </si>
  <si>
    <t>Bandeja metálica fija o deslizable</t>
  </si>
  <si>
    <t>Regleta eléctrica 110V (rack)</t>
  </si>
  <si>
    <t>Sistema de ventilación para rack</t>
  </si>
  <si>
    <t>Barra / conductor de puesta a tierra</t>
  </si>
  <si>
    <t>Cable UTP Cat 6</t>
  </si>
  <si>
    <t>Jack RJ45 Cat 6</t>
  </si>
  <si>
    <t>Faceplate + caja superficial / embebida</t>
  </si>
  <si>
    <t>Patch cord Cat 6 (usuario)</t>
  </si>
  <si>
    <t>Conector RJ45 / patch panel (prorrateado)</t>
  </si>
  <si>
    <t>Tubería PVC-P RDE 21, Ø= 1/2"</t>
  </si>
  <si>
    <t>Adaptador macho PVC-P Ø= 1/2"</t>
  </si>
  <si>
    <t>Codo 90º PVC-P Ø= 1/2"</t>
  </si>
  <si>
    <t>Tee PVC-P Ø= 1/2"</t>
  </si>
  <si>
    <t>Buje soldado PVC-P de 1" a 1/2"</t>
  </si>
  <si>
    <t>Unión PVC-P, Ø= 1/2"</t>
  </si>
  <si>
    <t>Limpiador Removedor PVC x 1/4 de galón.</t>
  </si>
  <si>
    <t>M. de O. Cuadrilla hidrosanitaria</t>
  </si>
  <si>
    <t>Unión PVC-P, Ø= 2"</t>
  </si>
  <si>
    <t>Tubería PVC-P RDE 21, Ø= 2"</t>
  </si>
  <si>
    <t>Adaptador macho PVC-P Ø= 2"</t>
  </si>
  <si>
    <t>Codo 90º PVC-P Ø= 2"</t>
  </si>
  <si>
    <t>Tee PVC-P Ø= 2"</t>
  </si>
  <si>
    <t>Buje soldado PVC-P de 1" a 2"</t>
  </si>
  <si>
    <t>TUBERÍA SANITARIA Ø= 3"</t>
  </si>
  <si>
    <t>Tuberia sanitaria NOVATEC 4"</t>
  </si>
  <si>
    <t>uniones 4"</t>
  </si>
  <si>
    <t>Ye sanitaria 4"</t>
  </si>
  <si>
    <t>M. de O. EXCAVACION</t>
  </si>
  <si>
    <t>Tuberia sanitaria NOVATEC 6"</t>
  </si>
  <si>
    <t>uniones 6"</t>
  </si>
  <si>
    <t>Ye sanitaria 6"</t>
  </si>
  <si>
    <t>Combo Lavaplatos 60*40cm+grif.extraible Cromo+accesorios</t>
  </si>
  <si>
    <t>Canoa Galvanizada Cal.22 desarrollo 0.4 m.</t>
  </si>
  <si>
    <t>M. de O. ALTURAS</t>
  </si>
  <si>
    <t xml:space="preserve"> EMBUDOS EN LAMINA GALVANIZADA Cal .26</t>
  </si>
  <si>
    <t>Acero Estructural</t>
  </si>
  <si>
    <t xml:space="preserve">M. de O. </t>
  </si>
  <si>
    <t xml:space="preserve">Ventaneria en aluminio negro mate o gris, con vidrio claro 6mm </t>
  </si>
  <si>
    <t>Sellador Sikaflex para Juntas</t>
  </si>
  <si>
    <t>alfajia</t>
  </si>
  <si>
    <t>Suministro e instalación de Puerta metálica: ala incrustada en perfil metálico</t>
  </si>
  <si>
    <t>Rejilla tipo persiana metálica</t>
  </si>
  <si>
    <t>acero inoxidable para separaciones metálicas</t>
  </si>
  <si>
    <t>Cerrojo</t>
  </si>
  <si>
    <t>Perchero</t>
  </si>
  <si>
    <t>BISAGRAS COMUN</t>
  </si>
  <si>
    <t>Abasto metálico (llave de regulación liviana de 1/2"metálica con manguera metálica)</t>
  </si>
  <si>
    <t>Mesón en acero Inoxidable de 1,60x0,60 m, con entrepaño de 4 patas reforzado con omegas en acero cada uno</t>
  </si>
  <si>
    <t>Meson liso de 1,60x0,60m con patas y entrepaño</t>
  </si>
  <si>
    <t>Ducto calibre 22 lamina 430 para campana 8m</t>
  </si>
  <si>
    <t>CAMPANA EXTRACTORA EN ACERO INOXIDABLE CALIBRE 20 REFERENCIA 304, FILTROS EN ACERO INOXIDABLE, EXTRACTOR DE 16"</t>
  </si>
  <si>
    <t>ESTUFA INDUSTRIAL EN ACERO INOXIDABLE CALIBRE 20 REFERENCIA (INCLUYE TRAMPA DE GRASAS)</t>
  </si>
  <si>
    <t>Sanitario Manantial 4.8 Litros descarga Single Blanco</t>
  </si>
  <si>
    <t xml:space="preserve">acomple Sanitario 1/2 </t>
  </si>
  <si>
    <t>Brida Flexible para sanitario</t>
  </si>
  <si>
    <t xml:space="preserve">Orinal arrecife entrada superior </t>
  </si>
  <si>
    <t>Lavamanos free blanco</t>
  </si>
  <si>
    <t>Griferia antivandalica para lavamanos</t>
  </si>
  <si>
    <t>rejilla metalica de piso 2"</t>
  </si>
  <si>
    <t>Regadera ducha acero</t>
  </si>
  <si>
    <t>mezclador monocontrol</t>
  </si>
  <si>
    <t xml:space="preserve">boca manguera </t>
  </si>
  <si>
    <t>Poceta granito pulido 70x70x25cm</t>
  </si>
  <si>
    <t>Lavamanos PMR</t>
  </si>
  <si>
    <t>Meson en quartzon</t>
  </si>
  <si>
    <t>Cemento</t>
  </si>
  <si>
    <t>Barra de acero inoxidable 60cm</t>
  </si>
  <si>
    <t xml:space="preserve">Tanque de almacenamiento 1200Lt </t>
  </si>
  <si>
    <t>flotador automatico para tanque</t>
  </si>
  <si>
    <t>Valvulas de salida 2"</t>
  </si>
  <si>
    <t>teflon</t>
  </si>
  <si>
    <t xml:space="preserve"> detector inteligente de humo con alarma sonora.</t>
  </si>
  <si>
    <t>Extintor multiproposito 10 Libras Con manguera</t>
  </si>
  <si>
    <t>Soporte para extintor</t>
  </si>
  <si>
    <t>Extintor tipo K de 10libras</t>
  </si>
  <si>
    <t>Matera prefabricada en concreto de 1.0mx0,40m</t>
  </si>
  <si>
    <t>Tierra negra</t>
  </si>
  <si>
    <t>Planta ornamentaria</t>
  </si>
  <si>
    <t>Adoquin10x20x6cm</t>
  </si>
  <si>
    <t>arenilla</t>
  </si>
  <si>
    <t>Arena de pega</t>
  </si>
  <si>
    <t>Geo textil no tejido</t>
  </si>
  <si>
    <t>CODIGO</t>
  </si>
  <si>
    <t>PRECIO PROMEDIO</t>
  </si>
  <si>
    <t>CONCRETO 3500 PSI (245 MPA) EN OBRA</t>
  </si>
  <si>
    <t>CONCRETO 4000 PSI (280 MPA) EN OBRA</t>
  </si>
  <si>
    <t>MORTERO 1:2 EN OBRA</t>
  </si>
  <si>
    <t>MORTERO 1:5 EN OBRA</t>
  </si>
  <si>
    <t>HR</t>
  </si>
  <si>
    <t xml:space="preserve"> base granular</t>
  </si>
  <si>
    <t>grava TIPO FILTRO 2 "</t>
  </si>
  <si>
    <t>TRITURADO 3/4"</t>
  </si>
  <si>
    <t>TRITURADO 1"</t>
  </si>
  <si>
    <t>GRAVILLA PARA MORTERO</t>
  </si>
  <si>
    <t>SC 50 KG</t>
  </si>
  <si>
    <t>Madera Para Formaleta</t>
  </si>
  <si>
    <t>ARENA DE CONCRETO</t>
  </si>
  <si>
    <t>ARENA DE REVOQUE</t>
  </si>
  <si>
    <t>BASE GRANULAR</t>
  </si>
  <si>
    <t>Platina acero</t>
  </si>
  <si>
    <t>hr</t>
  </si>
  <si>
    <t>Acero de refuerzo # 3</t>
  </si>
  <si>
    <t>Acero de refuerzo # 6</t>
  </si>
  <si>
    <t>GLN</t>
  </si>
  <si>
    <t xml:space="preserve">TEJA TERMOACUSTICA ECOROOF 2.5mm </t>
  </si>
  <si>
    <t>Pintulux 1 Galón Blanco 3en1 Metal y Maderas</t>
  </si>
  <si>
    <t>Gln</t>
  </si>
  <si>
    <t>gal</t>
  </si>
  <si>
    <t>Pegacor</t>
  </si>
  <si>
    <t>Concretadora</t>
  </si>
  <si>
    <t>COMPRESOR</t>
  </si>
  <si>
    <t xml:space="preserve">SET DE ACCESORIOS PARA TEJAS </t>
  </si>
  <si>
    <t>m</t>
  </si>
  <si>
    <t>Tuberia Emt de 3/4"</t>
  </si>
  <si>
    <t>Alambre Nº10 AWG - THWN</t>
  </si>
  <si>
    <t>Conductor De cable desnudo No 6</t>
  </si>
  <si>
    <t>Tablero para 4 circuitos</t>
  </si>
  <si>
    <t>Placa Tipo Intemperie Blanca</t>
  </si>
  <si>
    <t xml:space="preserve">LUMINARIA LED LINEAL COMERCIAL 120V 27W </t>
  </si>
  <si>
    <t xml:space="preserve">Kit Bombilla Led Gu10 350 Lúmenes 5W Equalizable 50W Luz Blanca </t>
  </si>
  <si>
    <t>Reflector LED Ip65 100W 6500K</t>
  </si>
  <si>
    <t>Kit de tornillería y anclaje (rack)</t>
  </si>
  <si>
    <t>Taco 2 polos 60 amperios LX enchufe DSE</t>
  </si>
  <si>
    <t>Taco 2 polos 30 amperios LX enchufe DSE</t>
  </si>
  <si>
    <t xml:space="preserve">llave de abasto  1/2" </t>
  </si>
  <si>
    <t>Tubo1/2" PVC</t>
  </si>
  <si>
    <t>galon</t>
  </si>
  <si>
    <t>Tubo2" PVC</t>
  </si>
  <si>
    <t>amarres y accesorios</t>
  </si>
  <si>
    <t>Rejilla cuadrada 2"</t>
  </si>
  <si>
    <t>Tuberia sanitaria NOVATEC 3"</t>
  </si>
  <si>
    <t>uniones 3"</t>
  </si>
  <si>
    <t>Ye sanitaria 3"</t>
  </si>
  <si>
    <t>medidor de agua</t>
  </si>
  <si>
    <t>glb</t>
  </si>
  <si>
    <t>rejilla para lavaplatos 4 pulgadas</t>
  </si>
  <si>
    <t>Transición 3 pulgadas (7,62 cm diámetro) bajante rectangular a sanitaria</t>
  </si>
  <si>
    <t>Grapa 4 doble oreja galvanizada</t>
  </si>
  <si>
    <t>Llave Manguera Pesada Metal Cromo</t>
  </si>
  <si>
    <t xml:space="preserve">m2 </t>
  </si>
  <si>
    <t xml:space="preserve">Lavaderos 80 x 60 x 25 cm Granito Pulido
</t>
  </si>
  <si>
    <t>MESA LIPPET DOBLE</t>
  </si>
  <si>
    <t>Plastico negro</t>
  </si>
  <si>
    <t xml:space="preserve">Pitura epoxica </t>
  </si>
  <si>
    <t>teja de barro de 130 kg/cm2</t>
  </si>
  <si>
    <t>PLASTOCRETE DM SIKA O SIMILAR</t>
  </si>
  <si>
    <t xml:space="preserve">Grama </t>
  </si>
  <si>
    <t>ADITIVO TOPEX O SIMILAR</t>
  </si>
  <si>
    <t xml:space="preserve">Canastilla 4" sifon en p </t>
  </si>
  <si>
    <t>hidrofugo</t>
  </si>
  <si>
    <t>BASE PARA FACHADA</t>
  </si>
  <si>
    <t xml:space="preserve">manto a base tipo fieltro </t>
  </si>
  <si>
    <t xml:space="preserve">Enchape ceramico para pisos </t>
  </si>
  <si>
    <t>BLOQUE EN CONCRETO PERFORACION VERTICAL.15*20*40</t>
  </si>
  <si>
    <t>bloque en concreto de 12*20*40</t>
  </si>
  <si>
    <t>ADOBE PERFORACION 12*20*40</t>
  </si>
  <si>
    <t>Ladrillo Para Jardinera 12.5*6.5</t>
  </si>
  <si>
    <t>MALLA ELECTROSOLDADA  D84.</t>
  </si>
  <si>
    <t>Malla U-50 recubrim. sup. placa primer piso</t>
  </si>
  <si>
    <t>Malla D 335 para losas</t>
  </si>
  <si>
    <t>Carcamo Prefabricado</t>
  </si>
  <si>
    <t xml:space="preserve">Banca Para Exteriores  incluye herraje </t>
  </si>
  <si>
    <t>MALLA REVOQUE</t>
  </si>
  <si>
    <t xml:space="preserve">Varilla Roscada 3/8 </t>
  </si>
  <si>
    <t xml:space="preserve">Tuerca y arandela 3/8 </t>
  </si>
  <si>
    <t>Adoquin  rectangular</t>
  </si>
  <si>
    <t>tuberia ranurada pvc 4" para filtro</t>
  </si>
  <si>
    <t>Clavo comun 2 1/2"</t>
  </si>
  <si>
    <t>lb</t>
  </si>
  <si>
    <t>Clavo de acero 3"</t>
  </si>
  <si>
    <t>amarras</t>
  </si>
  <si>
    <t>sellador</t>
  </si>
  <si>
    <t>Guantes de carnaza</t>
  </si>
  <si>
    <t>protectores auditivos</t>
  </si>
  <si>
    <t>protector tapa boca</t>
  </si>
  <si>
    <t>guantes plasticos</t>
  </si>
  <si>
    <t>botas reglamentarias</t>
  </si>
  <si>
    <t>arnes + eslinga de posicionamiento</t>
  </si>
  <si>
    <t>Cinta de Marcacion o Seguridad-riesgo electrico</t>
  </si>
  <si>
    <t>Cable encauchetado 2x8 AWG</t>
  </si>
  <si>
    <t>Marco Madera Tipo pino</t>
  </si>
  <si>
    <t xml:space="preserve">Toma corriente  + SUCICHE GFCI, 120V doble con polo a tierra,15A </t>
  </si>
  <si>
    <t>Tablero Bifasico para 12 circuitos con puerta</t>
  </si>
  <si>
    <t xml:space="preserve">Alambre Nro 14 THHN </t>
  </si>
  <si>
    <t xml:space="preserve">Alambre Nro 8 THHN </t>
  </si>
  <si>
    <t>Cable encauchetado 3X12 AWG</t>
  </si>
  <si>
    <t>Cable encauchetado 3X10 AWG</t>
  </si>
  <si>
    <t>Soldadura de enpalmes</t>
  </si>
  <si>
    <t>Cable encauchetado 3X8 AWG</t>
  </si>
  <si>
    <t>CAJA 4X4 PVC</t>
  </si>
  <si>
    <t xml:space="preserve">Herraje Metalico ,50 x ,50 </t>
  </si>
  <si>
    <t xml:space="preserve">Tubería PVC de 3/4", </t>
  </si>
  <si>
    <t xml:space="preserve">Tubería PVC de 1", </t>
  </si>
  <si>
    <t>contador monofasico 220 v,5(100)A</t>
  </si>
  <si>
    <t>protector caja electrica contador</t>
  </si>
  <si>
    <t xml:space="preserve">Gavinete Para Contador </t>
  </si>
  <si>
    <t>caja para alojar 6 ciruitos</t>
  </si>
  <si>
    <t>Tuberia pvc de 1 1/4" conduit</t>
  </si>
  <si>
    <t xml:space="preserve">Tubo pvc de 2" SAN </t>
  </si>
  <si>
    <t xml:space="preserve">tubo pvc de 3" SAN </t>
  </si>
  <si>
    <t xml:space="preserve">tubo pvc de 4" SAN </t>
  </si>
  <si>
    <t xml:space="preserve">tubo pvc de 6" SAN </t>
  </si>
  <si>
    <t>Union sanitaria 3"</t>
  </si>
  <si>
    <t>tee sanitario 3"</t>
  </si>
  <si>
    <t>Tuberia sanitaria 1 1/2"</t>
  </si>
  <si>
    <t>CODO 45 x 1  1/2" SAN</t>
  </si>
  <si>
    <t>CODO 45 x 2" SAN</t>
  </si>
  <si>
    <t>CODO 45 x 3" SAN</t>
  </si>
  <si>
    <t>CODO 45 x 4" SAN</t>
  </si>
  <si>
    <t>CODO 45 x 6" SAN</t>
  </si>
  <si>
    <t>Limpiador PVC x 1/4 de galon</t>
  </si>
  <si>
    <t>Soldadura PVC x 1/4 de galon</t>
  </si>
  <si>
    <t>Sifon 2"</t>
  </si>
  <si>
    <t>Sifon 3"</t>
  </si>
  <si>
    <t>YEE 2"</t>
  </si>
  <si>
    <t>YEE 3"</t>
  </si>
  <si>
    <t>Hidrante de columna húmeda de 3" DN 80 mm, con una boca de 2 1/2" DN 70 mm, dos bocas de 1 1/2" DN 45 mm, racores y tapones contra robo de hierro. Incluso elementos de fijación.</t>
  </si>
  <si>
    <t xml:space="preserve">Kit Nivelacion Para Hidrante </t>
  </si>
  <si>
    <t>Tapon 2"</t>
  </si>
  <si>
    <t>Tapon 3"</t>
  </si>
  <si>
    <t>Union para hidrante Tipo bridada garra de Tigre</t>
  </si>
  <si>
    <t>buje 2 x4</t>
  </si>
  <si>
    <t>buje 3 x4</t>
  </si>
  <si>
    <t>buje 4 x6</t>
  </si>
  <si>
    <t>CODO 90 x 2" SAN</t>
  </si>
  <si>
    <t>CODO 90 x 3" SAN</t>
  </si>
  <si>
    <t>CODO 90 x 4" SAN</t>
  </si>
  <si>
    <t>CODO 90 x 6" SAN</t>
  </si>
  <si>
    <t>tuberia de 1/2 PEALPE</t>
  </si>
  <si>
    <t xml:space="preserve">tee de cobre de 1/2" </t>
  </si>
  <si>
    <t>Adaptador Macho de 1/2"  PEALPE</t>
  </si>
  <si>
    <t>tuberia a presion 1/2" pvc</t>
  </si>
  <si>
    <t>tuberia a presion 3/4" pvc</t>
  </si>
  <si>
    <t>tuberia a presion 1" pvc</t>
  </si>
  <si>
    <t>codo, medio codo, tapon pvc 1/2"</t>
  </si>
  <si>
    <t>tee presion  1/2"</t>
  </si>
  <si>
    <t xml:space="preserve">Adaptador macho PVC-P Ø= 1/2" </t>
  </si>
  <si>
    <t>adaptador hembra presion  1/2"</t>
  </si>
  <si>
    <t>Cinta Sellante Teflon ½"x10 m.</t>
  </si>
  <si>
    <t>Union sanitria 6"</t>
  </si>
  <si>
    <t>Tee 4" sanitaria PVC</t>
  </si>
  <si>
    <t>Tapon roscado 4"</t>
  </si>
  <si>
    <t>Union sanitria 4"</t>
  </si>
  <si>
    <t>Codo 1/2"</t>
  </si>
  <si>
    <t>Adaptador 1/2"</t>
  </si>
  <si>
    <t>Tee de 1/2"</t>
  </si>
  <si>
    <t>Tapon roscado 1/2</t>
  </si>
  <si>
    <t>codo de 90º de 1/2"</t>
  </si>
  <si>
    <t>Grifería sencilla un agua para duchas. Mas accesorios</t>
  </si>
  <si>
    <t>rejilla sosco plastica de 2"</t>
  </si>
  <si>
    <t>Llave jardín 1/2 x 3/4 pulgada.</t>
  </si>
  <si>
    <t>Codos de 4" PVC-S</t>
  </si>
  <si>
    <t>Tee 6" sanitaria PVC</t>
  </si>
  <si>
    <t>contador de acueducto</t>
  </si>
  <si>
    <t>Union Sanitaria 1 1/2"</t>
  </si>
  <si>
    <t>Abrazadera para bajante circular</t>
  </si>
  <si>
    <t>madera de 4 cm, cedro</t>
  </si>
  <si>
    <t>tablero de 3 cm</t>
  </si>
  <si>
    <t>pefil metalico de 2"</t>
  </si>
  <si>
    <t>tablero de 2.5 cm</t>
  </si>
  <si>
    <t>Remache</t>
  </si>
  <si>
    <t>empaque</t>
  </si>
  <si>
    <t>tornillo de ensamble</t>
  </si>
  <si>
    <t>cerradura tipo pasador</t>
  </si>
  <si>
    <t>marco metalico</t>
  </si>
  <si>
    <t>al a metalica</t>
  </si>
  <si>
    <t>bisagras</t>
  </si>
  <si>
    <t>chapa principal</t>
  </si>
  <si>
    <t>perfil reja en madera cedro</t>
  </si>
  <si>
    <t>tuberia galvanizada 1 1/2" cal 18</t>
  </si>
  <si>
    <t>pernos de 1 1/2" x 3 1/16"</t>
  </si>
  <si>
    <t>acero galvanizado cal 18 doble</t>
  </si>
  <si>
    <t>acero galvanizado cal 18 sencillo</t>
  </si>
  <si>
    <t>platina galvanizada</t>
  </si>
  <si>
    <t>Estacas y puntillas</t>
  </si>
  <si>
    <t>Agua</t>
  </si>
  <si>
    <t>lt</t>
  </si>
  <si>
    <t>Perfil PTS 20*20</t>
  </si>
  <si>
    <t>Soldadura</t>
  </si>
  <si>
    <t>Malla electrosoldada tipo D 50, 25x25 cm y Ø 4-4 mm, según NTC 2310 y ASTM A 497.</t>
  </si>
  <si>
    <t>Conector en "L", de acero galvanizado, de 5 cm de altura, para fijar a estructura de acero mediante clavado</t>
  </si>
  <si>
    <t>SIKA TRANSPARENT10</t>
  </si>
  <si>
    <t xml:space="preserve"> steel deck o Metaldeck 2pg 940x5600mm Cal.22 0.75mm</t>
  </si>
  <si>
    <t>Perfil en U, de acero galvanizado, de 30 mm.</t>
  </si>
  <si>
    <t>Fijación compuesta por chazo y tornillo 5x27</t>
  </si>
  <si>
    <t>Cuelgue para cielos rasos suspendidos</t>
  </si>
  <si>
    <t>Tornillo autoperforante 3,5x25 mm.</t>
  </si>
  <si>
    <t xml:space="preserve">Varilla electrolitica certificada de 2.40m a 250 micras de recubrimiento + conector. </t>
  </si>
  <si>
    <t>Caja de inspección para toma de tierra, con tapa de registro.</t>
  </si>
  <si>
    <t xml:space="preserve">un </t>
  </si>
  <si>
    <t>Poste de Concreto Tipo Carabobo</t>
  </si>
  <si>
    <t xml:space="preserve">Brazo para Luminaria </t>
  </si>
  <si>
    <t>Tornillo Espaciador 5/8 x 10</t>
  </si>
  <si>
    <t>Luminaria led para Alumbrado publico 30w</t>
  </si>
  <si>
    <t>Fotocelda + base</t>
  </si>
  <si>
    <t>caja metalica tuberia emt 12x12x5 cm Tipo Expuesta</t>
  </si>
  <si>
    <t xml:space="preserve">Herraje Prefabricado </t>
  </si>
  <si>
    <t>Entresuelo(Sub base )</t>
  </si>
  <si>
    <t>Malla Tipo Filtro</t>
  </si>
  <si>
    <t xml:space="preserve">Canal Metalico </t>
  </si>
  <si>
    <t>Anclaje para Canal metalico</t>
  </si>
  <si>
    <t>bajante para canal metalico 3"</t>
  </si>
  <si>
    <t>Arbusto</t>
  </si>
  <si>
    <t>Tierra Abonada</t>
  </si>
  <si>
    <t>concrefibra</t>
  </si>
  <si>
    <t>Estructura Perfil Metalico</t>
  </si>
  <si>
    <t xml:space="preserve">Telera Para Formaleta de Losa </t>
  </si>
  <si>
    <t>Larguero 2x4 x3m</t>
  </si>
  <si>
    <t>Jardin Vertical</t>
  </si>
  <si>
    <t xml:space="preserve">correas para amarre </t>
  </si>
  <si>
    <t>Panel soldado  (malla) para Jardin Vertical</t>
  </si>
  <si>
    <t>Rociadores Para Chorros</t>
  </si>
  <si>
    <t>Codo 45 4" pvcs</t>
  </si>
  <si>
    <t>Tuberia 4" pvcs</t>
  </si>
  <si>
    <t>Codo 90 4" pvcs</t>
  </si>
  <si>
    <t>yee 4" pvcs</t>
  </si>
  <si>
    <t>Estructura en madera 2x4 Perimetral</t>
  </si>
  <si>
    <t xml:space="preserve">Estructura en madera 2x3 </t>
  </si>
  <si>
    <t>Arbol Especial Para sombra alturas variables 2.5-3m</t>
  </si>
  <si>
    <t>Panel Solar Monocristalino de 550W</t>
  </si>
  <si>
    <t>Conector Paralelo</t>
  </si>
  <si>
    <t>Conexión DE</t>
  </si>
  <si>
    <t>sistema AC</t>
  </si>
  <si>
    <t>caja de elementos</t>
  </si>
  <si>
    <t>Inversor cargador de 5 KW</t>
  </si>
  <si>
    <t>Cable,  conector</t>
  </si>
  <si>
    <t xml:space="preserve"> Estructura metalica  angulos x Kw(incluye accesorios y soldadura)</t>
  </si>
  <si>
    <t xml:space="preserve"> Estructura metálica tubería de D: 3/4 x 3m (incluye accesorios y soldadura)</t>
  </si>
  <si>
    <t>Horometro o Temporizador (incluye accesorios para correcto Funcionamientos)</t>
  </si>
  <si>
    <t>Cable solar FV de 4mm2</t>
  </si>
  <si>
    <t>Cable encauchetado 2X12 AWG 1000v</t>
  </si>
  <si>
    <t>Conectores Electricos</t>
  </si>
  <si>
    <t xml:space="preserve">Linkpal Mc4 Conectores De Derivación Conectores Mc4 
</t>
  </si>
  <si>
    <t xml:space="preserve"> Controlador MPPT 80 Amps, 12/24 Vdc</t>
  </si>
  <si>
    <t>Inversor Cargador de 2000 w</t>
  </si>
  <si>
    <t xml:space="preserve"> Batería Estacionaria de 12 Vdc/200 Ah Incluye Accesorios</t>
  </si>
  <si>
    <t>Motor sumergible de 3 HP, Incluye: (Impulsor de tornillo, conector de cable, sensor de nivel d eagua e interruptor)</t>
  </si>
  <si>
    <t>Medidor de rebose, automatico</t>
  </si>
  <si>
    <t>Isotanque de presión</t>
  </si>
  <si>
    <t>caja para dos circuitos</t>
  </si>
  <si>
    <t>Tuberia Presion 3" pvcs</t>
  </si>
  <si>
    <t>Tuberia Presion 2" pvcs</t>
  </si>
  <si>
    <t xml:space="preserve">Valvulas </t>
  </si>
  <si>
    <t>Manometro</t>
  </si>
  <si>
    <t>Perfileria Aliminio para ventana</t>
  </si>
  <si>
    <t>Empaque para ventaneria</t>
  </si>
  <si>
    <t xml:space="preserve">Vidrio </t>
  </si>
  <si>
    <t>rejas</t>
  </si>
  <si>
    <t>Letras Metalicas Para Parque</t>
  </si>
  <si>
    <t>Madera Tipo Teca</t>
  </si>
  <si>
    <t xml:space="preserve">Herraje De confinamiento Para mesa </t>
  </si>
  <si>
    <t>Inmunizante para madera</t>
  </si>
  <si>
    <t>Gl</t>
  </si>
  <si>
    <t>silla Yee de 6 x 4 "</t>
  </si>
  <si>
    <t>Kit Taza Báltica entrada superior con válvula push de empotrar</t>
  </si>
  <si>
    <t>Cemento blanco (saco 40 kilos) Argos</t>
  </si>
  <si>
    <t>Silicona antihongos. Presentacion 300cc Rendimiento de 8ml/en junta de 6mm x 6mm</t>
  </si>
  <si>
    <t>Tapón rosca para brida de fijación</t>
  </si>
  <si>
    <t>Brida sanitaria de fijación 4", incluye empaque de caucho y tornillos de fijación</t>
  </si>
  <si>
    <t>Soldadura PVC (1/4 gal) + Limpiador PVC (1/4 gal)</t>
  </si>
  <si>
    <t>Estopa</t>
  </si>
  <si>
    <t>Lavamanos Free institucional</t>
  </si>
  <si>
    <t>ABASTO METALICO</t>
  </si>
  <si>
    <t>SIFON BOTELLA LAVAMA</t>
  </si>
  <si>
    <t>Llave Bocamanguera, incluye niple y codo galvanizado</t>
  </si>
  <si>
    <t>Triplex 18mm.</t>
  </si>
  <si>
    <t>Moldura en madera 1/4 bocel de L=3.00 m. Chingale</t>
  </si>
  <si>
    <t>Pintura Gris Anticorrosiva 1 Galón</t>
  </si>
  <si>
    <t>Madera laminada Elm Lake o equivalente (incluye instalación)</t>
  </si>
  <si>
    <t>SIKA PLASTOCRETE DM</t>
  </si>
  <si>
    <t>SIKAFIBRANIKON</t>
  </si>
  <si>
    <t xml:space="preserve">Cemento gris </t>
  </si>
  <si>
    <t>Arena fina</t>
  </si>
  <si>
    <t xml:space="preserve">Tierra Negra Abonada </t>
  </si>
  <si>
    <t>Adoquin prefabricado 10x20</t>
  </si>
  <si>
    <t>BLOQUE DE CONCRETO VERTICAL 0,2*0,2*0,4</t>
  </si>
  <si>
    <t>Larguero de madera plastica 20X20cm</t>
  </si>
  <si>
    <t>Herrajes y accesorios para portico de madera plastica</t>
  </si>
  <si>
    <t>Formaleta para vigas.</t>
  </si>
  <si>
    <t>Chazos y tornillos</t>
  </si>
  <si>
    <t>Tablero de sobreponer 2 circuitos (MPPT - Salida a conexión a baterias)</t>
  </si>
  <si>
    <t>Breaker boble de 100 Amperios (MPPT -salida  conexión a baterias )</t>
  </si>
  <si>
    <t>Cable THHN, 600V, Cu, 60°C, No. 6 AWG, Rojo</t>
  </si>
  <si>
    <t>Cable THHN, 600V, Cu, 60°C, No. 6 AWG, Negro</t>
  </si>
  <si>
    <t>Terminal tipo ojo 3/8" grande, No.6 AWG</t>
  </si>
  <si>
    <t>Und</t>
  </si>
  <si>
    <t>Inversor Onda Seno pura 48 Vdc-120 Vac -2500 vatios</t>
  </si>
  <si>
    <t xml:space="preserve">Tablero de 4 circuitos </t>
  </si>
  <si>
    <t>Breaker de 15 Amperios</t>
  </si>
  <si>
    <t xml:space="preserve">Combiner box (conexión sistema DC 2 entradas - 1 salida) incluye conexiónes a inversor </t>
  </si>
  <si>
    <t xml:space="preserve">Tubería  metálica  EMT 3/4" x3m </t>
  </si>
  <si>
    <t>Cable THHN, 600V, Cu, 60°C, No. 10 AWG, Rojo</t>
  </si>
  <si>
    <t>Cable THHN, 600V, Cu, 60°C, No. 10 AWG, Negro</t>
  </si>
  <si>
    <t>Cable solar FV de 4mm2  rojo</t>
  </si>
  <si>
    <t>Cable solar FV de 4mm2  negro</t>
  </si>
  <si>
    <t xml:space="preserve">Unión  EMT 3/4" </t>
  </si>
  <si>
    <t>Grapas doble ala de 3/4"</t>
  </si>
  <si>
    <t>Capacete de 3/4"</t>
  </si>
  <si>
    <t>Capacete de 1/2"</t>
  </si>
  <si>
    <t>Cable THHN, 600V, Cu, 60°C, No. 12 AWG, Verde  PARA TIERRA</t>
  </si>
  <si>
    <t>Varilla Cooperweld 1,80 m x 5/8", Cu con conector a No. 12 AWG</t>
  </si>
  <si>
    <t>Conector varilla puesta a tierra</t>
  </si>
  <si>
    <t>Chazos y tornillos de 1"</t>
  </si>
  <si>
    <t>Conectores MC4 macho y hembra</t>
  </si>
  <si>
    <t>Toma doble (para lampara de seguridad)</t>
  </si>
  <si>
    <t xml:space="preserve">Caja de sobreponer 4*4 </t>
  </si>
  <si>
    <t>Clavija para lampara</t>
  </si>
  <si>
    <t>Lampara de sobreponer LED 12 vatios</t>
  </si>
  <si>
    <t xml:space="preserve">Suiche </t>
  </si>
  <si>
    <t>Cinta aislante</t>
  </si>
  <si>
    <t>Pintura  1/4 Naranja</t>
  </si>
  <si>
    <t>Brocha 2"</t>
  </si>
  <si>
    <t>Disolvente  garrafa</t>
  </si>
  <si>
    <t>Cable THHN, 600V, Cu, 60°C, No. 12 AWG, Rojo</t>
  </si>
  <si>
    <t>Cable THHN, 600V, Cu, 60°C, No. 12  AWG, Negro</t>
  </si>
  <si>
    <t>Tubería  metálica  EMT 1/2"</t>
  </si>
  <si>
    <t>Curvas EMT 3/4", 90 grados</t>
  </si>
  <si>
    <t>Unión EMT 3/4"</t>
  </si>
  <si>
    <t>Grapas de 1/2"</t>
  </si>
  <si>
    <t>Accesorio conexión canastilla para lavaplatos, incluye sifón.</t>
  </si>
  <si>
    <t>Sikasil-E Silicona antihongos sello juntas vidrio Transparente 280M</t>
  </si>
  <si>
    <t>tubo</t>
  </si>
  <si>
    <t>Cuello para MH</t>
  </si>
  <si>
    <t>ventanas en aluminio mate o negro, sistema fijo corredizo 50-20 y vidrio claro 4mm. Incluye todos sus accesorios para su correcta instalación y funcionamiento</t>
  </si>
  <si>
    <t>Tubería 2" cal. 18</t>
  </si>
  <si>
    <t xml:space="preserve">Mueble inferior para cocina dos cajones </t>
  </si>
  <si>
    <t>Lavaescobas 42x60x25</t>
  </si>
  <si>
    <t>Puertas vidrieras en aluminio mate o negro,  sistema 7-44 con divisor y vidrio claro 5mm.</t>
  </si>
  <si>
    <t>Hidrante MEGA tipo residencial (Dos salidas de 2-1/2”), bridada ANSI</t>
  </si>
  <si>
    <t>Válvulas de compuerta elástica - vástago ascendente 3"</t>
  </si>
  <si>
    <t xml:space="preserve">S de nivelación, Liso x Liso P/ PVC </t>
  </si>
  <si>
    <t>Tee extremo bridado 3x3"</t>
  </si>
  <si>
    <t xml:space="preserve">angulo de hierro de  1  1/2" cal 3/16"  </t>
  </si>
  <si>
    <t xml:space="preserve">Platina de hierro de 1 " cal 3 /16"  </t>
  </si>
  <si>
    <t xml:space="preserve">anticorrosivo </t>
  </si>
  <si>
    <t>Lamina Galvanizada Cal. 18</t>
  </si>
  <si>
    <t>perfil de madera plastica de 20 cm x 20 cm</t>
  </si>
  <si>
    <t xml:space="preserve">Enrredadera vertical de hoja grande Saritea </t>
  </si>
  <si>
    <t>Larguero 3.0 m x 8.0 cm x 4.0 cm Inmunizado</t>
  </si>
  <si>
    <t>Reflector LED 30W</t>
  </si>
  <si>
    <t>Accesorios para anclajes de reflector</t>
  </si>
  <si>
    <t xml:space="preserve">Conectores + cinta aislante electrica </t>
  </si>
  <si>
    <t>Conductor de cable THHL  No 6 AWG</t>
  </si>
  <si>
    <t>Tubería PVC Tipo DB 2"</t>
  </si>
  <si>
    <t>cable con un tipo de aislamiento THHN-THWN</t>
  </si>
  <si>
    <t xml:space="preserve">Varilla Cooperweld 2,4 m x 5/8" Cu, con conector para varilla de puesta a tierra </t>
  </si>
  <si>
    <t xml:space="preserve">Conector para cable No 12 </t>
  </si>
  <si>
    <t>Cinta autofundente 3m</t>
  </si>
  <si>
    <t xml:space="preserve">Cinta de demarcación de colores </t>
  </si>
  <si>
    <t>CAJAS RS3-002</t>
  </si>
  <si>
    <t xml:space="preserve">TERMINALES TIPO CAMPANA </t>
  </si>
  <si>
    <t>TUBO IMC DE 2" 3m</t>
  </si>
  <si>
    <t xml:space="preserve">CONECTOR TIPO C </t>
  </si>
  <si>
    <t xml:space="preserve">PINTURA DE DEMARCACIÓN COLOR NARANJA </t>
  </si>
  <si>
    <t>CUARTO</t>
  </si>
  <si>
    <t>CAPACETE ROSCADO EN ALUMINIO PARA TUBERÍA IMC DE 2"</t>
  </si>
  <si>
    <t>Angulos pernos y accesorios para cubierta en kiosko</t>
  </si>
  <si>
    <t>Canaleta  prefabricado MDCU-120 incluye transporte</t>
  </si>
  <si>
    <t>global materiales mesa</t>
  </si>
  <si>
    <t>Madera inmunizada e 2cm</t>
  </si>
  <si>
    <t>Acabado concreto color según diseño (Fuente chorros)</t>
  </si>
  <si>
    <t>Piedra grandes (Fuente chorros)</t>
  </si>
  <si>
    <t>Bloque en concreto reciclado 0.4x0.4x0.2</t>
  </si>
  <si>
    <t xml:space="preserve">Arena gruesa lavable </t>
  </si>
  <si>
    <t xml:space="preserve">Piedras grandes de sobreponer </t>
  </si>
  <si>
    <t>Dispensador de bolsas plasticas y basurera</t>
  </si>
  <si>
    <t xml:space="preserve">Caneca acero inoxidable tipo barcelona </t>
  </si>
  <si>
    <t>Panel solar Monocristalino de 100 Wp</t>
  </si>
  <si>
    <t>Controlador PWM 10A/12V</t>
  </si>
  <si>
    <t>Batería GEL 12V/55Ah</t>
  </si>
  <si>
    <t>Protecciones, rack de baterias y accesorios para sistema AC</t>
  </si>
  <si>
    <t xml:space="preserve">Estructura para estación autonoma en aluminio </t>
  </si>
  <si>
    <t>Lavamanos Avanti con Pedestal Blanco</t>
  </si>
  <si>
    <t>Sanitario tipo montecarlo redondo blanco</t>
  </si>
  <si>
    <t>BANCA TEPYL •1,22</t>
  </si>
  <si>
    <t>BANCA ÖLAND CON ESPALDAR</t>
  </si>
  <si>
    <t>MESA ÖLAND</t>
  </si>
  <si>
    <t>mesa de tennis para exteriores</t>
  </si>
  <si>
    <t>Banca - alcorque Manen prefabricada</t>
  </si>
  <si>
    <t>Arena de silice</t>
  </si>
  <si>
    <t xml:space="preserve">animales prefabricados </t>
  </si>
  <si>
    <t>Jardinera Dobbelt</t>
  </si>
  <si>
    <t>tuberia negra 2" 2.5mm x6m</t>
  </si>
  <si>
    <t xml:space="preserve">Platina 2 x 1/4" x6m </t>
  </si>
  <si>
    <t>tuberia negra 1" 2.5mm x6m</t>
  </si>
  <si>
    <t xml:space="preserve">pernos expansivos 1/2x3" </t>
  </si>
  <si>
    <t>BANCA ÖLAND SIN ESPALDAR</t>
  </si>
  <si>
    <t>Tubería perforada para filtro 4'' Durman.</t>
  </si>
  <si>
    <t>Tubería perforada para filtro 6'' Durman.</t>
  </si>
  <si>
    <t>Tubería PVC NOVAFORT 10"</t>
  </si>
  <si>
    <t>Ángulo de 2" x 1/8" x 6,0 metros</t>
  </si>
  <si>
    <t xml:space="preserve">Señalización, tablero y paral </t>
  </si>
  <si>
    <t xml:space="preserve">Esferas reflectivas </t>
  </si>
  <si>
    <t xml:space="preserve">Pintura acrilica en frío para tráfico </t>
  </si>
  <si>
    <t>gln</t>
  </si>
  <si>
    <t>Madera Pino 2x6pg 3.962m Cepillado 4.1x13.8cm</t>
  </si>
  <si>
    <t>Disolvente para pintura acrilica</t>
  </si>
  <si>
    <t>pino patula inmunizado 12x12</t>
  </si>
  <si>
    <t>pino patula inmunizado 4x11</t>
  </si>
  <si>
    <t>largueros 10x4 pino patula inmunizado</t>
  </si>
  <si>
    <t>pino patula machimbre inmunizado 800x150 mm y 25 mm de espeso</t>
  </si>
  <si>
    <t>larguero pino patula inmunizado 0.1x0.04m</t>
  </si>
  <si>
    <t>ADOQUIN PREFABRICADO EN CONCRETO TRAFICO LIVIANO COLOR GRIS</t>
  </si>
  <si>
    <t>GOBERNACIÓN DE ANTIOQUIA</t>
  </si>
  <si>
    <t>CARGO</t>
  </si>
  <si>
    <t>SALARIO</t>
  </si>
  <si>
    <t>FM</t>
  </si>
  <si>
    <t>SALARIO CON FM INCLUIDO</t>
  </si>
  <si>
    <t>V/HORA</t>
  </si>
  <si>
    <t>Director de obra/Interventoría</t>
  </si>
  <si>
    <t xml:space="preserve">FACTOR MULTIPLICADOR </t>
  </si>
  <si>
    <t>Ingeniero residente</t>
  </si>
  <si>
    <t>Sueldo Básico</t>
  </si>
  <si>
    <t>Subtotal 1</t>
  </si>
  <si>
    <t>Tecnologo SST</t>
  </si>
  <si>
    <t>Almacenista de obra</t>
  </si>
  <si>
    <t>Prestaciones Sociales, aporte a Seguridad social, Aportes parafiscales y descanso remunerado</t>
  </si>
  <si>
    <t>Oficial</t>
  </si>
  <si>
    <t>Prestaciones sociales</t>
  </si>
  <si>
    <t>Ayudante</t>
  </si>
  <si>
    <t>Prima anual</t>
  </si>
  <si>
    <t>Ayudante Entendido</t>
  </si>
  <si>
    <t xml:space="preserve">Cesantía anual </t>
  </si>
  <si>
    <t>Topografo</t>
  </si>
  <si>
    <t>Interés a las cesantías</t>
  </si>
  <si>
    <t>Cadenero 1</t>
  </si>
  <si>
    <t>Aportes a la Seguridad social</t>
  </si>
  <si>
    <t>Cadenero 2</t>
  </si>
  <si>
    <t>Salud (EPS)</t>
  </si>
  <si>
    <t>Pensiones (AFP)</t>
  </si>
  <si>
    <t>Riesgos (ARL) 6,96 % (obra civil)</t>
  </si>
  <si>
    <t>Aportes parafiscales</t>
  </si>
  <si>
    <t>Servicio Nacional de Aprendizaje (SENA)</t>
  </si>
  <si>
    <t>Instituto Colombiano de Bienestar Familiar (ICBF)</t>
  </si>
  <si>
    <t>ANÁLISIS MANO DE OBRA</t>
  </si>
  <si>
    <t>Cajas de compensación familiar</t>
  </si>
  <si>
    <t>1SMMLV 2026</t>
  </si>
  <si>
    <t>2.4</t>
  </si>
  <si>
    <t>Descanso remunerado (vacaciones)</t>
  </si>
  <si>
    <t>2SMMLV 2026</t>
  </si>
  <si>
    <t>Vacaciones anuales</t>
  </si>
  <si>
    <t>Subsidio de Transporte (salario &lt;= 2 SMMLV)</t>
  </si>
  <si>
    <t>(Incluido en FM)</t>
  </si>
  <si>
    <t>2.5</t>
  </si>
  <si>
    <t>Otros</t>
  </si>
  <si>
    <t>Dotación EPP</t>
  </si>
  <si>
    <t>Exámenes de ingreso y egreso</t>
  </si>
  <si>
    <t>Subtotal 2</t>
  </si>
  <si>
    <t>Auxilio de transporte</t>
  </si>
  <si>
    <t>Auxilio de transporte (Sueldo inferior o igual a 2SMMLV)</t>
  </si>
  <si>
    <t>Subtotal 3</t>
  </si>
  <si>
    <t>Factor Multiplicador ajustado a dos cifras decimales (para personal que gana Menos o hasta 2SMMLV)</t>
  </si>
  <si>
    <t>Factor Multiplicador ajustado a dos cifras decimales (para personal que gana más de 2SMMLV)</t>
  </si>
  <si>
    <t>PLAN DE MANEJO AMBIENTAL Y SOCIAL</t>
  </si>
  <si>
    <t>DESCRIPCION</t>
  </si>
  <si>
    <t>CANTIDAD</t>
  </si>
  <si>
    <t>PRECIO UNITARIO</t>
  </si>
  <si>
    <t>Desarrollo y aplicación del sistema de gestion ambiental</t>
  </si>
  <si>
    <t>1.1.1</t>
  </si>
  <si>
    <t>Capacitacion al personal de la obra (incluye fotocopias y material de explicación)</t>
  </si>
  <si>
    <t>Actividades Constructivas</t>
  </si>
  <si>
    <t>1.2.1</t>
  </si>
  <si>
    <t>Señalizacion frentes de obra y sitios temporales</t>
  </si>
  <si>
    <t>1.2.2</t>
  </si>
  <si>
    <t>Pendondes de identificacion</t>
  </si>
  <si>
    <t>1.2.6</t>
  </si>
  <si>
    <t>Marcación de identificacion zona de residuos</t>
  </si>
  <si>
    <t>1.2.7</t>
  </si>
  <si>
    <t>Señalizacion preventiva interna.</t>
  </si>
  <si>
    <t>paquetes</t>
  </si>
  <si>
    <t>1.2.8</t>
  </si>
  <si>
    <t>Punto de encuentro</t>
  </si>
  <si>
    <t>1.2.10</t>
  </si>
  <si>
    <t>Salida de emergencia</t>
  </si>
  <si>
    <t>1.2.12</t>
  </si>
  <si>
    <t>Carpas para cubrir centros de acopio de escombros</t>
  </si>
  <si>
    <t>Programa de gestion hidrica</t>
  </si>
  <si>
    <t>1.3.1</t>
  </si>
  <si>
    <t>Manejo de residuos (incluye 3 canecas de 40L para manejo de basura, bolsas de diferentes colores con señalización pertinente)</t>
  </si>
  <si>
    <t>1.3.2</t>
  </si>
  <si>
    <t>Alquiler de baño portatil</t>
  </si>
  <si>
    <t>Programa Manejo de Instalaciones Temporales, de Maquinaria y Equipos</t>
  </si>
  <si>
    <t>1.4.1</t>
  </si>
  <si>
    <t>Señalización de Manejo de maquinaria, equipos y vehículos</t>
  </si>
  <si>
    <t>1.4.2</t>
  </si>
  <si>
    <t>Kit emergencia (Botiquin, Extintor y Camilla)</t>
  </si>
  <si>
    <t>1.5</t>
  </si>
  <si>
    <t>Programas de Gestión Social</t>
  </si>
  <si>
    <t>1.5.1</t>
  </si>
  <si>
    <t>Talleres para cuidado y sostenibilidad Ambiental in Situ.</t>
  </si>
  <si>
    <t>1.5.2</t>
  </si>
  <si>
    <t>Proyecto de Información y Divulgación de inicio y fin de obra</t>
  </si>
  <si>
    <t>1.5.3</t>
  </si>
  <si>
    <t>Plegables para Pedagogia Ambiental durante toda la duración del proyecto</t>
  </si>
  <si>
    <t xml:space="preserve">TOTAL PLAN DE MANEJO AMBIENTAL </t>
  </si>
  <si>
    <t>DEPARTAMENTO DE ANTIOQUIA</t>
  </si>
  <si>
    <t xml:space="preserve">INTERVENTORÍA TÉCNICA, JURÍDICA Y FINANCIERA PARA LA CONSTRUCCIÓN CENTRO DÍA GERONTOLÓGICO CORREGIMIENTO SAN JOSÉ DEL NUS DEL MUNICIPIO DE SAN ROQUE ANTIOQUIA </t>
  </si>
  <si>
    <t>CARGO/OFICIO</t>
  </si>
  <si>
    <t>Valor (Incluye Factor prestacional)</t>
  </si>
  <si>
    <t>Personal de interventoría</t>
  </si>
  <si>
    <t>Director de Interventoría</t>
  </si>
  <si>
    <t>Ingeniero Residente de Interventoría</t>
  </si>
  <si>
    <t>Auxiliar Ambiental</t>
  </si>
  <si>
    <t>Aplicación factor multiplicador</t>
  </si>
  <si>
    <t>Subtotal costos del personal</t>
  </si>
  <si>
    <t>Factor Multiplicador</t>
  </si>
  <si>
    <t>Valor total costos personal</t>
  </si>
  <si>
    <t>Ensayos de laboratorio, según la necesidad</t>
  </si>
  <si>
    <t>mes-unidad</t>
  </si>
  <si>
    <t>Mano de obra Comisión de topografía, incluye equipos</t>
  </si>
  <si>
    <t>TOTAL INTERVENTORÍA</t>
  </si>
  <si>
    <t xml:space="preserve">IVA </t>
  </si>
  <si>
    <t>TOTAL INTERVENTORÍA CON IVA</t>
  </si>
  <si>
    <t>______________________________________________</t>
  </si>
  <si>
    <t>VALOR PERSONAL DE INTERVENTORÍA</t>
  </si>
  <si>
    <t>VALOR INTERVENTORÍA ANTES DE IVA</t>
  </si>
  <si>
    <t>Costos indirectos</t>
  </si>
  <si>
    <t>Costos oficina (construcción oficina, con seguridad, incluye dotación como escritorio, mesa y sillas, también incluye 2 equipos de computo para uso de residente y SST)</t>
  </si>
  <si>
    <t>Papeleria general: Fotocopias, edición informes, registros fotográficos entre otros</t>
  </si>
  <si>
    <t>Muebles y equipos de oficina, programas y sistematización</t>
  </si>
  <si>
    <t>Asesoría medica, contable, tributaria (revisor fiscal)</t>
  </si>
  <si>
    <t>HONORARIOS</t>
  </si>
  <si>
    <t>8%-12%</t>
  </si>
  <si>
    <t>FACTOR MULTIPLICADOR</t>
  </si>
  <si>
    <t xml:space="preserve">INTERVENTORIA - CONSTRUCCIÓN CENTRO DÍA GERONTOLÓGICO CORREGIMIENTO SAN JOSÉ DEL NUS DEL MUNICIPIO DE SAN ROQUE ANTIOQUIA </t>
  </si>
  <si>
    <t xml:space="preserve">PROGRAMACIÓN </t>
  </si>
  <si>
    <t>ACTIVIDADES</t>
  </si>
  <si>
    <t>MES1</t>
  </si>
  <si>
    <t>MES2</t>
  </si>
  <si>
    <t>MES3</t>
  </si>
  <si>
    <t>MES4</t>
  </si>
  <si>
    <t>MES5</t>
  </si>
  <si>
    <t>MES6</t>
  </si>
  <si>
    <t>MES7</t>
  </si>
  <si>
    <t>MES8</t>
  </si>
  <si>
    <t>MES9</t>
  </si>
  <si>
    <t>MES 10</t>
  </si>
  <si>
    <t>PRE CONTRACTUAL</t>
  </si>
  <si>
    <t>PROCESO DE SELECCIÓN CONTRATISTA E INTERVENTORÍA</t>
  </si>
  <si>
    <t>PRELIMINARES</t>
  </si>
  <si>
    <t>LIQUIDACIONES</t>
  </si>
  <si>
    <t>PROCESO DE LIQUIDACIÓN DEL PROYECTO</t>
  </si>
  <si>
    <t>VALOR UNIT</t>
  </si>
  <si>
    <t>VR CON IVA</t>
  </si>
  <si>
    <t>DESC 5 %</t>
  </si>
  <si>
    <t>SUB TOTAL</t>
  </si>
  <si>
    <t>BASE GRAVABLE 10 % UTILIDAD</t>
  </si>
  <si>
    <t>IVA UTILIDAD 19%</t>
  </si>
  <si>
    <t>ZONA CARDIOVASCULAR</t>
  </si>
  <si>
    <t>BICICLETA ESTATICA MAGNETICA</t>
  </si>
  <si>
    <t>BICICLETA RECUMBENT MAGNETICA</t>
  </si>
  <si>
    <t>ESCALADOR</t>
  </si>
  <si>
    <t>REMO</t>
  </si>
  <si>
    <t>SKY</t>
  </si>
  <si>
    <t>JINETE</t>
  </si>
  <si>
    <t>ELIPTICA MAGNETICA</t>
  </si>
  <si>
    <t>ZONA MUSCULACION CON Y SIN PESAS</t>
  </si>
  <si>
    <t>-</t>
  </si>
  <si>
    <t>CALISTENIA PRO</t>
  </si>
  <si>
    <t>TORRE POLEA BAJA 150 LB - INDIVIDUAL</t>
  </si>
  <si>
    <t>TORRE SENTADILLA 150 LB - INDIVIDUAL</t>
  </si>
  <si>
    <t>TORRE PECHO INCLINADO 150 LB - INDIVIDUAL</t>
  </si>
  <si>
    <t>CALENTADOR DE PIERNAS SISSY</t>
  </si>
  <si>
    <t>FLEXION PECHO TRICEPS SENCILLO</t>
  </si>
  <si>
    <t>ZONA MOVILIDAD REDUCIDA Y DE ADULTOS</t>
  </si>
  <si>
    <t>AEROSKY BASICO</t>
  </si>
  <si>
    <t>PENDULO BASICO  ( SURF )</t>
  </si>
  <si>
    <t>JALON ESPALDA DOBLE</t>
  </si>
  <si>
    <t>PRESION PECHO DOBLE</t>
  </si>
  <si>
    <t>PRENSA DE PIERNAS DOBLE</t>
  </si>
  <si>
    <t>TRIPLE ADULTOS: PECHO, ESPALDA Y PIERNAS</t>
  </si>
  <si>
    <t>MOVILIDAD REDUCIDA RUEDA DE HOMBROS CARDI</t>
  </si>
  <si>
    <t>MOV. REDUCIDA - PRESION DE PECHO INDIVIDUAL</t>
  </si>
  <si>
    <t>MOV. REDUCIDA - JALON DE ESPALDA INDIVIDUAL</t>
  </si>
  <si>
    <t>MORTEROS Y CONCRETOS</t>
  </si>
  <si>
    <t>Material</t>
  </si>
  <si>
    <t>Valor unitario</t>
  </si>
  <si>
    <t>Arena de concreto</t>
  </si>
  <si>
    <t>m³</t>
  </si>
  <si>
    <t>Triturado 3/4"</t>
  </si>
  <si>
    <t>l</t>
  </si>
  <si>
    <t xml:space="preserve">mortero 1:2 </t>
  </si>
  <si>
    <t>Cantidad</t>
  </si>
  <si>
    <t>Valor parcial</t>
  </si>
  <si>
    <t>L</t>
  </si>
  <si>
    <t xml:space="preserve">mortero 1:3 </t>
  </si>
  <si>
    <t xml:space="preserve">mortero 1:4 </t>
  </si>
  <si>
    <t xml:space="preserve">Agua </t>
  </si>
  <si>
    <t xml:space="preserve">mortero 1:5 </t>
  </si>
  <si>
    <t>Concreto 4000 psi</t>
  </si>
  <si>
    <t>280 kg/cm²</t>
  </si>
  <si>
    <t>Cemento kg</t>
  </si>
  <si>
    <t>Día</t>
  </si>
  <si>
    <t>Agua Lt</t>
  </si>
  <si>
    <t>Concreto 3500 psi</t>
  </si>
  <si>
    <t>246  kg/cm²</t>
  </si>
  <si>
    <t>Concreto 3000 psi</t>
  </si>
  <si>
    <t>210  kg/cm²</t>
  </si>
  <si>
    <t>Concreto 2500 psi</t>
  </si>
  <si>
    <t>175  kg/cm²</t>
  </si>
  <si>
    <t>Concreto 2000 psi</t>
  </si>
  <si>
    <t>140  kg/cm²</t>
  </si>
  <si>
    <t>Concreto pobre 1500 psi</t>
  </si>
  <si>
    <t>105  kg/cm²</t>
  </si>
  <si>
    <t>CONCRETOS</t>
  </si>
  <si>
    <t xml:space="preserve">Tipo de concreto </t>
  </si>
  <si>
    <t>1500 Psi</t>
  </si>
  <si>
    <t>2000 Psi</t>
  </si>
  <si>
    <t>2500 Psi</t>
  </si>
  <si>
    <t>3000 Psi</t>
  </si>
  <si>
    <t>3500 Psi</t>
  </si>
  <si>
    <t>4000 Psi</t>
  </si>
  <si>
    <t>Mortero 1:2</t>
  </si>
  <si>
    <t>Mortero 1:3</t>
  </si>
  <si>
    <t>Mortero 1:4</t>
  </si>
  <si>
    <t>Mortero 1:5</t>
  </si>
  <si>
    <t>VALOR UNITARIO</t>
  </si>
  <si>
    <t>DIMENSIONES</t>
  </si>
  <si>
    <t>OTRO</t>
  </si>
  <si>
    <t>ANCHO</t>
  </si>
  <si>
    <t>LARGO</t>
  </si>
  <si>
    <t>ALTURA</t>
  </si>
  <si>
    <t>Teniendo en cuenta el area construida que son 356.36m2 se estiman 3 días para localización y replanteo</t>
  </si>
  <si>
    <t>COBRADO ACTAS ANTERIORES</t>
  </si>
  <si>
    <t>TOTAL A COBRAR PRESENTE ACTA</t>
  </si>
  <si>
    <t>FECHA DE CREACION</t>
  </si>
  <si>
    <t>FIRMA</t>
  </si>
  <si>
    <t>FORMULADOR</t>
  </si>
  <si>
    <t>LOTE</t>
  </si>
  <si>
    <t>Lado 1</t>
  </si>
  <si>
    <t>Lado 2</t>
  </si>
  <si>
    <t>Lado 3</t>
  </si>
  <si>
    <t>Lado 4</t>
  </si>
  <si>
    <t>ZAPATA BASE</t>
  </si>
  <si>
    <t>V1-V9</t>
  </si>
  <si>
    <t>VA, VC</t>
  </si>
  <si>
    <t>VB</t>
  </si>
  <si>
    <t>ÁREA</t>
  </si>
  <si>
    <t xml:space="preserve">AREA LOSA </t>
  </si>
  <si>
    <t>AREA LOSA GIMNASIO</t>
  </si>
  <si>
    <t>AREA LOSA TANQUE</t>
  </si>
  <si>
    <t>ZAPATAS PEDESTAL EN EJES A, B, CON EJES 1, 2, 3, 4, 5, 6, 7, 8, 9 Y ZAPATA DE TANQUE</t>
  </si>
  <si>
    <t>ZAPATA BASE EN EJES A, B, CON EJES 1, 2, 3, 4, 5, 6, 7, 8, 9 Y ZAPATA DE TANQUE</t>
  </si>
  <si>
    <t>COLUMNAS EN EJES A, B, CON EJES 1, 2, 3, 4, 5, 6, 7, 8, 9 Y COLUMNA TANQUE</t>
  </si>
  <si>
    <t xml:space="preserve">MURO 1 </t>
  </si>
  <si>
    <t>MURO 2</t>
  </si>
  <si>
    <t>MURO 3</t>
  </si>
  <si>
    <t>MURO 4</t>
  </si>
  <si>
    <t>MURO 5</t>
  </si>
  <si>
    <t>MURO 6</t>
  </si>
  <si>
    <t>MURO 7</t>
  </si>
  <si>
    <t>MURO 8</t>
  </si>
  <si>
    <t>MURO 9</t>
  </si>
  <si>
    <t>MURO 10</t>
  </si>
  <si>
    <t>MURO 11</t>
  </si>
  <si>
    <t>MURO 12</t>
  </si>
  <si>
    <t>MURO 13</t>
  </si>
  <si>
    <t>MURO 14</t>
  </si>
  <si>
    <t>MURO 15</t>
  </si>
  <si>
    <t>FACTOR PESO</t>
  </si>
  <si>
    <t>VIGA PHR 254X67X2MM</t>
  </si>
  <si>
    <t xml:space="preserve">AREA DE CUBIERTA </t>
  </si>
  <si>
    <t>FACTOR</t>
  </si>
  <si>
    <t>DIST. EST.</t>
  </si>
  <si>
    <t>PESO/ML</t>
  </si>
  <si>
    <t>ZAPATAS</t>
  </si>
  <si>
    <t>PEDESTALES Y COLUMNAS</t>
  </si>
  <si>
    <t>ESTRIBOS</t>
  </si>
  <si>
    <t>VIGAS DE FUNDACIÓN (V1, V2, V3, V4, V5)</t>
  </si>
  <si>
    <t>VIGAS DE FUNDACIÓN (ESTRIBOS)</t>
  </si>
  <si>
    <t>VIGAS DE FUNDACIÓN (V6)</t>
  </si>
  <si>
    <t>VIGAS DE FUNDACIÓN (V7, V8)</t>
  </si>
  <si>
    <t>VIGAS DE FUNDACIÓN (VA, VC)</t>
  </si>
  <si>
    <t>VIGAS DE FUNDACIÓN (VB)</t>
  </si>
  <si>
    <t>VIGAS AÉREAS (VA, VC)</t>
  </si>
  <si>
    <t>VIGAS AÉREAS (ESTRIBOS)</t>
  </si>
  <si>
    <t>VIGAS AÉREAS (VB)</t>
  </si>
  <si>
    <t>VIGAS AÉREAS (V1, V2, V3, V4, V5, V6, V7, V8, V9)</t>
  </si>
  <si>
    <t>DOBLE CARA</t>
  </si>
  <si>
    <t>CARAS</t>
  </si>
  <si>
    <t>Solo muros de fachada van con mampostería a la vista</t>
  </si>
  <si>
    <t>Salon TICS</t>
  </si>
  <si>
    <t>Taller 2</t>
  </si>
  <si>
    <t>Baños y cuarto técnico</t>
  </si>
  <si>
    <t>Comedor</t>
  </si>
  <si>
    <t>Cocina</t>
  </si>
  <si>
    <t>Zona de ropas</t>
  </si>
  <si>
    <t>Taller 1</t>
  </si>
  <si>
    <t>Oficina</t>
  </si>
  <si>
    <t>Consultorio + baño</t>
  </si>
  <si>
    <t>Muro en baño de consultorio</t>
  </si>
  <si>
    <t>Muros cocina</t>
  </si>
  <si>
    <t>Muros lavanderia</t>
  </si>
  <si>
    <t>Muros baños</t>
  </si>
  <si>
    <t>Cuartos técnico y de basura</t>
  </si>
  <si>
    <t xml:space="preserve">SALON TICS </t>
  </si>
  <si>
    <t xml:space="preserve">TALLER 2 </t>
  </si>
  <si>
    <t>CUARTOS DE RESIDUOSY TÉCNICO</t>
  </si>
  <si>
    <t>COMEDOR</t>
  </si>
  <si>
    <t>TALLER 1</t>
  </si>
  <si>
    <t>OFICINA</t>
  </si>
  <si>
    <t>CONSULTORIO</t>
  </si>
  <si>
    <t>BAÑOS</t>
  </si>
  <si>
    <t>COCINA</t>
  </si>
  <si>
    <t>ZONA DE ROPAS (LAVANDERÍA)</t>
  </si>
  <si>
    <t xml:space="preserve">COCINA NEVERA </t>
  </si>
  <si>
    <t xml:space="preserve">COCINA ESTUFA </t>
  </si>
  <si>
    <t>LAVANDERIA</t>
  </si>
  <si>
    <t>SALON TICS</t>
  </si>
  <si>
    <t>ZONA DE ROPAS</t>
  </si>
  <si>
    <t>BAÑOS (INCLUYE CUARTO DE ASEO)</t>
  </si>
  <si>
    <t>CUARTO RESIDUOS</t>
  </si>
  <si>
    <t>CUARTO TÉCNICO</t>
  </si>
  <si>
    <t>TALLER 2</t>
  </si>
  <si>
    <t>OFICINA Y ENFERMERIA</t>
  </si>
  <si>
    <t>Tablero de distribución especial, tablero de distribución final y tablero de distribución final</t>
  </si>
  <si>
    <t xml:space="preserve">CUARTO ASEO </t>
  </si>
  <si>
    <t>CUARTO TECNICO</t>
  </si>
  <si>
    <t xml:space="preserve">OFICINA </t>
  </si>
  <si>
    <t xml:space="preserve">BAÑO </t>
  </si>
  <si>
    <t>ENFERMERÍA</t>
  </si>
  <si>
    <t>Acometida</t>
  </si>
  <si>
    <t>Apantallamiento general</t>
  </si>
  <si>
    <t>Baños</t>
  </si>
  <si>
    <t>Cuarto técnico</t>
  </si>
  <si>
    <t xml:space="preserve">Consultorio </t>
  </si>
  <si>
    <t>EXTERIOR</t>
  </si>
  <si>
    <t>CONSULTORIO + BAÑO</t>
  </si>
  <si>
    <t>PERIMETRAL</t>
  </si>
  <si>
    <t>DESAGÜES CANOAS</t>
  </si>
  <si>
    <t xml:space="preserve">CAJA DE DERIVACION 1-CAJA SALIDA A CONEXIÓN </t>
  </si>
  <si>
    <t xml:space="preserve">CAJA DE DERIVACION 2-CAJA SALIDA A CONEXIÓN </t>
  </si>
  <si>
    <t xml:space="preserve">CAJA DE DERIVACION 3-CAJA SALIDA A CONEXIÓN </t>
  </si>
  <si>
    <t>Embudos/Desagües</t>
  </si>
  <si>
    <t>Cajas Sanitarias</t>
  </si>
  <si>
    <t>Cajas Agua lluvia</t>
  </si>
  <si>
    <t>Baño mujeres</t>
  </si>
  <si>
    <t>Baño hombres</t>
  </si>
  <si>
    <t xml:space="preserve">baño enfermeria </t>
  </si>
  <si>
    <t xml:space="preserve">baño hombres </t>
  </si>
  <si>
    <t xml:space="preserve">baño mujeres </t>
  </si>
  <si>
    <t xml:space="preserve">baño enfermeria  </t>
  </si>
  <si>
    <t xml:space="preserve">cocina </t>
  </si>
  <si>
    <t>vestier</t>
  </si>
  <si>
    <t>baño PMR</t>
  </si>
  <si>
    <t>cuarto aseo</t>
  </si>
  <si>
    <t>BAÑOS PMR</t>
  </si>
  <si>
    <t>BAÑO MUJERES</t>
  </si>
  <si>
    <t>BAÑO HOMBRES</t>
  </si>
  <si>
    <t>BAÑO ENFERMERÍA</t>
  </si>
  <si>
    <t>BAÑO PMR MIXTO</t>
  </si>
  <si>
    <t>ENFERMERIA</t>
  </si>
  <si>
    <t>Ingreso</t>
  </si>
  <si>
    <t>Perimetral (Zona frontal)</t>
  </si>
  <si>
    <t>Perimetral (zona oficinas)</t>
  </si>
  <si>
    <t>Perimetral (Zona trasera)</t>
  </si>
  <si>
    <t>Perimetral (Zona GYM)</t>
  </si>
  <si>
    <t>IVA SOBRE HONORARIOS</t>
  </si>
  <si>
    <t>TOTAL HONORARIOS</t>
  </si>
  <si>
    <t>VALOR TOTAL OBRA E INTERVENTORIA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</si>
</sst>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1">
    <numFmt numFmtId="6" formatCode="&quot;$&quot;\ #,##0;[Red]\-&quot;$&quot;\ #,##0"/>
    <numFmt numFmtId="8" formatCode="&quot;$&quot;\ #,##0.00;[Red]\-&quot;$&quot;\ #,##0.00"/>
    <numFmt numFmtId="41" formatCode="_-* #,##0_-;\-* #,##0_-;_-* &quot;-&quot;_-;_-@_-"/>
    <numFmt numFmtId="44" formatCode="_-&quot;$&quot;\ * #,##0.00_-;\-&quot;$&quot;\ * #,##0.00_-;_-&quot;$&quot;\ * &quot;-&quot;??_-;_-@_-"/>
    <numFmt numFmtId="43" formatCode="_-* #,##0.00_-;\-* #,##0.00_-;_-* &quot;-&quot;??_-;_-@_-"/>
    <numFmt numFmtId="164" formatCode="_-* #,##0.00_-;\-* #,##0.00_-;_-* &quot;-&quot;_-;_-@_-"/>
    <numFmt numFmtId="165" formatCode="_-* #,##0_-;\-* #,##0_-;_-* &quot;-&quot;??_-;_-@_-"/>
    <numFmt numFmtId="166" formatCode="[$-F800]dddd\,\ mmmm\ dd\,\ yyyy"/>
    <numFmt numFmtId="167" formatCode="_-* #,##0.000_-;\-* #,##0.000_-;_-* &quot;-&quot;??_-;_-@_-"/>
    <numFmt numFmtId="168" formatCode="_-* #,##0.0_-;\-* #,##0.0_-;_-* &quot;-&quot;??_-;_-@_-"/>
    <numFmt numFmtId="169" formatCode="_(&quot;$&quot;\ * #,##0.00_);_(&quot;$&quot;\ * \(#,##0.00\);_(&quot;$&quot;\ * &quot;-&quot;??_);_(@_)"/>
    <numFmt numFmtId="170" formatCode="_ * #,##0.00_ ;_ * \-#,##0.00_ ;_ * &quot;-&quot;??_ ;_ @_ "/>
    <numFmt numFmtId="171" formatCode="[$$-240A]\ #,##0.0000"/>
    <numFmt numFmtId="172" formatCode="_(&quot;$&quot;\ * #,##0_);_(&quot;$&quot;\ * \(#,##0\);_(&quot;$&quot;\ * &quot;-&quot;??_);_(@_)"/>
    <numFmt numFmtId="173" formatCode="_(* #,##0.00_);_(* \(#,##0.00\);_(* &quot;-&quot;??_);_(@_)"/>
    <numFmt numFmtId="174" formatCode="_(* #,##0_);_(* \(#,##0\);_(* &quot;-&quot;??_);_(@_)"/>
    <numFmt numFmtId="175" formatCode="_(&quot;$&quot;\ * #,##0_);_(&quot;$&quot;\ * \(#,##0\);_(&quot;$&quot;\ * &quot;-&quot;_);_(@_)"/>
    <numFmt numFmtId="176" formatCode="###,###,##0.00000"/>
    <numFmt numFmtId="177" formatCode="_ &quot;$&quot;\ * #,##0.00_ ;_ &quot;$&quot;\ * \-#,##0.00_ ;_ &quot;$&quot;\ * &quot;-&quot;??_ ;_ @_ "/>
    <numFmt numFmtId="178" formatCode="_ &quot;$&quot;\ * #,##0_ ;_ &quot;$&quot;\ * \-#,##0_ ;_ &quot;$&quot;\ * &quot;-&quot;??_ ;_ @_ "/>
    <numFmt numFmtId="179" formatCode="#,##0.0"/>
    <numFmt numFmtId="180" formatCode="_-[$$-240A]\ * #,##0.00_ ;_-[$$-240A]\ * \-#,##0.00\ ;_-[$$-240A]\ * &quot;-&quot;??_ ;_-@_ "/>
    <numFmt numFmtId="181" formatCode="#,##0.000"/>
    <numFmt numFmtId="182" formatCode="0.0000000000"/>
    <numFmt numFmtId="183" formatCode="0.0"/>
    <numFmt numFmtId="184" formatCode="###,###,##0.000"/>
    <numFmt numFmtId="185" formatCode="_-&quot;$&quot;\ * #,##0_-;\-&quot;$&quot;\ * #,##0_-;_-&quot;$&quot;\ * &quot;-&quot;??_-;_-@_-"/>
    <numFmt numFmtId="186" formatCode="&quot;$&quot;\ #,##0"/>
    <numFmt numFmtId="187" formatCode="_ &quot;$&quot;\ * #,##0_ ;_ &quot;$&quot;\ * \-#,##0_ ;_ &quot;$&quot;\ * &quot;-&quot;_ ;_ @_ "/>
    <numFmt numFmtId="188" formatCode="0.0%"/>
    <numFmt numFmtId="189" formatCode="_-&quot;$&quot;\ * #,##0.00000_-;\-&quot;$&quot;\ * #,##0.00000_-;_-&quot;$&quot;\ * &quot;-&quot;?????_-;_-@_-"/>
  </numFmts>
  <fonts count="72" x14ac:knownFonts="1">
    <font>
      <sz val="11"/>
      <color theme="1"/>
      <name val="Trebuchet MS"/>
      <family val="2"/>
      <scheme val="minor"/>
    </font>
    <font>
      <sz val="11"/>
      <color theme="1"/>
      <name val="Trebuchet MS"/>
      <family val="2"/>
      <scheme val="minor"/>
    </font>
    <font>
      <sz val="10"/>
      <name val="Arial"/>
      <family val="2"/>
    </font>
    <font>
      <u/>
      <sz val="11"/>
      <color theme="10"/>
      <name val="Trebuchet MS"/>
      <family val="2"/>
      <scheme val="minor"/>
    </font>
    <font>
      <sz val="8"/>
      <name val="Trebuchet MS"/>
      <family val="2"/>
      <scheme val="minor"/>
    </font>
    <font>
      <sz val="11"/>
      <color theme="1"/>
      <name val="Trebuchet MS"/>
      <family val="2"/>
      <scheme val="major"/>
    </font>
    <font>
      <b/>
      <sz val="11"/>
      <color theme="1"/>
      <name val="Trebuchet MS"/>
      <family val="2"/>
      <scheme val="major"/>
    </font>
    <font>
      <sz val="11"/>
      <name val="Trebuchet MS"/>
      <family val="2"/>
      <scheme val="major"/>
    </font>
    <font>
      <b/>
      <sz val="11"/>
      <name val="Trebuchet MS"/>
      <family val="2"/>
      <scheme val="major"/>
    </font>
    <font>
      <sz val="10"/>
      <name val="Tahoma"/>
      <family val="2"/>
    </font>
    <font>
      <sz val="10"/>
      <color indexed="8"/>
      <name val="Arial"/>
      <family val="2"/>
    </font>
    <font>
      <sz val="11"/>
      <name val="Arial"/>
      <family val="2"/>
    </font>
    <font>
      <sz val="12"/>
      <color indexed="8"/>
      <name val="Trebuchet MS"/>
      <family val="2"/>
    </font>
    <font>
      <sz val="12"/>
      <name val="Trebuchet MS"/>
      <family val="2"/>
    </font>
    <font>
      <sz val="12"/>
      <color rgb="FF000000"/>
      <name val="Trebuchet MS"/>
      <family val="2"/>
    </font>
    <font>
      <b/>
      <sz val="11"/>
      <name val="Arial"/>
      <family val="2"/>
    </font>
    <font>
      <b/>
      <sz val="14"/>
      <name val="Arial"/>
      <family val="2"/>
    </font>
    <font>
      <b/>
      <sz val="10"/>
      <name val="Arial"/>
      <family val="2"/>
    </font>
    <font>
      <sz val="10"/>
      <name val="MS Sans Serif"/>
      <family val="2"/>
    </font>
    <font>
      <sz val="12"/>
      <color rgb="FFFFFF00"/>
      <name val="Trebuchet MS"/>
      <family val="2"/>
    </font>
    <font>
      <b/>
      <sz val="14"/>
      <color theme="1"/>
      <name val="Arial Narrow"/>
      <family val="2"/>
    </font>
    <font>
      <b/>
      <sz val="12"/>
      <color theme="1"/>
      <name val="Arial Narrow"/>
      <family val="2"/>
    </font>
    <font>
      <b/>
      <sz val="16"/>
      <color theme="1"/>
      <name val="Arial Narrow"/>
      <family val="2"/>
    </font>
    <font>
      <b/>
      <sz val="18"/>
      <color theme="1"/>
      <name val="Arial Narrow"/>
      <family val="2"/>
    </font>
    <font>
      <b/>
      <sz val="16"/>
      <name val="Arial Narrow"/>
      <family val="2"/>
    </font>
    <font>
      <sz val="16"/>
      <name val="Arial Narrow"/>
      <family val="2"/>
    </font>
    <font>
      <b/>
      <sz val="14"/>
      <name val="Arial Narrow"/>
      <family val="2"/>
    </font>
    <font>
      <sz val="14"/>
      <name val="Arial Narrow"/>
      <family val="2"/>
    </font>
    <font>
      <sz val="14"/>
      <color theme="0"/>
      <name val="Arial Narrow"/>
      <family val="2"/>
    </font>
    <font>
      <sz val="14"/>
      <color theme="1"/>
      <name val="Arial Narrow"/>
      <family val="2"/>
    </font>
    <font>
      <sz val="12"/>
      <color theme="1"/>
      <name val="Trebuchet MS"/>
      <family val="2"/>
    </font>
    <font>
      <sz val="12"/>
      <color theme="1"/>
      <name val="Trebuchet MS"/>
      <family val="2"/>
      <scheme val="minor"/>
    </font>
    <font>
      <b/>
      <sz val="12"/>
      <color theme="1"/>
      <name val="Trebuchet MS"/>
      <family val="2"/>
    </font>
    <font>
      <sz val="11"/>
      <color theme="1"/>
      <name val="Arial Narrow"/>
      <family val="2"/>
    </font>
    <font>
      <sz val="12"/>
      <color indexed="8"/>
      <name val="Verdana"/>
      <family val="2"/>
    </font>
    <font>
      <b/>
      <u/>
      <sz val="11"/>
      <name val="Arial"/>
      <family val="2"/>
    </font>
    <font>
      <sz val="11"/>
      <color indexed="8"/>
      <name val="Calibri"/>
      <family val="2"/>
    </font>
    <font>
      <u/>
      <sz val="11"/>
      <name val="Arial"/>
      <family val="2"/>
    </font>
    <font>
      <u/>
      <sz val="11"/>
      <color theme="1"/>
      <name val="Arial"/>
      <family val="2"/>
    </font>
    <font>
      <b/>
      <sz val="11"/>
      <color rgb="FF000000"/>
      <name val="Calibri"/>
      <family val="2"/>
    </font>
    <font>
      <sz val="7"/>
      <color indexed="8"/>
      <name val="Verdana"/>
      <family val="2"/>
    </font>
    <font>
      <b/>
      <sz val="9"/>
      <color theme="1"/>
      <name val="Verdana"/>
      <family val="2"/>
    </font>
    <font>
      <sz val="7"/>
      <color theme="1"/>
      <name val="Verdana"/>
      <family val="2"/>
    </font>
    <font>
      <sz val="8"/>
      <color theme="1"/>
      <name val="Verdana"/>
      <family val="2"/>
    </font>
    <font>
      <b/>
      <sz val="10"/>
      <color rgb="FFFF0000"/>
      <name val="Arial"/>
      <family val="2"/>
    </font>
    <font>
      <sz val="6"/>
      <color theme="1"/>
      <name val="Arial"/>
      <family val="2"/>
    </font>
    <font>
      <b/>
      <sz val="6"/>
      <color rgb="FFFFFFFF"/>
      <name val="Arial"/>
      <family val="2"/>
    </font>
    <font>
      <b/>
      <sz val="6"/>
      <color theme="1"/>
      <name val="Arial"/>
      <family val="2"/>
    </font>
    <font>
      <sz val="6"/>
      <color theme="1"/>
      <name val="Trebuchet MS"/>
      <family val="2"/>
      <scheme val="minor"/>
    </font>
    <font>
      <i/>
      <sz val="6"/>
      <color theme="1"/>
      <name val="Arial"/>
      <family val="2"/>
    </font>
    <font>
      <b/>
      <sz val="6"/>
      <color theme="1"/>
      <name val="Calibri"/>
      <family val="2"/>
    </font>
    <font>
      <sz val="6"/>
      <color theme="1"/>
      <name val="Times New Roman"/>
      <family val="1"/>
    </font>
    <font>
      <b/>
      <sz val="6"/>
      <color theme="1"/>
      <name val="Trebuchet MS"/>
      <family val="2"/>
      <scheme val="minor"/>
    </font>
    <font>
      <b/>
      <sz val="10"/>
      <color theme="1"/>
      <name val="Arial"/>
      <family val="2"/>
    </font>
    <font>
      <sz val="10"/>
      <color theme="1"/>
      <name val="Arial"/>
      <family val="2"/>
    </font>
    <font>
      <sz val="10"/>
      <color rgb="FF000000"/>
      <name val="Arial"/>
      <family val="2"/>
    </font>
    <font>
      <b/>
      <sz val="10"/>
      <color rgb="FF000000"/>
      <name val="Arial"/>
      <family val="2"/>
    </font>
    <font>
      <u/>
      <sz val="10"/>
      <color theme="10"/>
      <name val="Arial"/>
      <family val="2"/>
    </font>
    <font>
      <sz val="10"/>
      <color rgb="FFFF0000"/>
      <name val="Arial"/>
      <family val="2"/>
    </font>
    <font>
      <u/>
      <sz val="8"/>
      <color theme="10"/>
      <name val="Trebuchet MS"/>
      <family val="2"/>
      <scheme val="minor"/>
    </font>
    <font>
      <b/>
      <sz val="16"/>
      <color theme="1"/>
      <name val="Arial"/>
      <family val="2"/>
    </font>
    <font>
      <sz val="16"/>
      <color theme="1"/>
      <name val="Arial"/>
      <family val="2"/>
    </font>
    <font>
      <sz val="11"/>
      <name val="Arial Narrow"/>
      <family val="2"/>
    </font>
    <font>
      <b/>
      <sz val="11"/>
      <name val="Arial Narrow"/>
      <family val="2"/>
    </font>
    <font>
      <b/>
      <sz val="11"/>
      <color theme="1"/>
      <name val="Trebuchet MS"/>
      <family val="2"/>
    </font>
    <font>
      <sz val="8"/>
      <color theme="1"/>
      <name val="Arial"/>
      <family val="2"/>
    </font>
    <font>
      <sz val="10"/>
      <color rgb="FF000000"/>
      <name val="Arial"/>
    </font>
    <font>
      <b/>
      <sz val="8"/>
      <color theme="1"/>
      <name val="Verdana"/>
      <family val="2"/>
    </font>
    <font>
      <b/>
      <sz val="8"/>
      <color rgb="FF000080"/>
      <name val="Verdana"/>
      <family val="2"/>
    </font>
    <font>
      <sz val="8"/>
      <name val="Verdana"/>
      <family val="2"/>
    </font>
    <font>
      <sz val="9"/>
      <name val="Calibri"/>
      <family val="2"/>
    </font>
    <font>
      <b/>
      <sz val="11"/>
      <color theme="1"/>
      <name val="Arial"/>
      <family val="2"/>
    </font>
  </fonts>
  <fills count="23">
    <fill>
      <patternFill patternType="none"/>
    </fill>
    <fill>
      <patternFill patternType="gray125"/>
    </fill>
    <fill>
      <patternFill patternType="solid">
        <fgColor theme="4" tint="0.39997558519241921"/>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rgb="FFFFFFFF"/>
        <bgColor rgb="FF000000"/>
      </patternFill>
    </fill>
    <fill>
      <patternFill patternType="solid">
        <fgColor rgb="FF92D050"/>
        <bgColor indexed="64"/>
      </patternFill>
    </fill>
    <fill>
      <patternFill patternType="solid">
        <fgColor indexed="22"/>
        <bgColor indexed="64"/>
      </patternFill>
    </fill>
    <fill>
      <patternFill patternType="solid">
        <fgColor rgb="FF00AF50"/>
        <bgColor indexed="64"/>
      </patternFill>
    </fill>
    <fill>
      <patternFill patternType="solid">
        <fgColor rgb="FFD9D9D9"/>
        <bgColor indexed="64"/>
      </patternFill>
    </fill>
    <fill>
      <patternFill patternType="solid">
        <fgColor rgb="FF00B050"/>
        <bgColor indexed="64"/>
      </patternFill>
    </fill>
    <fill>
      <patternFill patternType="solid">
        <fgColor rgb="FFD4ECBA"/>
        <bgColor indexed="64"/>
      </patternFill>
    </fill>
    <fill>
      <patternFill patternType="solid">
        <fgColor rgb="FF00B050"/>
        <bgColor rgb="FF000000"/>
      </patternFill>
    </fill>
    <fill>
      <patternFill patternType="solid">
        <fgColor theme="0"/>
        <bgColor rgb="FFD9D9D9"/>
      </patternFill>
    </fill>
    <fill>
      <patternFill patternType="solid">
        <fgColor theme="0"/>
        <bgColor rgb="FF000000"/>
      </patternFill>
    </fill>
    <fill>
      <patternFill patternType="solid">
        <fgColor theme="0"/>
        <bgColor rgb="FFFFFFFF"/>
      </patternFill>
    </fill>
    <fill>
      <patternFill patternType="solid">
        <fgColor rgb="FFD4ECBA"/>
        <bgColor rgb="FF000000"/>
      </patternFill>
    </fill>
    <fill>
      <patternFill patternType="solid">
        <fgColor theme="4" tint="0.79998168889431442"/>
        <bgColor indexed="64"/>
      </patternFill>
    </fill>
    <fill>
      <patternFill patternType="solid">
        <fgColor rgb="FFCCFFCC"/>
        <bgColor rgb="FFCCFFCC"/>
      </patternFill>
    </fill>
    <fill>
      <patternFill patternType="solid">
        <fgColor theme="2"/>
        <bgColor indexed="64"/>
      </patternFill>
    </fill>
    <fill>
      <patternFill patternType="solid">
        <fgColor rgb="FFFFFF00"/>
        <bgColor rgb="FFFFFF00"/>
      </patternFill>
    </fill>
    <fill>
      <patternFill patternType="solid">
        <fgColor rgb="FF99CCFF"/>
        <bgColor rgb="FF99CCFF"/>
      </patternFill>
    </fill>
  </fills>
  <borders count="132">
    <border>
      <left/>
      <right/>
      <top/>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thin">
        <color indexed="64"/>
      </top>
      <bottom style="thin">
        <color indexed="64"/>
      </bottom>
      <diagonal/>
    </border>
    <border>
      <left style="thin">
        <color auto="1"/>
      </left>
      <right/>
      <top style="thin">
        <color auto="1"/>
      </top>
      <bottom style="thin">
        <color auto="1"/>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right style="medium">
        <color indexed="64"/>
      </right>
      <top style="medium">
        <color indexed="64"/>
      </top>
      <bottom style="medium">
        <color indexed="64"/>
      </bottom>
      <diagonal/>
    </border>
    <border>
      <left/>
      <right/>
      <top style="medium">
        <color indexed="64"/>
      </top>
      <bottom style="thin">
        <color indexed="64"/>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thin">
        <color indexed="64"/>
      </right>
      <top style="medium">
        <color indexed="64"/>
      </top>
      <bottom style="thin">
        <color indexed="64"/>
      </bottom>
      <diagonal/>
    </border>
    <border>
      <left style="medium">
        <color indexed="64"/>
      </left>
      <right/>
      <top/>
      <bottom style="thin">
        <color auto="1"/>
      </bottom>
      <diagonal/>
    </border>
    <border>
      <left/>
      <right/>
      <top/>
      <bottom style="thin">
        <color auto="1"/>
      </bottom>
      <diagonal/>
    </border>
    <border>
      <left/>
      <right style="thin">
        <color auto="1"/>
      </right>
      <top/>
      <bottom/>
      <diagonal/>
    </border>
    <border>
      <left style="thin">
        <color indexed="64"/>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auto="1"/>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right/>
      <top style="thin">
        <color indexed="64"/>
      </top>
      <bottom style="thin">
        <color indexed="64"/>
      </bottom>
      <diagonal/>
    </border>
    <border>
      <left/>
      <right style="thin">
        <color indexed="64"/>
      </right>
      <top style="medium">
        <color indexed="64"/>
      </top>
      <bottom/>
      <diagonal/>
    </border>
    <border>
      <left/>
      <right style="hair">
        <color indexed="64"/>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medium">
        <color indexed="64"/>
      </right>
      <top style="thin">
        <color auto="1"/>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medium">
        <color rgb="FF000000"/>
      </right>
      <top style="medium">
        <color rgb="FF000000"/>
      </top>
      <bottom/>
      <diagonal/>
    </border>
    <border>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style="medium">
        <color rgb="FF000000"/>
      </right>
      <top/>
      <bottom/>
      <diagonal/>
    </border>
    <border>
      <left style="medium">
        <color rgb="FF000000"/>
      </left>
      <right style="medium">
        <color rgb="FF000000"/>
      </right>
      <top style="medium">
        <color rgb="FF000000"/>
      </top>
      <bottom/>
      <diagonal/>
    </border>
    <border>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bottom/>
      <diagonal/>
    </border>
    <border>
      <left style="hair">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medium">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top/>
      <bottom style="thin">
        <color rgb="FF000000"/>
      </bottom>
      <diagonal/>
    </border>
    <border>
      <left/>
      <right style="thin">
        <color rgb="FF000000"/>
      </right>
      <top/>
      <bottom style="thin">
        <color rgb="FF000000"/>
      </bottom>
      <diagonal/>
    </border>
    <border>
      <left/>
      <right style="medium">
        <color rgb="FF000000"/>
      </right>
      <top/>
      <bottom style="thin">
        <color rgb="FF000000"/>
      </bottom>
      <diagonal/>
    </border>
    <border>
      <left/>
      <right/>
      <top/>
      <bottom style="thin">
        <color rgb="FF000000"/>
      </bottom>
      <diagonal/>
    </border>
    <border>
      <left style="medium">
        <color rgb="FF000000"/>
      </left>
      <right/>
      <top/>
      <bottom/>
      <diagonal/>
    </border>
    <border>
      <left/>
      <right style="thin">
        <color rgb="FF000000"/>
      </right>
      <top/>
      <bottom/>
      <diagonal/>
    </border>
    <border>
      <left style="thin">
        <color rgb="FF000000"/>
      </left>
      <right/>
      <top style="thin">
        <color rgb="FF000000"/>
      </top>
      <bottom/>
      <diagonal/>
    </border>
    <border>
      <left/>
      <right/>
      <top style="thin">
        <color rgb="FF000000"/>
      </top>
      <bottom/>
      <diagonal/>
    </border>
    <border>
      <left style="thin">
        <color rgb="FF000000"/>
      </left>
      <right/>
      <top/>
      <bottom/>
      <diagonal/>
    </border>
    <border>
      <left/>
      <right style="medium">
        <color rgb="FF000000"/>
      </right>
      <top style="thin">
        <color rgb="FF000000"/>
      </top>
      <bottom/>
      <diagonal/>
    </border>
    <border>
      <left/>
      <right/>
      <top style="thin">
        <color rgb="FF000000"/>
      </top>
      <bottom style="medium">
        <color rgb="FF000000"/>
      </bottom>
      <diagonal/>
    </border>
  </borders>
  <cellStyleXfs count="41">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41" fontId="1" fillId="0" borderId="0" applyFont="0" applyFill="0" applyBorder="0" applyAlignment="0" applyProtection="0"/>
    <xf numFmtId="9" fontId="2" fillId="0" borderId="0" applyFont="0" applyFill="0" applyBorder="0" applyAlignment="0" applyProtection="0"/>
    <xf numFmtId="0" fontId="3" fillId="0" borderId="0" applyNumberFormat="0" applyFill="0" applyBorder="0" applyAlignment="0" applyProtection="0"/>
    <xf numFmtId="0" fontId="2" fillId="0" borderId="0"/>
    <xf numFmtId="0" fontId="2" fillId="0" borderId="0"/>
    <xf numFmtId="0" fontId="1" fillId="0" borderId="0"/>
    <xf numFmtId="0" fontId="9" fillId="0" borderId="0"/>
    <xf numFmtId="0" fontId="2" fillId="0" borderId="0"/>
    <xf numFmtId="0" fontId="2" fillId="0" borderId="0" applyAlignment="0"/>
    <xf numFmtId="169" fontId="1" fillId="0" borderId="0" applyFont="0" applyFill="0" applyBorder="0" applyAlignment="0" applyProtection="0"/>
    <xf numFmtId="9" fontId="2" fillId="0" borderId="0" applyFont="0" applyFill="0" applyBorder="0" applyAlignment="0" applyProtection="0"/>
    <xf numFmtId="170" fontId="2" fillId="0" borderId="0" applyFont="0" applyFill="0" applyBorder="0" applyAlignment="0" applyProtection="0"/>
    <xf numFmtId="0" fontId="10" fillId="0" borderId="0"/>
    <xf numFmtId="0" fontId="2" fillId="0" borderId="0"/>
    <xf numFmtId="0" fontId="1" fillId="0" borderId="0"/>
    <xf numFmtId="171" fontId="2" fillId="0" borderId="0"/>
    <xf numFmtId="9" fontId="2" fillId="0" borderId="0" applyFont="0" applyFill="0" applyBorder="0" applyAlignment="0" applyProtection="0"/>
    <xf numFmtId="169" fontId="1" fillId="0" borderId="0" applyFont="0" applyFill="0" applyBorder="0" applyAlignment="0" applyProtection="0"/>
    <xf numFmtId="173" fontId="1" fillId="0" borderId="0" applyFont="0" applyFill="0" applyBorder="0" applyAlignment="0" applyProtection="0"/>
    <xf numFmtId="0" fontId="18" fillId="0" borderId="0"/>
    <xf numFmtId="0" fontId="2" fillId="0" borderId="0"/>
    <xf numFmtId="175" fontId="2" fillId="0" borderId="0" applyFont="0" applyFill="0" applyBorder="0" applyAlignment="0" applyProtection="0"/>
    <xf numFmtId="0" fontId="33" fillId="0" borderId="0"/>
    <xf numFmtId="0" fontId="34" fillId="0" borderId="0" applyNumberFormat="0" applyFill="0" applyBorder="0" applyProtection="0">
      <alignment vertical="top"/>
    </xf>
    <xf numFmtId="177" fontId="2" fillId="0" borderId="0" applyFont="0" applyFill="0" applyBorder="0" applyAlignment="0" applyProtection="0"/>
    <xf numFmtId="0" fontId="1" fillId="0" borderId="0"/>
    <xf numFmtId="0" fontId="2" fillId="0" borderId="0"/>
    <xf numFmtId="177" fontId="2" fillId="0" borderId="0" applyFont="0" applyFill="0" applyBorder="0" applyAlignment="0" applyProtection="0"/>
    <xf numFmtId="9" fontId="1" fillId="0" borderId="0" applyFont="0" applyFill="0" applyBorder="0" applyAlignment="0" applyProtection="0"/>
    <xf numFmtId="43" fontId="2" fillId="0" borderId="0" applyFont="0" applyFill="0" applyBorder="0" applyAlignment="0" applyProtection="0"/>
    <xf numFmtId="169" fontId="36" fillId="0" borderId="0" applyFont="0" applyFill="0" applyBorder="0" applyAlignment="0" applyProtection="0"/>
    <xf numFmtId="169" fontId="36" fillId="0" borderId="0" applyFont="0" applyFill="0" applyBorder="0" applyAlignment="0" applyProtection="0"/>
    <xf numFmtId="0" fontId="2" fillId="0" borderId="0"/>
    <xf numFmtId="0" fontId="2" fillId="0" borderId="0"/>
    <xf numFmtId="0" fontId="2" fillId="0" borderId="0"/>
    <xf numFmtId="0" fontId="66" fillId="0" borderId="0"/>
    <xf numFmtId="0" fontId="55" fillId="0" borderId="0"/>
  </cellStyleXfs>
  <cellXfs count="959">
    <xf numFmtId="0" fontId="0" fillId="0" borderId="0" xfId="0"/>
    <xf numFmtId="0" fontId="5" fillId="0" borderId="0" xfId="0" applyFont="1" applyAlignment="1">
      <alignment horizontal="center" vertical="center"/>
    </xf>
    <xf numFmtId="0" fontId="5" fillId="0" borderId="0" xfId="0" applyFont="1" applyAlignment="1">
      <alignment horizontal="left" vertical="top" wrapText="1"/>
    </xf>
    <xf numFmtId="44" fontId="5" fillId="0" borderId="0" xfId="2" applyFont="1" applyAlignment="1">
      <alignment horizontal="center" vertical="center"/>
    </xf>
    <xf numFmtId="44" fontId="6" fillId="3" borderId="36" xfId="2" applyFont="1" applyFill="1" applyBorder="1" applyAlignment="1">
      <alignment horizontal="center" vertical="center"/>
    </xf>
    <xf numFmtId="0" fontId="6" fillId="3" borderId="36" xfId="0" applyFont="1" applyFill="1" applyBorder="1" applyAlignment="1">
      <alignment horizontal="left" vertical="center"/>
    </xf>
    <xf numFmtId="167" fontId="6" fillId="3" borderId="36" xfId="1" applyNumberFormat="1" applyFont="1" applyFill="1" applyBorder="1" applyAlignment="1">
      <alignment horizontal="center" vertical="center"/>
    </xf>
    <xf numFmtId="44" fontId="6" fillId="3" borderId="44" xfId="2" applyFont="1" applyFill="1" applyBorder="1" applyAlignment="1">
      <alignment horizontal="center" vertical="center"/>
    </xf>
    <xf numFmtId="9" fontId="5" fillId="0" borderId="22" xfId="3" applyFont="1" applyBorder="1" applyAlignment="1">
      <alignment horizontal="left" vertical="center"/>
    </xf>
    <xf numFmtId="167" fontId="7" fillId="0" borderId="22" xfId="1" applyNumberFormat="1" applyFont="1" applyBorder="1" applyAlignment="1">
      <alignment horizontal="center" vertical="center"/>
    </xf>
    <xf numFmtId="44" fontId="5" fillId="0" borderId="23" xfId="2" applyFont="1" applyBorder="1" applyAlignment="1">
      <alignment horizontal="center" vertical="center"/>
    </xf>
    <xf numFmtId="9" fontId="5" fillId="0" borderId="21" xfId="3" applyFont="1" applyBorder="1" applyAlignment="1">
      <alignment horizontal="left" vertical="center"/>
    </xf>
    <xf numFmtId="167" fontId="7" fillId="0" borderId="21" xfId="1" applyNumberFormat="1" applyFont="1" applyBorder="1" applyAlignment="1">
      <alignment horizontal="center" vertical="center"/>
    </xf>
    <xf numFmtId="44" fontId="5" fillId="0" borderId="10" xfId="2" applyFont="1" applyBorder="1" applyAlignment="1">
      <alignment horizontal="center" vertical="center"/>
    </xf>
    <xf numFmtId="44" fontId="5" fillId="0" borderId="46" xfId="2" applyFont="1" applyBorder="1" applyAlignment="1">
      <alignment horizontal="center" vertical="center"/>
    </xf>
    <xf numFmtId="1" fontId="7" fillId="0" borderId="15" xfId="7" applyNumberFormat="1" applyFont="1" applyBorder="1" applyAlignment="1">
      <alignment horizontal="left" vertical="top" wrapText="1"/>
    </xf>
    <xf numFmtId="44" fontId="7" fillId="0" borderId="36" xfId="2" applyFont="1" applyBorder="1" applyAlignment="1">
      <alignment horizontal="center" vertical="center"/>
    </xf>
    <xf numFmtId="44" fontId="5" fillId="0" borderId="4" xfId="2" applyFont="1" applyBorder="1" applyAlignment="1">
      <alignment horizontal="center" vertical="center"/>
    </xf>
    <xf numFmtId="0" fontId="8" fillId="0" borderId="6" xfId="8" applyFont="1" applyBorder="1" applyAlignment="1">
      <alignment horizontal="left" vertical="center"/>
    </xf>
    <xf numFmtId="167" fontId="5" fillId="0" borderId="36" xfId="1" applyNumberFormat="1" applyFont="1" applyBorder="1" applyAlignment="1">
      <alignment horizontal="center" vertical="center"/>
    </xf>
    <xf numFmtId="44" fontId="5" fillId="0" borderId="36" xfId="2" applyFont="1" applyBorder="1" applyAlignment="1">
      <alignment horizontal="center" vertical="center"/>
    </xf>
    <xf numFmtId="0" fontId="7" fillId="0" borderId="41" xfId="8" applyFont="1" applyBorder="1" applyAlignment="1">
      <alignment horizontal="left" vertical="center"/>
    </xf>
    <xf numFmtId="167" fontId="5" fillId="0" borderId="47" xfId="1" applyNumberFormat="1" applyFont="1" applyBorder="1" applyAlignment="1">
      <alignment horizontal="center" vertical="center"/>
    </xf>
    <xf numFmtId="9" fontId="5" fillId="0" borderId="47" xfId="3" applyFont="1" applyBorder="1" applyAlignment="1">
      <alignment horizontal="center" vertical="center"/>
    </xf>
    <xf numFmtId="44" fontId="5" fillId="0" borderId="48" xfId="2" applyFont="1" applyBorder="1" applyAlignment="1">
      <alignment horizontal="center" vertical="center"/>
    </xf>
    <xf numFmtId="0" fontId="7" fillId="0" borderId="49" xfId="8" applyFont="1" applyBorder="1" applyAlignment="1">
      <alignment horizontal="left" vertical="center"/>
    </xf>
    <xf numFmtId="167" fontId="5" fillId="0" borderId="45" xfId="1" applyNumberFormat="1" applyFont="1" applyBorder="1" applyAlignment="1">
      <alignment horizontal="center" vertical="center"/>
    </xf>
    <xf numFmtId="9" fontId="5" fillId="0" borderId="21" xfId="3" applyFont="1" applyBorder="1" applyAlignment="1">
      <alignment horizontal="center" vertical="center"/>
    </xf>
    <xf numFmtId="9" fontId="5" fillId="0" borderId="45" xfId="3" applyFont="1" applyBorder="1" applyAlignment="1">
      <alignment horizontal="center" vertical="center"/>
    </xf>
    <xf numFmtId="167" fontId="5" fillId="0" borderId="2" xfId="1" applyNumberFormat="1" applyFont="1" applyBorder="1" applyAlignment="1">
      <alignment horizontal="center" vertical="center"/>
    </xf>
    <xf numFmtId="9" fontId="5" fillId="0" borderId="24" xfId="3" applyFont="1" applyBorder="1" applyAlignment="1">
      <alignment horizontal="left" vertical="center"/>
    </xf>
    <xf numFmtId="167" fontId="7" fillId="0" borderId="24" xfId="1" applyNumberFormat="1" applyFont="1" applyBorder="1" applyAlignment="1">
      <alignment horizontal="center" vertical="center"/>
    </xf>
    <xf numFmtId="44" fontId="5" fillId="0" borderId="13" xfId="2" applyFont="1" applyBorder="1" applyAlignment="1">
      <alignment horizontal="center" vertical="center"/>
    </xf>
    <xf numFmtId="44" fontId="7" fillId="0" borderId="24" xfId="2" applyFont="1" applyBorder="1" applyAlignment="1">
      <alignment horizontal="center" vertical="center"/>
    </xf>
    <xf numFmtId="44" fontId="7" fillId="0" borderId="40" xfId="2" applyFont="1" applyBorder="1" applyAlignment="1">
      <alignment horizontal="center" vertical="center"/>
    </xf>
    <xf numFmtId="44" fontId="7" fillId="0" borderId="8" xfId="2" applyFont="1" applyBorder="1" applyAlignment="1">
      <alignment horizontal="center" vertical="center"/>
    </xf>
    <xf numFmtId="1" fontId="7" fillId="0" borderId="35" xfId="7" applyNumberFormat="1" applyFont="1" applyBorder="1" applyAlignment="1">
      <alignment horizontal="left" vertical="top" wrapText="1"/>
    </xf>
    <xf numFmtId="44" fontId="7" fillId="0" borderId="12" xfId="2" applyFont="1" applyBorder="1" applyAlignment="1">
      <alignment horizontal="center" vertical="center"/>
    </xf>
    <xf numFmtId="1" fontId="7" fillId="0" borderId="51" xfId="7" applyNumberFormat="1" applyFont="1" applyBorder="1" applyAlignment="1">
      <alignment horizontal="left" vertical="top" wrapText="1"/>
    </xf>
    <xf numFmtId="44" fontId="5" fillId="0" borderId="0" xfId="2" applyFont="1" applyBorder="1" applyAlignment="1">
      <alignment horizontal="center" vertical="center"/>
    </xf>
    <xf numFmtId="44" fontId="5" fillId="0" borderId="19" xfId="2" applyFont="1" applyBorder="1" applyAlignment="1">
      <alignment horizontal="center" vertical="center"/>
    </xf>
    <xf numFmtId="44" fontId="7" fillId="0" borderId="54" xfId="2" applyFont="1" applyBorder="1" applyAlignment="1">
      <alignment horizontal="center" vertical="center"/>
    </xf>
    <xf numFmtId="1" fontId="7" fillId="0" borderId="34" xfId="7" applyNumberFormat="1" applyFont="1" applyBorder="1" applyAlignment="1">
      <alignment horizontal="left" vertical="top" wrapText="1"/>
    </xf>
    <xf numFmtId="0" fontId="6" fillId="3" borderId="50" xfId="0" applyFont="1" applyFill="1" applyBorder="1" applyAlignment="1">
      <alignment horizontal="left" vertical="center"/>
    </xf>
    <xf numFmtId="167" fontId="6" fillId="3" borderId="50" xfId="1" applyNumberFormat="1" applyFont="1" applyFill="1" applyBorder="1" applyAlignment="1">
      <alignment horizontal="center" vertical="center"/>
    </xf>
    <xf numFmtId="0" fontId="5" fillId="0" borderId="54" xfId="0" applyFont="1" applyBorder="1" applyAlignment="1">
      <alignment horizontal="left" vertical="center"/>
    </xf>
    <xf numFmtId="9" fontId="7" fillId="0" borderId="54" xfId="3" applyFont="1" applyBorder="1" applyAlignment="1">
      <alignment horizontal="center" vertical="center"/>
    </xf>
    <xf numFmtId="44" fontId="7" fillId="0" borderId="51" xfId="2" applyFont="1" applyBorder="1" applyAlignment="1">
      <alignment horizontal="center" vertical="center"/>
    </xf>
    <xf numFmtId="0" fontId="12" fillId="0" borderId="21" xfId="16" applyFont="1" applyBorder="1" applyAlignment="1">
      <alignment horizontal="center" vertical="center" wrapText="1"/>
    </xf>
    <xf numFmtId="0" fontId="13" fillId="5" borderId="21" xfId="16" applyFont="1" applyFill="1" applyBorder="1" applyAlignment="1">
      <alignment horizontal="center" vertical="center" wrapText="1"/>
    </xf>
    <xf numFmtId="0" fontId="14" fillId="6" borderId="21" xfId="17" applyFont="1" applyFill="1" applyBorder="1" applyAlignment="1">
      <alignment horizontal="center" vertical="center" wrapText="1"/>
    </xf>
    <xf numFmtId="0" fontId="6" fillId="3" borderId="38" xfId="0" applyFont="1" applyFill="1" applyBorder="1" applyAlignment="1">
      <alignment horizontal="left" vertical="top" wrapText="1"/>
    </xf>
    <xf numFmtId="44" fontId="6" fillId="3" borderId="56" xfId="2" applyFont="1" applyFill="1" applyBorder="1" applyAlignment="1">
      <alignment horizontal="center" vertical="center"/>
    </xf>
    <xf numFmtId="44" fontId="7" fillId="0" borderId="22" xfId="2" applyFont="1" applyBorder="1" applyAlignment="1">
      <alignment horizontal="center" vertical="center"/>
    </xf>
    <xf numFmtId="44" fontId="7" fillId="0" borderId="21" xfId="2" applyFont="1" applyBorder="1" applyAlignment="1">
      <alignment horizontal="center" vertical="center"/>
    </xf>
    <xf numFmtId="0" fontId="6" fillId="3" borderId="5" xfId="0" applyFont="1" applyFill="1" applyBorder="1" applyAlignment="1">
      <alignment horizontal="left" vertical="top" wrapText="1"/>
    </xf>
    <xf numFmtId="0" fontId="6" fillId="3" borderId="52" xfId="0" applyFont="1" applyFill="1" applyBorder="1" applyAlignment="1">
      <alignment horizontal="left" vertical="center"/>
    </xf>
    <xf numFmtId="167" fontId="6" fillId="3" borderId="52" xfId="1" applyNumberFormat="1" applyFont="1" applyFill="1" applyBorder="1" applyAlignment="1">
      <alignment horizontal="center" vertical="center"/>
    </xf>
    <xf numFmtId="44" fontId="6" fillId="3" borderId="43" xfId="2" applyFont="1" applyFill="1" applyBorder="1" applyAlignment="1">
      <alignment horizontal="center" vertical="center"/>
    </xf>
    <xf numFmtId="44" fontId="6" fillId="3" borderId="53" xfId="2" applyFont="1" applyFill="1" applyBorder="1" applyAlignment="1">
      <alignment horizontal="center" vertical="center"/>
    </xf>
    <xf numFmtId="9" fontId="5" fillId="0" borderId="36" xfId="3" applyFont="1" applyBorder="1" applyAlignment="1">
      <alignment horizontal="left" vertical="center"/>
    </xf>
    <xf numFmtId="167" fontId="7" fillId="0" borderId="36" xfId="1" applyNumberFormat="1" applyFont="1" applyBorder="1" applyAlignment="1">
      <alignment horizontal="center" vertical="center"/>
    </xf>
    <xf numFmtId="0" fontId="6" fillId="3" borderId="1" xfId="0" applyFont="1" applyFill="1" applyBorder="1" applyAlignment="1">
      <alignment horizontal="left" vertical="top" wrapText="1"/>
    </xf>
    <xf numFmtId="44" fontId="6" fillId="3" borderId="2" xfId="2" applyFont="1" applyFill="1" applyBorder="1" applyAlignment="1">
      <alignment horizontal="center" vertical="center"/>
    </xf>
    <xf numFmtId="44" fontId="6" fillId="3" borderId="4" xfId="2" applyFont="1" applyFill="1" applyBorder="1" applyAlignment="1">
      <alignment horizontal="center" vertical="center"/>
    </xf>
    <xf numFmtId="1" fontId="7" fillId="0" borderId="21" xfId="7" applyNumberFormat="1" applyFont="1" applyBorder="1" applyAlignment="1">
      <alignment horizontal="left" vertical="top" wrapText="1"/>
    </xf>
    <xf numFmtId="1" fontId="7" fillId="0" borderId="37" xfId="7" applyNumberFormat="1" applyFont="1" applyBorder="1" applyAlignment="1">
      <alignment horizontal="left" vertical="top" wrapText="1"/>
    </xf>
    <xf numFmtId="44" fontId="5" fillId="0" borderId="21" xfId="2" applyFont="1" applyBorder="1" applyAlignment="1">
      <alignment horizontal="center" vertical="center"/>
    </xf>
    <xf numFmtId="1" fontId="7" fillId="0" borderId="17" xfId="7" applyNumberFormat="1" applyFont="1" applyBorder="1" applyAlignment="1">
      <alignment horizontal="left" vertical="top" wrapText="1"/>
    </xf>
    <xf numFmtId="44" fontId="0" fillId="0" borderId="0" xfId="0" applyNumberFormat="1"/>
    <xf numFmtId="0" fontId="13" fillId="5" borderId="21" xfId="16" applyFont="1" applyFill="1" applyBorder="1" applyAlignment="1">
      <alignment horizontal="left" vertical="center" wrapText="1"/>
    </xf>
    <xf numFmtId="1" fontId="7" fillId="0" borderId="30" xfId="7" applyNumberFormat="1" applyFont="1" applyBorder="1" applyAlignment="1">
      <alignment horizontal="left" vertical="top" wrapText="1"/>
    </xf>
    <xf numFmtId="0" fontId="24" fillId="0" borderId="15" xfId="0" applyFont="1" applyBorder="1" applyAlignment="1">
      <alignment horizontal="center" vertical="center"/>
    </xf>
    <xf numFmtId="0" fontId="25" fillId="0" borderId="7" xfId="0" applyFont="1" applyBorder="1" applyAlignment="1">
      <alignment horizontal="center" vertical="center"/>
    </xf>
    <xf numFmtId="0" fontId="25" fillId="0" borderId="4" xfId="0" applyFont="1" applyBorder="1" applyAlignment="1">
      <alignment horizontal="center" vertical="center"/>
    </xf>
    <xf numFmtId="0" fontId="26" fillId="5" borderId="25" xfId="0" applyFont="1" applyFill="1" applyBorder="1" applyAlignment="1">
      <alignment vertical="center"/>
    </xf>
    <xf numFmtId="0" fontId="26" fillId="5" borderId="26" xfId="0" applyFont="1" applyFill="1" applyBorder="1" applyAlignment="1">
      <alignment vertical="center"/>
    </xf>
    <xf numFmtId="0" fontId="26" fillId="0" borderId="37" xfId="0" applyFont="1" applyBorder="1" applyAlignment="1">
      <alignment horizontal="center" vertical="center"/>
    </xf>
    <xf numFmtId="0" fontId="26" fillId="5" borderId="30" xfId="0" applyFont="1" applyFill="1" applyBorder="1" applyAlignment="1">
      <alignment vertical="center"/>
    </xf>
    <xf numFmtId="0" fontId="26" fillId="5" borderId="0" xfId="0" applyFont="1" applyFill="1" applyAlignment="1">
      <alignment vertical="center"/>
    </xf>
    <xf numFmtId="0" fontId="26" fillId="0" borderId="18" xfId="0" applyFont="1" applyBorder="1" applyAlignment="1">
      <alignment horizontal="center" vertical="center"/>
    </xf>
    <xf numFmtId="0" fontId="26" fillId="0" borderId="24" xfId="0" applyFont="1" applyBorder="1" applyAlignment="1">
      <alignment horizontal="center" vertical="center"/>
    </xf>
    <xf numFmtId="0" fontId="26" fillId="0" borderId="13" xfId="0" applyFont="1" applyBorder="1" applyAlignment="1">
      <alignment horizontal="center" vertical="center"/>
    </xf>
    <xf numFmtId="0" fontId="26" fillId="0" borderId="35" xfId="0" applyFont="1" applyBorder="1" applyAlignment="1">
      <alignment horizontal="center" vertical="center"/>
    </xf>
    <xf numFmtId="9" fontId="27" fillId="0" borderId="16" xfId="5" applyFont="1" applyFill="1" applyBorder="1" applyAlignment="1">
      <alignment horizontal="left" vertical="top"/>
    </xf>
    <xf numFmtId="43" fontId="27" fillId="0" borderId="22" xfId="1" applyFont="1" applyFill="1" applyBorder="1" applyAlignment="1">
      <alignment horizontal="center" vertical="center"/>
    </xf>
    <xf numFmtId="165" fontId="27" fillId="0" borderId="22" xfId="1" applyNumberFormat="1" applyFont="1" applyFill="1" applyBorder="1" applyAlignment="1">
      <alignment horizontal="center" vertical="center" wrapText="1"/>
    </xf>
    <xf numFmtId="2" fontId="27" fillId="0" borderId="23" xfId="0" applyNumberFormat="1" applyFont="1" applyBorder="1" applyAlignment="1">
      <alignment horizontal="center" vertical="center" wrapText="1"/>
    </xf>
    <xf numFmtId="9" fontId="27" fillId="0" borderId="17" xfId="5" applyFont="1" applyFill="1" applyBorder="1" applyAlignment="1">
      <alignment horizontal="left" vertical="top"/>
    </xf>
    <xf numFmtId="43" fontId="27" fillId="0" borderId="21" xfId="1" applyFont="1" applyBorder="1" applyAlignment="1">
      <alignment horizontal="center" vertical="center"/>
    </xf>
    <xf numFmtId="165" fontId="27" fillId="0" borderId="21" xfId="1" applyNumberFormat="1" applyFont="1" applyBorder="1" applyAlignment="1">
      <alignment horizontal="center" vertical="center" wrapText="1"/>
    </xf>
    <xf numFmtId="2" fontId="27" fillId="0" borderId="10" xfId="0" applyNumberFormat="1" applyFont="1" applyBorder="1" applyAlignment="1">
      <alignment horizontal="center" vertical="center" wrapText="1"/>
    </xf>
    <xf numFmtId="43" fontId="28" fillId="0" borderId="21" xfId="1" applyFont="1" applyBorder="1" applyAlignment="1">
      <alignment horizontal="center" vertical="center"/>
    </xf>
    <xf numFmtId="165" fontId="27" fillId="0" borderId="21" xfId="1" applyNumberFormat="1" applyFont="1" applyBorder="1" applyAlignment="1">
      <alignment horizontal="center" vertical="center"/>
    </xf>
    <xf numFmtId="49" fontId="27" fillId="0" borderId="17" xfId="5" applyNumberFormat="1" applyFont="1" applyFill="1" applyBorder="1" applyAlignment="1">
      <alignment horizontal="left" vertical="top"/>
    </xf>
    <xf numFmtId="49" fontId="27" fillId="0" borderId="17" xfId="5" applyNumberFormat="1" applyFont="1" applyBorder="1" applyAlignment="1">
      <alignment horizontal="left" vertical="top"/>
    </xf>
    <xf numFmtId="49" fontId="27" fillId="0" borderId="18" xfId="5" applyNumberFormat="1" applyFont="1" applyBorder="1" applyAlignment="1">
      <alignment horizontal="left" vertical="top"/>
    </xf>
    <xf numFmtId="43" fontId="27" fillId="0" borderId="24" xfId="1" applyFont="1" applyBorder="1" applyAlignment="1">
      <alignment horizontal="center" vertical="center"/>
    </xf>
    <xf numFmtId="43" fontId="28" fillId="0" borderId="24" xfId="1" applyFont="1" applyBorder="1" applyAlignment="1">
      <alignment horizontal="center" vertical="center"/>
    </xf>
    <xf numFmtId="165" fontId="27" fillId="0" borderId="24" xfId="1" applyNumberFormat="1" applyFont="1" applyBorder="1" applyAlignment="1">
      <alignment horizontal="center" vertical="center"/>
    </xf>
    <xf numFmtId="2" fontId="27" fillId="0" borderId="13" xfId="0" applyNumberFormat="1" applyFont="1" applyBorder="1" applyAlignment="1">
      <alignment horizontal="center" vertical="center" wrapText="1"/>
    </xf>
    <xf numFmtId="0" fontId="26" fillId="5" borderId="31" xfId="0" applyFont="1" applyFill="1" applyBorder="1" applyAlignment="1">
      <alignment vertical="center"/>
    </xf>
    <xf numFmtId="164" fontId="24" fillId="0" borderId="38" xfId="4" applyNumberFormat="1" applyFont="1" applyBorder="1" applyAlignment="1">
      <alignment horizontal="center" vertical="center"/>
    </xf>
    <xf numFmtId="164" fontId="25" fillId="0" borderId="1" xfId="4" applyNumberFormat="1" applyFont="1" applyBorder="1" applyAlignment="1">
      <alignment horizontal="center" vertical="center"/>
    </xf>
    <xf numFmtId="164" fontId="25" fillId="0" borderId="39" xfId="4" applyNumberFormat="1" applyFont="1" applyFill="1" applyBorder="1" applyAlignment="1">
      <alignment horizontal="center" vertical="center"/>
    </xf>
    <xf numFmtId="43" fontId="0" fillId="0" borderId="0" xfId="0" applyNumberFormat="1"/>
    <xf numFmtId="168" fontId="27" fillId="0" borderId="21" xfId="1" applyNumberFormat="1" applyFont="1" applyBorder="1" applyAlignment="1">
      <alignment horizontal="center" vertical="center" wrapText="1"/>
    </xf>
    <xf numFmtId="0" fontId="12" fillId="0" borderId="21" xfId="16" applyFont="1" applyBorder="1" applyAlignment="1">
      <alignment horizontal="left" vertical="center" wrapText="1"/>
    </xf>
    <xf numFmtId="0" fontId="19" fillId="4" borderId="21" xfId="16" applyFont="1" applyFill="1" applyBorder="1" applyAlignment="1">
      <alignment horizontal="left" vertical="center" wrapText="1"/>
    </xf>
    <xf numFmtId="0" fontId="26" fillId="0" borderId="61" xfId="0" applyFont="1" applyBorder="1" applyAlignment="1">
      <alignment horizontal="center" vertical="center"/>
    </xf>
    <xf numFmtId="0" fontId="26" fillId="0" borderId="45" xfId="0" applyFont="1" applyBorder="1" applyAlignment="1">
      <alignment horizontal="center" vertical="center"/>
    </xf>
    <xf numFmtId="0" fontId="26" fillId="0" borderId="46" xfId="0" applyFont="1" applyBorder="1" applyAlignment="1">
      <alignment horizontal="center" vertical="center"/>
    </xf>
    <xf numFmtId="0" fontId="26" fillId="0" borderId="62" xfId="0" applyFont="1" applyBorder="1" applyAlignment="1">
      <alignment horizontal="center" vertical="center"/>
    </xf>
    <xf numFmtId="164" fontId="24" fillId="0" borderId="5" xfId="4" applyNumberFormat="1" applyFont="1" applyBorder="1" applyAlignment="1">
      <alignment horizontal="center" vertical="center"/>
    </xf>
    <xf numFmtId="0" fontId="13" fillId="4" borderId="21" xfId="16" applyFont="1" applyFill="1" applyBorder="1" applyAlignment="1">
      <alignment horizontal="left" vertical="center" wrapText="1"/>
    </xf>
    <xf numFmtId="0" fontId="13" fillId="4" borderId="21" xfId="16" applyFont="1" applyFill="1" applyBorder="1" applyAlignment="1">
      <alignment horizontal="center" vertical="center" wrapText="1"/>
    </xf>
    <xf numFmtId="44" fontId="7" fillId="0" borderId="16" xfId="2" applyFont="1" applyBorder="1" applyAlignment="1">
      <alignment horizontal="center" vertical="center"/>
    </xf>
    <xf numFmtId="44" fontId="7" fillId="0" borderId="17" xfId="2" applyFont="1" applyBorder="1" applyAlignment="1">
      <alignment horizontal="center" vertical="center"/>
    </xf>
    <xf numFmtId="44" fontId="7" fillId="0" borderId="18" xfId="2" applyFont="1" applyBorder="1" applyAlignment="1">
      <alignment horizontal="center" vertical="center"/>
    </xf>
    <xf numFmtId="1" fontId="7" fillId="0" borderId="14" xfId="7" applyNumberFormat="1" applyFont="1" applyBorder="1" applyAlignment="1">
      <alignment horizontal="left" vertical="top" wrapText="1"/>
    </xf>
    <xf numFmtId="1" fontId="7" fillId="0" borderId="18" xfId="7" applyNumberFormat="1" applyFont="1" applyBorder="1" applyAlignment="1">
      <alignment horizontal="left" vertical="top" wrapText="1"/>
    </xf>
    <xf numFmtId="0" fontId="8" fillId="0" borderId="0" xfId="8" applyFont="1" applyAlignment="1">
      <alignment horizontal="left" vertical="center"/>
    </xf>
    <xf numFmtId="167" fontId="5" fillId="0" borderId="0" xfId="1" applyNumberFormat="1" applyFont="1" applyBorder="1" applyAlignment="1">
      <alignment horizontal="center" vertical="center"/>
    </xf>
    <xf numFmtId="1" fontId="7" fillId="0" borderId="16" xfId="7" applyNumberFormat="1" applyFont="1" applyBorder="1" applyAlignment="1">
      <alignment horizontal="left" vertical="top" wrapText="1"/>
    </xf>
    <xf numFmtId="176" fontId="2" fillId="0" borderId="21" xfId="0" applyNumberFormat="1" applyFont="1" applyBorder="1" applyAlignment="1">
      <alignment horizontal="center" vertical="center"/>
    </xf>
    <xf numFmtId="0" fontId="30" fillId="0" borderId="0" xfId="0" applyFont="1" applyAlignment="1">
      <alignment vertical="center" wrapText="1"/>
    </xf>
    <xf numFmtId="0" fontId="30" fillId="0" borderId="0" xfId="0" applyFont="1" applyAlignment="1">
      <alignment horizontal="left" vertical="center" wrapText="1"/>
    </xf>
    <xf numFmtId="43" fontId="30" fillId="0" borderId="0" xfId="1" applyFont="1" applyAlignment="1">
      <alignment vertical="center" wrapText="1"/>
    </xf>
    <xf numFmtId="44" fontId="31" fillId="0" borderId="0" xfId="2" applyFont="1" applyBorder="1" applyAlignment="1">
      <alignment vertical="center"/>
    </xf>
    <xf numFmtId="0" fontId="31" fillId="0" borderId="0" xfId="0" applyFont="1" applyAlignment="1">
      <alignment vertical="center"/>
    </xf>
    <xf numFmtId="43" fontId="30" fillId="0" borderId="0" xfId="1" applyFont="1" applyBorder="1" applyAlignment="1">
      <alignment vertical="center" wrapText="1"/>
    </xf>
    <xf numFmtId="0" fontId="30" fillId="0" borderId="21" xfId="0" applyFont="1" applyBorder="1" applyAlignment="1">
      <alignment horizontal="left" vertical="center" wrapText="1"/>
    </xf>
    <xf numFmtId="0" fontId="12" fillId="5" borderId="21" xfId="16" applyFont="1" applyFill="1" applyBorder="1" applyAlignment="1">
      <alignment horizontal="center" vertical="center" wrapText="1"/>
    </xf>
    <xf numFmtId="0" fontId="12" fillId="4" borderId="21" xfId="16" applyFont="1" applyFill="1" applyBorder="1" applyAlignment="1">
      <alignment horizontal="center" vertical="center" wrapText="1"/>
    </xf>
    <xf numFmtId="0" fontId="32" fillId="3" borderId="21" xfId="0" applyFont="1" applyFill="1" applyBorder="1" applyAlignment="1">
      <alignment horizontal="left" vertical="center" wrapText="1"/>
    </xf>
    <xf numFmtId="3" fontId="45" fillId="0" borderId="74" xfId="0" applyNumberFormat="1" applyFont="1" applyBorder="1" applyAlignment="1">
      <alignment horizontal="right" vertical="center" wrapText="1"/>
    </xf>
    <xf numFmtId="3" fontId="45" fillId="10" borderId="74" xfId="0" applyNumberFormat="1" applyFont="1" applyFill="1" applyBorder="1" applyAlignment="1">
      <alignment horizontal="right" vertical="center" wrapText="1"/>
    </xf>
    <xf numFmtId="3" fontId="45" fillId="0" borderId="74" xfId="0" applyNumberFormat="1" applyFont="1" applyBorder="1" applyAlignment="1">
      <alignment horizontal="center" vertical="center" wrapText="1"/>
    </xf>
    <xf numFmtId="0" fontId="46" fillId="9" borderId="74" xfId="0" applyFont="1" applyFill="1" applyBorder="1" applyAlignment="1">
      <alignment horizontal="left" vertical="center" wrapText="1"/>
    </xf>
    <xf numFmtId="0" fontId="45" fillId="0" borderId="74" xfId="0" applyFont="1" applyBorder="1" applyAlignment="1">
      <alignment horizontal="right" vertical="center" wrapText="1"/>
    </xf>
    <xf numFmtId="0" fontId="48" fillId="0" borderId="0" xfId="0" applyFont="1"/>
    <xf numFmtId="44" fontId="48" fillId="0" borderId="0" xfId="2" applyFont="1"/>
    <xf numFmtId="0" fontId="49" fillId="9" borderId="76" xfId="0" applyFont="1" applyFill="1" applyBorder="1" applyAlignment="1">
      <alignment horizontal="left" vertical="center" wrapText="1"/>
    </xf>
    <xf numFmtId="0" fontId="49" fillId="9" borderId="71" xfId="0" applyFont="1" applyFill="1" applyBorder="1" applyAlignment="1">
      <alignment horizontal="left" vertical="center" wrapText="1"/>
    </xf>
    <xf numFmtId="0" fontId="50" fillId="10" borderId="73" xfId="0" applyFont="1" applyFill="1" applyBorder="1" applyAlignment="1">
      <alignment horizontal="left" vertical="center" wrapText="1"/>
    </xf>
    <xf numFmtId="0" fontId="50" fillId="0" borderId="73" xfId="0" applyFont="1" applyBorder="1" applyAlignment="1">
      <alignment horizontal="left" vertical="center" wrapText="1"/>
    </xf>
    <xf numFmtId="0" fontId="47" fillId="0" borderId="74" xfId="0" applyFont="1" applyBorder="1" applyAlignment="1">
      <alignment horizontal="center" vertical="center" wrapText="1"/>
    </xf>
    <xf numFmtId="0" fontId="49" fillId="0" borderId="0" xfId="0" applyFont="1" applyAlignment="1">
      <alignment vertical="center"/>
    </xf>
    <xf numFmtId="3" fontId="48" fillId="0" borderId="0" xfId="0" applyNumberFormat="1" applyFont="1"/>
    <xf numFmtId="0" fontId="51" fillId="0" borderId="78" xfId="0" applyFont="1" applyBorder="1" applyAlignment="1">
      <alignment vertical="center" wrapText="1"/>
    </xf>
    <xf numFmtId="0" fontId="51" fillId="0" borderId="79" xfId="0" applyFont="1" applyBorder="1" applyAlignment="1">
      <alignment vertical="center" wrapText="1"/>
    </xf>
    <xf numFmtId="0" fontId="51" fillId="0" borderId="77" xfId="0" applyFont="1" applyBorder="1" applyAlignment="1">
      <alignment vertical="center" wrapText="1"/>
    </xf>
    <xf numFmtId="0" fontId="46" fillId="9" borderId="72" xfId="0" applyFont="1" applyFill="1" applyBorder="1" applyAlignment="1">
      <alignment horizontal="left" vertical="center" wrapText="1"/>
    </xf>
    <xf numFmtId="3" fontId="45" fillId="10" borderId="75" xfId="0" applyNumberFormat="1" applyFont="1" applyFill="1" applyBorder="1" applyAlignment="1">
      <alignment horizontal="right" vertical="center" wrapText="1"/>
    </xf>
    <xf numFmtId="3" fontId="52" fillId="7" borderId="21" xfId="0" applyNumberFormat="1" applyFont="1" applyFill="1" applyBorder="1"/>
    <xf numFmtId="182" fontId="0" fillId="0" borderId="0" xfId="0" applyNumberFormat="1"/>
    <xf numFmtId="0" fontId="21" fillId="11" borderId="26" xfId="0" applyFont="1" applyFill="1" applyBorder="1" applyAlignment="1">
      <alignment vertical="center"/>
    </xf>
    <xf numFmtId="0" fontId="48" fillId="5" borderId="0" xfId="0" applyFont="1" applyFill="1"/>
    <xf numFmtId="44" fontId="48" fillId="5" borderId="0" xfId="2" applyFont="1" applyFill="1"/>
    <xf numFmtId="0" fontId="0" fillId="5" borderId="0" xfId="0" applyFill="1"/>
    <xf numFmtId="0" fontId="53" fillId="12" borderId="21" xfId="30" applyFont="1" applyFill="1" applyBorder="1" applyAlignment="1">
      <alignment horizontal="justify" vertical="center"/>
    </xf>
    <xf numFmtId="0" fontId="42" fillId="5" borderId="0" xfId="0" applyFont="1" applyFill="1"/>
    <xf numFmtId="0" fontId="54" fillId="0" borderId="0" xfId="0" applyFont="1"/>
    <xf numFmtId="0" fontId="54" fillId="5" borderId="0" xfId="0" applyFont="1" applyFill="1"/>
    <xf numFmtId="0" fontId="2" fillId="5" borderId="0" xfId="0" applyFont="1" applyFill="1"/>
    <xf numFmtId="0" fontId="2" fillId="15" borderId="21" xfId="0" applyFont="1" applyFill="1" applyBorder="1" applyAlignment="1">
      <alignment vertical="center" wrapText="1"/>
    </xf>
    <xf numFmtId="0" fontId="2" fillId="5" borderId="21" xfId="0" applyFont="1" applyFill="1" applyBorder="1"/>
    <xf numFmtId="0" fontId="53" fillId="11" borderId="21" xfId="0" applyFont="1" applyFill="1" applyBorder="1" applyAlignment="1">
      <alignment horizontal="center" vertical="center"/>
    </xf>
    <xf numFmtId="0" fontId="53" fillId="13" borderId="21" xfId="0" applyFont="1" applyFill="1" applyBorder="1" applyAlignment="1">
      <alignment horizontal="center" vertical="center"/>
    </xf>
    <xf numFmtId="0" fontId="2" fillId="5" borderId="21" xfId="0" applyFont="1" applyFill="1" applyBorder="1" applyAlignment="1">
      <alignment horizontal="left" vertical="center" wrapText="1"/>
    </xf>
    <xf numFmtId="0" fontId="2" fillId="16" borderId="21" xfId="0" applyFont="1" applyFill="1" applyBorder="1" applyAlignment="1">
      <alignment vertical="center" wrapText="1"/>
    </xf>
    <xf numFmtId="0" fontId="2" fillId="14" borderId="21" xfId="0" applyFont="1" applyFill="1" applyBorder="1"/>
    <xf numFmtId="0" fontId="55" fillId="5" borderId="21" xfId="0" applyFont="1" applyFill="1" applyBorder="1"/>
    <xf numFmtId="0" fontId="55" fillId="14" borderId="21" xfId="0" applyFont="1" applyFill="1" applyBorder="1"/>
    <xf numFmtId="0" fontId="55" fillId="5" borderId="21" xfId="0" applyFont="1" applyFill="1" applyBorder="1" applyAlignment="1">
      <alignment horizontal="left" vertical="top"/>
    </xf>
    <xf numFmtId="44" fontId="2" fillId="14" borderId="21" xfId="2" applyFont="1" applyFill="1" applyBorder="1"/>
    <xf numFmtId="44" fontId="55" fillId="14" borderId="21" xfId="2" applyFont="1" applyFill="1" applyBorder="1"/>
    <xf numFmtId="44" fontId="55" fillId="5" borderId="21" xfId="2" applyFont="1" applyFill="1" applyBorder="1"/>
    <xf numFmtId="44" fontId="54" fillId="0" borderId="21" xfId="2" applyFont="1" applyBorder="1"/>
    <xf numFmtId="44" fontId="54" fillId="0" borderId="0" xfId="2" applyFont="1"/>
    <xf numFmtId="10" fontId="54" fillId="0" borderId="21" xfId="2" applyNumberFormat="1" applyFont="1" applyBorder="1"/>
    <xf numFmtId="0" fontId="54" fillId="5" borderId="21" xfId="0" applyFont="1" applyFill="1" applyBorder="1"/>
    <xf numFmtId="44" fontId="54" fillId="5" borderId="21" xfId="2" applyFont="1" applyFill="1" applyBorder="1"/>
    <xf numFmtId="44" fontId="55" fillId="5" borderId="21" xfId="2" applyFont="1" applyFill="1" applyBorder="1" applyAlignment="1">
      <alignment vertical="top"/>
    </xf>
    <xf numFmtId="49" fontId="2" fillId="0" borderId="58" xfId="19" applyNumberFormat="1" applyBorder="1" applyAlignment="1">
      <alignment horizontal="left" wrapText="1"/>
    </xf>
    <xf numFmtId="0" fontId="54" fillId="5" borderId="0" xfId="0" applyFont="1" applyFill="1" applyAlignment="1">
      <alignment vertical="center"/>
    </xf>
    <xf numFmtId="0" fontId="10" fillId="5" borderId="0" xfId="0" applyFont="1" applyFill="1"/>
    <xf numFmtId="0" fontId="10" fillId="5" borderId="0" xfId="0" applyFont="1" applyFill="1" applyAlignment="1">
      <alignment vertical="center"/>
    </xf>
    <xf numFmtId="0" fontId="10" fillId="5" borderId="0" xfId="0" applyFont="1" applyFill="1" applyAlignment="1">
      <alignment vertical="center" wrapText="1"/>
    </xf>
    <xf numFmtId="0" fontId="54" fillId="5" borderId="0" xfId="0" applyFont="1" applyFill="1" applyAlignment="1">
      <alignment horizontal="left"/>
    </xf>
    <xf numFmtId="0" fontId="53" fillId="12" borderId="21" xfId="30" applyFont="1" applyFill="1" applyBorder="1" applyAlignment="1">
      <alignment horizontal="center" vertical="center"/>
    </xf>
    <xf numFmtId="10" fontId="53" fillId="12" borderId="21" xfId="20" applyNumberFormat="1" applyFont="1" applyFill="1" applyBorder="1" applyAlignment="1">
      <alignment horizontal="center" vertical="center"/>
    </xf>
    <xf numFmtId="0" fontId="17" fillId="11" borderId="21" xfId="30" applyFont="1" applyFill="1" applyBorder="1" applyAlignment="1">
      <alignment horizontal="center" vertical="center"/>
    </xf>
    <xf numFmtId="0" fontId="17" fillId="11" borderId="21" xfId="30" applyFont="1" applyFill="1" applyBorder="1" applyAlignment="1">
      <alignment horizontal="justify" vertical="center"/>
    </xf>
    <xf numFmtId="10" fontId="17" fillId="11" borderId="21" xfId="3" applyNumberFormat="1" applyFont="1" applyFill="1" applyBorder="1" applyAlignment="1">
      <alignment horizontal="center" vertical="center"/>
    </xf>
    <xf numFmtId="0" fontId="53" fillId="0" borderId="21" xfId="30" applyFont="1" applyBorder="1" applyAlignment="1">
      <alignment horizontal="center" vertical="center"/>
    </xf>
    <xf numFmtId="0" fontId="53" fillId="0" borderId="21" xfId="30" applyFont="1" applyBorder="1" applyAlignment="1">
      <alignment horizontal="justify" vertical="center"/>
    </xf>
    <xf numFmtId="10" fontId="54" fillId="0" borderId="21" xfId="20" applyNumberFormat="1" applyFont="1" applyFill="1" applyBorder="1" applyAlignment="1">
      <alignment horizontal="center"/>
    </xf>
    <xf numFmtId="0" fontId="54" fillId="0" borderId="21" xfId="30" applyFont="1" applyBorder="1" applyAlignment="1">
      <alignment horizontal="justify" vertical="center"/>
    </xf>
    <xf numFmtId="10" fontId="54" fillId="0" borderId="21" xfId="20" applyNumberFormat="1" applyFont="1" applyFill="1" applyBorder="1" applyAlignment="1">
      <alignment horizontal="center" vertical="center"/>
    </xf>
    <xf numFmtId="10" fontId="54" fillId="0" borderId="21" xfId="3" applyNumberFormat="1" applyFont="1" applyFill="1" applyBorder="1" applyAlignment="1">
      <alignment horizontal="center" vertical="center"/>
    </xf>
    <xf numFmtId="0" fontId="53" fillId="13" borderId="21" xfId="0" applyFont="1" applyFill="1" applyBorder="1" applyAlignment="1">
      <alignment horizontal="center" vertical="center" wrapText="1"/>
    </xf>
    <xf numFmtId="0" fontId="54" fillId="0" borderId="0" xfId="0" applyFont="1" applyAlignment="1">
      <alignment wrapText="1"/>
    </xf>
    <xf numFmtId="0" fontId="54" fillId="5" borderId="0" xfId="0" applyFont="1" applyFill="1" applyAlignment="1">
      <alignment wrapText="1"/>
    </xf>
    <xf numFmtId="0" fontId="56" fillId="5" borderId="25" xfId="0" applyFont="1" applyFill="1" applyBorder="1" applyAlignment="1">
      <alignment wrapText="1"/>
    </xf>
    <xf numFmtId="0" fontId="56" fillId="5" borderId="26" xfId="0" applyFont="1" applyFill="1" applyBorder="1" applyAlignment="1">
      <alignment wrapText="1"/>
    </xf>
    <xf numFmtId="0" fontId="56" fillId="5" borderId="30" xfId="0" applyFont="1" applyFill="1" applyBorder="1" applyAlignment="1">
      <alignment wrapText="1"/>
    </xf>
    <xf numFmtId="0" fontId="56" fillId="5" borderId="0" xfId="0" applyFont="1" applyFill="1" applyAlignment="1">
      <alignment wrapText="1"/>
    </xf>
    <xf numFmtId="0" fontId="10" fillId="5" borderId="0" xfId="0" applyFont="1" applyFill="1" applyAlignment="1">
      <alignment horizontal="right" vertical="center"/>
    </xf>
    <xf numFmtId="0" fontId="56" fillId="13" borderId="15" xfId="0" applyFont="1" applyFill="1" applyBorder="1" applyAlignment="1">
      <alignment horizontal="center" vertical="center" wrapText="1"/>
    </xf>
    <xf numFmtId="0" fontId="56" fillId="13" borderId="36" xfId="0" applyFont="1" applyFill="1" applyBorder="1" applyAlignment="1">
      <alignment horizontal="center" vertical="center" wrapText="1"/>
    </xf>
    <xf numFmtId="0" fontId="56" fillId="12" borderId="17" xfId="0" applyFont="1" applyFill="1" applyBorder="1" applyAlignment="1">
      <alignment horizontal="center" vertical="center" wrapText="1"/>
    </xf>
    <xf numFmtId="0" fontId="56" fillId="12" borderId="21" xfId="0" applyFont="1" applyFill="1" applyBorder="1" applyAlignment="1">
      <alignment horizontal="justify" wrapText="1"/>
    </xf>
    <xf numFmtId="0" fontId="2" fillId="12" borderId="21" xfId="0" applyFont="1" applyFill="1" applyBorder="1" applyAlignment="1">
      <alignment horizontal="center" vertical="center" wrapText="1"/>
    </xf>
    <xf numFmtId="0" fontId="2" fillId="5" borderId="17" xfId="0" applyFont="1" applyFill="1" applyBorder="1" applyAlignment="1">
      <alignment horizontal="center" vertical="center" wrapText="1"/>
    </xf>
    <xf numFmtId="0" fontId="2" fillId="5" borderId="21" xfId="0" applyFont="1" applyFill="1" applyBorder="1" applyAlignment="1">
      <alignment horizontal="justify" wrapText="1"/>
    </xf>
    <xf numFmtId="0" fontId="2" fillId="5" borderId="21" xfId="0" applyFont="1" applyFill="1" applyBorder="1" applyAlignment="1">
      <alignment horizontal="center" vertical="center" wrapText="1"/>
    </xf>
    <xf numFmtId="0" fontId="2" fillId="5" borderId="0" xfId="0" applyFont="1" applyFill="1" applyAlignment="1">
      <alignment wrapText="1"/>
    </xf>
    <xf numFmtId="0" fontId="17" fillId="12" borderId="17" xfId="0" applyFont="1" applyFill="1" applyBorder="1" applyAlignment="1">
      <alignment horizontal="center" vertical="center" wrapText="1"/>
    </xf>
    <xf numFmtId="0" fontId="17" fillId="12" borderId="21" xfId="0" applyFont="1" applyFill="1" applyBorder="1" applyAlignment="1">
      <alignment horizontal="justify" wrapText="1"/>
    </xf>
    <xf numFmtId="44" fontId="56" fillId="13" borderId="36" xfId="2" applyFont="1" applyFill="1" applyBorder="1" applyAlignment="1">
      <alignment horizontal="center" vertical="center" wrapText="1"/>
    </xf>
    <xf numFmtId="44" fontId="56" fillId="13" borderId="4" xfId="2" applyFont="1" applyFill="1" applyBorder="1" applyAlignment="1">
      <alignment horizontal="center" vertical="center" wrapText="1"/>
    </xf>
    <xf numFmtId="44" fontId="2" fillId="12" borderId="21" xfId="2" applyFont="1" applyFill="1" applyBorder="1" applyAlignment="1">
      <alignment horizontal="center" vertical="center" wrapText="1"/>
    </xf>
    <xf numFmtId="44" fontId="2" fillId="17" borderId="10" xfId="2" applyFont="1" applyFill="1" applyBorder="1" applyAlignment="1">
      <alignment horizontal="center" vertical="center" wrapText="1"/>
    </xf>
    <xf numFmtId="44" fontId="2" fillId="5" borderId="21" xfId="2" applyFont="1" applyFill="1" applyBorder="1" applyAlignment="1">
      <alignment horizontal="center" vertical="center" wrapText="1"/>
    </xf>
    <xf numFmtId="44" fontId="2" fillId="15" borderId="10" xfId="2" applyFont="1" applyFill="1" applyBorder="1" applyAlignment="1">
      <alignment horizontal="center" vertical="center" wrapText="1"/>
    </xf>
    <xf numFmtId="44" fontId="56" fillId="5" borderId="26" xfId="2" applyFont="1" applyFill="1" applyBorder="1" applyAlignment="1">
      <alignment wrapText="1"/>
    </xf>
    <xf numFmtId="44" fontId="56" fillId="5" borderId="0" xfId="2" applyFont="1" applyFill="1" applyBorder="1" applyAlignment="1">
      <alignment wrapText="1"/>
    </xf>
    <xf numFmtId="44" fontId="54" fillId="5" borderId="0" xfId="2" applyFont="1" applyFill="1" applyAlignment="1">
      <alignment wrapText="1"/>
    </xf>
    <xf numFmtId="44" fontId="54" fillId="0" borderId="0" xfId="2" applyFont="1" applyAlignment="1">
      <alignment wrapText="1"/>
    </xf>
    <xf numFmtId="0" fontId="10" fillId="5" borderId="0" xfId="0" applyFont="1" applyFill="1" applyAlignment="1">
      <alignment horizontal="left" vertical="center" wrapText="1"/>
    </xf>
    <xf numFmtId="44" fontId="56" fillId="13" borderId="4" xfId="2" applyFont="1" applyFill="1" applyBorder="1" applyAlignment="1">
      <alignment wrapText="1"/>
    </xf>
    <xf numFmtId="0" fontId="30" fillId="5" borderId="0" xfId="0" applyFont="1" applyFill="1" applyAlignment="1">
      <alignment vertical="center" wrapText="1"/>
    </xf>
    <xf numFmtId="43" fontId="30" fillId="5" borderId="0" xfId="1" applyFont="1" applyFill="1" applyAlignment="1">
      <alignment vertical="center" wrapText="1"/>
    </xf>
    <xf numFmtId="49" fontId="2" fillId="11" borderId="0" xfId="19" applyNumberFormat="1" applyFill="1" applyAlignment="1">
      <alignment horizontal="center" vertical="center"/>
    </xf>
    <xf numFmtId="49" fontId="2" fillId="11" borderId="0" xfId="19" applyNumberFormat="1" applyFill="1"/>
    <xf numFmtId="49" fontId="2" fillId="11" borderId="0" xfId="19" applyNumberFormat="1" applyFill="1" applyAlignment="1">
      <alignment horizontal="center"/>
    </xf>
    <xf numFmtId="1" fontId="2" fillId="11" borderId="0" xfId="19" applyNumberFormat="1" applyFill="1" applyAlignment="1">
      <alignment horizontal="center"/>
    </xf>
    <xf numFmtId="9" fontId="2" fillId="11" borderId="0" xfId="20" applyFont="1" applyFill="1" applyBorder="1" applyAlignment="1">
      <alignment horizontal="center"/>
    </xf>
    <xf numFmtId="172" fontId="2" fillId="11" borderId="0" xfId="21" applyNumberFormat="1" applyFont="1" applyFill="1" applyBorder="1"/>
    <xf numFmtId="10" fontId="2" fillId="11" borderId="0" xfId="20" applyNumberFormat="1" applyFont="1" applyFill="1" applyBorder="1"/>
    <xf numFmtId="0" fontId="54" fillId="11" borderId="0" xfId="0" applyFont="1" applyFill="1"/>
    <xf numFmtId="168" fontId="54" fillId="11" borderId="0" xfId="1" applyNumberFormat="1" applyFont="1" applyFill="1" applyAlignment="1">
      <alignment horizontal="center" vertical="center"/>
    </xf>
    <xf numFmtId="0" fontId="54" fillId="11" borderId="0" xfId="0" applyFont="1" applyFill="1" applyAlignment="1">
      <alignment wrapText="1"/>
    </xf>
    <xf numFmtId="0" fontId="54" fillId="11" borderId="0" xfId="0" applyFont="1" applyFill="1" applyAlignment="1">
      <alignment horizontal="center"/>
    </xf>
    <xf numFmtId="43" fontId="54" fillId="11" borderId="0" xfId="1" applyFont="1" applyFill="1" applyAlignment="1">
      <alignment horizontal="center" vertical="center"/>
    </xf>
    <xf numFmtId="0" fontId="17" fillId="5" borderId="0" xfId="0" applyFont="1" applyFill="1"/>
    <xf numFmtId="0" fontId="2" fillId="5" borderId="0" xfId="0" applyFont="1" applyFill="1" applyAlignment="1">
      <alignment horizontal="center" vertical="center"/>
    </xf>
    <xf numFmtId="174" fontId="2" fillId="5" borderId="0" xfId="22" applyNumberFormat="1" applyFont="1" applyFill="1" applyAlignment="1">
      <alignment horizontal="center" vertical="center"/>
    </xf>
    <xf numFmtId="0" fontId="17" fillId="5" borderId="0" xfId="0" applyFont="1" applyFill="1" applyAlignment="1">
      <alignment horizontal="center" vertical="center"/>
    </xf>
    <xf numFmtId="49" fontId="17" fillId="12" borderId="59" xfId="19" applyNumberFormat="1" applyFont="1" applyFill="1" applyBorder="1" applyAlignment="1">
      <alignment horizontal="center"/>
    </xf>
    <xf numFmtId="1" fontId="17" fillId="12" borderId="59" xfId="19" applyNumberFormat="1" applyFont="1" applyFill="1" applyBorder="1" applyAlignment="1">
      <alignment horizontal="center"/>
    </xf>
    <xf numFmtId="9" fontId="17" fillId="12" borderId="59" xfId="20" applyFont="1" applyFill="1" applyBorder="1" applyAlignment="1">
      <alignment horizontal="left"/>
    </xf>
    <xf numFmtId="172" fontId="17" fillId="12" borderId="59" xfId="21" applyNumberFormat="1" applyFont="1" applyFill="1" applyBorder="1" applyAlignment="1">
      <alignment horizontal="center"/>
    </xf>
    <xf numFmtId="10" fontId="2" fillId="12" borderId="59" xfId="20" applyNumberFormat="1" applyFont="1" applyFill="1" applyBorder="1" applyAlignment="1">
      <alignment horizontal="center" vertical="center" wrapText="1"/>
    </xf>
    <xf numFmtId="49" fontId="2" fillId="0" borderId="58" xfId="19" applyNumberFormat="1" applyBorder="1" applyAlignment="1">
      <alignment horizontal="center" vertical="center" wrapText="1"/>
    </xf>
    <xf numFmtId="183" fontId="2" fillId="0" borderId="58" xfId="19" applyNumberFormat="1" applyBorder="1" applyAlignment="1">
      <alignment horizontal="center" vertical="center" wrapText="1"/>
    </xf>
    <xf numFmtId="9" fontId="2" fillId="0" borderId="58" xfId="20" applyFont="1" applyFill="1" applyBorder="1" applyAlignment="1">
      <alignment horizontal="center" vertical="center" wrapText="1"/>
    </xf>
    <xf numFmtId="172" fontId="2" fillId="0" borderId="58" xfId="21" applyNumberFormat="1" applyFont="1" applyFill="1" applyBorder="1" applyAlignment="1">
      <alignment horizontal="center" vertical="center" wrapText="1"/>
    </xf>
    <xf numFmtId="10" fontId="2" fillId="0" borderId="58" xfId="20" applyNumberFormat="1" applyFont="1" applyFill="1" applyBorder="1" applyAlignment="1">
      <alignment horizontal="center" vertical="center" wrapText="1"/>
    </xf>
    <xf numFmtId="49" fontId="58" fillId="0" borderId="58" xfId="19" applyNumberFormat="1" applyFont="1" applyBorder="1" applyAlignment="1">
      <alignment horizontal="center" vertical="center" wrapText="1"/>
    </xf>
    <xf numFmtId="1" fontId="58" fillId="0" borderId="58" xfId="19" applyNumberFormat="1" applyFont="1" applyBorder="1" applyAlignment="1">
      <alignment horizontal="center" vertical="center" wrapText="1"/>
    </xf>
    <xf numFmtId="9" fontId="58" fillId="0" borderId="58" xfId="20" applyFont="1" applyFill="1" applyBorder="1" applyAlignment="1">
      <alignment horizontal="center" vertical="center" wrapText="1"/>
    </xf>
    <xf numFmtId="172" fontId="58" fillId="0" borderId="58" xfId="21" applyNumberFormat="1" applyFont="1" applyFill="1" applyBorder="1" applyAlignment="1">
      <alignment horizontal="center" vertical="center" wrapText="1"/>
    </xf>
    <xf numFmtId="10" fontId="58" fillId="0" borderId="58" xfId="20" applyNumberFormat="1" applyFont="1" applyFill="1" applyBorder="1" applyAlignment="1">
      <alignment horizontal="center" vertical="center" wrapText="1"/>
    </xf>
    <xf numFmtId="49" fontId="17" fillId="12" borderId="58" xfId="19" applyNumberFormat="1" applyFont="1" applyFill="1" applyBorder="1" applyAlignment="1">
      <alignment horizontal="center"/>
    </xf>
    <xf numFmtId="1" fontId="17" fillId="12" borderId="58" xfId="19" applyNumberFormat="1" applyFont="1" applyFill="1" applyBorder="1" applyAlignment="1">
      <alignment horizontal="center"/>
    </xf>
    <xf numFmtId="9" fontId="17" fillId="12" borderId="58" xfId="20" applyFont="1" applyFill="1" applyBorder="1" applyAlignment="1">
      <alignment horizontal="left"/>
    </xf>
    <xf numFmtId="172" fontId="17" fillId="12" borderId="58" xfId="21" applyNumberFormat="1" applyFont="1" applyFill="1" applyBorder="1" applyAlignment="1">
      <alignment horizontal="center"/>
    </xf>
    <xf numFmtId="10" fontId="2" fillId="12" borderId="58" xfId="20" applyNumberFormat="1" applyFont="1" applyFill="1" applyBorder="1" applyAlignment="1">
      <alignment horizontal="center" vertical="center" wrapText="1"/>
    </xf>
    <xf numFmtId="1" fontId="2" fillId="0" borderId="58" xfId="19" applyNumberFormat="1" applyBorder="1" applyAlignment="1">
      <alignment horizontal="center" vertical="center" wrapText="1"/>
    </xf>
    <xf numFmtId="172" fontId="2" fillId="0" borderId="58" xfId="21" applyNumberFormat="1" applyFont="1" applyFill="1" applyBorder="1"/>
    <xf numFmtId="172" fontId="2" fillId="0" borderId="58" xfId="21" applyNumberFormat="1" applyFont="1" applyFill="1" applyBorder="1" applyAlignment="1">
      <alignment horizontal="center" vertical="center"/>
    </xf>
    <xf numFmtId="49" fontId="2" fillId="12" borderId="58" xfId="19" applyNumberFormat="1" applyFill="1" applyBorder="1" applyAlignment="1">
      <alignment horizontal="center"/>
    </xf>
    <xf numFmtId="1" fontId="2" fillId="12" borderId="58" xfId="19" applyNumberFormat="1" applyFill="1" applyBorder="1" applyAlignment="1">
      <alignment horizontal="center" vertical="center" wrapText="1"/>
    </xf>
    <xf numFmtId="9" fontId="2" fillId="12" borderId="58" xfId="20" applyFont="1" applyFill="1" applyBorder="1" applyAlignment="1">
      <alignment horizontal="center"/>
    </xf>
    <xf numFmtId="172" fontId="2" fillId="12" borderId="58" xfId="21" applyNumberFormat="1" applyFont="1" applyFill="1" applyBorder="1" applyAlignment="1">
      <alignment horizontal="center"/>
    </xf>
    <xf numFmtId="0" fontId="54" fillId="0" borderId="58" xfId="19" applyNumberFormat="1" applyFont="1" applyBorder="1" applyAlignment="1">
      <alignment horizontal="center" vertical="center" wrapText="1"/>
    </xf>
    <xf numFmtId="1" fontId="54" fillId="0" borderId="58" xfId="19" applyNumberFormat="1" applyFont="1" applyBorder="1" applyAlignment="1">
      <alignment horizontal="center" vertical="center" wrapText="1"/>
    </xf>
    <xf numFmtId="9" fontId="54" fillId="0" borderId="58" xfId="20" applyFont="1" applyFill="1" applyBorder="1" applyAlignment="1">
      <alignment horizontal="center" vertical="center" wrapText="1"/>
    </xf>
    <xf numFmtId="172" fontId="54" fillId="0" borderId="58" xfId="21" applyNumberFormat="1" applyFont="1" applyFill="1" applyBorder="1" applyAlignment="1">
      <alignment horizontal="center" vertical="center" wrapText="1"/>
    </xf>
    <xf numFmtId="0" fontId="58" fillId="0" borderId="58" xfId="19" applyNumberFormat="1" applyFont="1" applyBorder="1" applyAlignment="1">
      <alignment horizontal="center" vertical="center" wrapText="1"/>
    </xf>
    <xf numFmtId="1" fontId="2" fillId="12" borderId="58" xfId="19" applyNumberFormat="1" applyFill="1" applyBorder="1" applyAlignment="1">
      <alignment horizontal="center"/>
    </xf>
    <xf numFmtId="172" fontId="2" fillId="12" borderId="58" xfId="21" applyNumberFormat="1" applyFont="1" applyFill="1" applyBorder="1"/>
    <xf numFmtId="10" fontId="17" fillId="12" borderId="58" xfId="20" applyNumberFormat="1" applyFont="1" applyFill="1" applyBorder="1" applyAlignment="1">
      <alignment horizontal="center"/>
    </xf>
    <xf numFmtId="10" fontId="17" fillId="0" borderId="58" xfId="20" applyNumberFormat="1" applyFont="1" applyFill="1" applyBorder="1" applyAlignment="1">
      <alignment horizontal="center" vertical="center" wrapText="1"/>
    </xf>
    <xf numFmtId="10" fontId="53" fillId="0" borderId="58" xfId="20" applyNumberFormat="1" applyFont="1" applyFill="1" applyBorder="1" applyAlignment="1">
      <alignment horizontal="center" vertical="center" wrapText="1"/>
    </xf>
    <xf numFmtId="10" fontId="44" fillId="0" borderId="58" xfId="20" applyNumberFormat="1" applyFont="1" applyFill="1" applyBorder="1" applyAlignment="1">
      <alignment horizontal="center" vertical="center" wrapText="1"/>
    </xf>
    <xf numFmtId="10" fontId="2" fillId="12" borderId="58" xfId="20" applyNumberFormat="1" applyFont="1" applyFill="1" applyBorder="1"/>
    <xf numFmtId="44" fontId="54" fillId="5" borderId="0" xfId="0" applyNumberFormat="1" applyFont="1" applyFill="1"/>
    <xf numFmtId="49" fontId="2" fillId="5" borderId="0" xfId="24" applyNumberFormat="1" applyFill="1" applyAlignment="1">
      <alignment horizontal="center" vertical="center"/>
    </xf>
    <xf numFmtId="49" fontId="2" fillId="5" borderId="0" xfId="24" applyNumberFormat="1" applyFill="1"/>
    <xf numFmtId="49" fontId="2" fillId="5" borderId="0" xfId="24" applyNumberFormat="1" applyFill="1" applyAlignment="1">
      <alignment horizontal="center"/>
    </xf>
    <xf numFmtId="1" fontId="2" fillId="5" borderId="0" xfId="24" applyNumberFormat="1" applyFill="1" applyAlignment="1">
      <alignment horizontal="center"/>
    </xf>
    <xf numFmtId="172" fontId="54" fillId="0" borderId="0" xfId="0" applyNumberFormat="1" applyFont="1"/>
    <xf numFmtId="172" fontId="17" fillId="5" borderId="47" xfId="20" applyNumberFormat="1" applyFont="1" applyFill="1" applyBorder="1" applyAlignment="1">
      <alignment horizontal="center" vertical="center" wrapText="1"/>
    </xf>
    <xf numFmtId="44" fontId="2" fillId="0" borderId="82" xfId="2" applyFont="1" applyFill="1" applyBorder="1" applyAlignment="1">
      <alignment horizontal="center" vertical="center"/>
    </xf>
    <xf numFmtId="10" fontId="2" fillId="0" borderId="83" xfId="3" applyNumberFormat="1" applyFont="1" applyFill="1" applyBorder="1" applyAlignment="1">
      <alignment horizontal="center" vertical="center"/>
    </xf>
    <xf numFmtId="44" fontId="2" fillId="0" borderId="83" xfId="2" applyFont="1" applyFill="1" applyBorder="1" applyAlignment="1">
      <alignment horizontal="center" vertical="center"/>
    </xf>
    <xf numFmtId="49" fontId="17" fillId="12" borderId="84" xfId="19" applyNumberFormat="1" applyFont="1" applyFill="1" applyBorder="1" applyAlignment="1">
      <alignment horizontal="center" vertical="center"/>
    </xf>
    <xf numFmtId="172" fontId="2" fillId="12" borderId="85" xfId="21" applyNumberFormat="1" applyFont="1" applyFill="1" applyBorder="1" applyAlignment="1">
      <alignment horizontal="center" vertical="center" wrapText="1"/>
    </xf>
    <xf numFmtId="0" fontId="2" fillId="0" borderId="86" xfId="23" applyFont="1" applyBorder="1" applyAlignment="1">
      <alignment horizontal="center" vertical="center"/>
    </xf>
    <xf numFmtId="172" fontId="2" fillId="0" borderId="83" xfId="21" applyNumberFormat="1" applyFont="1" applyFill="1" applyBorder="1" applyAlignment="1">
      <alignment horizontal="center" vertical="center" wrapText="1"/>
    </xf>
    <xf numFmtId="0" fontId="58" fillId="0" borderId="86" xfId="23" applyFont="1" applyBorder="1" applyAlignment="1">
      <alignment horizontal="center" vertical="center"/>
    </xf>
    <xf numFmtId="172" fontId="58" fillId="0" borderId="83" xfId="21" applyNumberFormat="1" applyFont="1" applyFill="1" applyBorder="1" applyAlignment="1">
      <alignment horizontal="center" vertical="center" wrapText="1"/>
    </xf>
    <xf numFmtId="49" fontId="17" fillId="12" borderId="86" xfId="19" applyNumberFormat="1" applyFont="1" applyFill="1" applyBorder="1" applyAlignment="1">
      <alignment horizontal="center" vertical="center"/>
    </xf>
    <xf numFmtId="172" fontId="2" fillId="12" borderId="83" xfId="21" applyNumberFormat="1" applyFont="1" applyFill="1" applyBorder="1" applyAlignment="1">
      <alignment horizontal="center" vertical="center" wrapText="1"/>
    </xf>
    <xf numFmtId="0" fontId="17" fillId="12" borderId="86" xfId="23" applyFont="1" applyFill="1" applyBorder="1" applyAlignment="1">
      <alignment horizontal="center"/>
    </xf>
    <xf numFmtId="172" fontId="17" fillId="12" borderId="83" xfId="21" applyNumberFormat="1" applyFont="1" applyFill="1" applyBorder="1"/>
    <xf numFmtId="0" fontId="2" fillId="0" borderId="86" xfId="23" applyFont="1" applyBorder="1" applyAlignment="1">
      <alignment horizontal="center"/>
    </xf>
    <xf numFmtId="0" fontId="2" fillId="0" borderId="87" xfId="23" applyFont="1" applyBorder="1" applyAlignment="1">
      <alignment horizontal="center"/>
    </xf>
    <xf numFmtId="9" fontId="2" fillId="0" borderId="88" xfId="20" applyFont="1" applyFill="1" applyBorder="1" applyAlignment="1">
      <alignment horizontal="center" vertical="center" wrapText="1"/>
    </xf>
    <xf numFmtId="172" fontId="2" fillId="0" borderId="88" xfId="21" applyNumberFormat="1" applyFont="1" applyFill="1" applyBorder="1" applyAlignment="1">
      <alignment horizontal="center" vertical="center" wrapText="1"/>
    </xf>
    <xf numFmtId="10" fontId="2" fillId="0" borderId="88" xfId="20" applyNumberFormat="1" applyFont="1" applyFill="1" applyBorder="1" applyAlignment="1">
      <alignment horizontal="center" vertical="center" wrapText="1"/>
    </xf>
    <xf numFmtId="172" fontId="2" fillId="0" borderId="89" xfId="21" applyNumberFormat="1" applyFont="1" applyFill="1" applyBorder="1" applyAlignment="1">
      <alignment horizontal="center" vertical="center" wrapText="1"/>
    </xf>
    <xf numFmtId="2" fontId="2" fillId="0" borderId="91" xfId="21" applyNumberFormat="1" applyFont="1" applyFill="1" applyBorder="1" applyAlignment="1">
      <alignment horizontal="center" vertical="center"/>
    </xf>
    <xf numFmtId="49" fontId="17" fillId="11" borderId="21" xfId="19" applyNumberFormat="1" applyFont="1" applyFill="1" applyBorder="1" applyAlignment="1">
      <alignment horizontal="center" vertical="center" wrapText="1"/>
    </xf>
    <xf numFmtId="1" fontId="17" fillId="11" borderId="21" xfId="19" applyNumberFormat="1" applyFont="1" applyFill="1" applyBorder="1" applyAlignment="1">
      <alignment horizontal="center" vertical="center" wrapText="1"/>
    </xf>
    <xf numFmtId="9" fontId="17" fillId="11" borderId="21" xfId="20" applyFont="1" applyFill="1" applyBorder="1" applyAlignment="1">
      <alignment horizontal="center" vertical="center" wrapText="1"/>
    </xf>
    <xf numFmtId="172" fontId="17" fillId="11" borderId="21" xfId="21" applyNumberFormat="1" applyFont="1" applyFill="1" applyBorder="1" applyAlignment="1">
      <alignment horizontal="center" vertical="center" wrapText="1"/>
    </xf>
    <xf numFmtId="10" fontId="17" fillId="11" borderId="21" xfId="20" applyNumberFormat="1" applyFont="1" applyFill="1" applyBorder="1" applyAlignment="1">
      <alignment horizontal="center" vertical="center" wrapText="1"/>
    </xf>
    <xf numFmtId="10" fontId="54" fillId="5" borderId="47" xfId="3" applyNumberFormat="1" applyFont="1" applyFill="1" applyBorder="1" applyAlignment="1">
      <alignment horizontal="center"/>
    </xf>
    <xf numFmtId="0" fontId="53" fillId="11" borderId="21" xfId="0" applyFont="1" applyFill="1" applyBorder="1" applyAlignment="1">
      <alignment horizontal="center" vertical="center" wrapText="1"/>
    </xf>
    <xf numFmtId="44" fontId="53" fillId="11" borderId="21" xfId="2" applyFont="1" applyFill="1" applyBorder="1" applyAlignment="1">
      <alignment horizontal="center" vertical="center" wrapText="1"/>
    </xf>
    <xf numFmtId="0" fontId="54" fillId="0" borderId="0" xfId="0" applyFont="1" applyAlignment="1">
      <alignment horizontal="center" vertical="center" wrapText="1"/>
    </xf>
    <xf numFmtId="44" fontId="54" fillId="0" borderId="21" xfId="2" applyFont="1" applyBorder="1" applyAlignment="1">
      <alignment horizontal="center" vertical="center" wrapText="1"/>
    </xf>
    <xf numFmtId="0" fontId="54" fillId="0" borderId="21" xfId="0" applyFont="1" applyBorder="1" applyAlignment="1">
      <alignment horizontal="center" vertical="center" wrapText="1"/>
    </xf>
    <xf numFmtId="0" fontId="54" fillId="0" borderId="47" xfId="0" applyFont="1" applyBorder="1" applyAlignment="1">
      <alignment horizontal="center" vertical="center" wrapText="1"/>
    </xf>
    <xf numFmtId="44" fontId="54" fillId="0" borderId="0" xfId="2" applyFont="1" applyAlignment="1">
      <alignment horizontal="center" vertical="center" wrapText="1"/>
    </xf>
    <xf numFmtId="44" fontId="53" fillId="0" borderId="21" xfId="2" applyFont="1" applyBorder="1" applyAlignment="1">
      <alignment horizontal="center" vertical="center" wrapText="1"/>
    </xf>
    <xf numFmtId="0" fontId="2" fillId="5" borderId="58" xfId="28" applyNumberFormat="1" applyFill="1" applyBorder="1" applyAlignment="1">
      <alignment horizontal="left" vertical="center"/>
    </xf>
    <xf numFmtId="179" fontId="2" fillId="5" borderId="58" xfId="30" applyNumberFormat="1" applyFill="1" applyBorder="1" applyAlignment="1">
      <alignment horizontal="center" vertical="center"/>
    </xf>
    <xf numFmtId="9" fontId="2" fillId="5" borderId="58" xfId="32" applyFont="1" applyFill="1" applyBorder="1" applyAlignment="1">
      <alignment horizontal="center" vertical="center"/>
    </xf>
    <xf numFmtId="177" fontId="2" fillId="5" borderId="58" xfId="31" applyFill="1" applyBorder="1" applyAlignment="1">
      <alignment horizontal="center" vertical="center"/>
    </xf>
    <xf numFmtId="178" fontId="2" fillId="5" borderId="58" xfId="28" applyNumberFormat="1" applyFill="1" applyBorder="1" applyAlignment="1">
      <alignment horizontal="center" vertical="center"/>
    </xf>
    <xf numFmtId="0" fontId="2" fillId="5" borderId="58" xfId="30" applyFill="1" applyBorder="1" applyAlignment="1">
      <alignment horizontal="left" vertical="center" wrapText="1"/>
    </xf>
    <xf numFmtId="178" fontId="2" fillId="5" borderId="58" xfId="28" applyNumberFormat="1" applyFont="1" applyFill="1" applyBorder="1" applyAlignment="1">
      <alignment horizontal="center" vertical="center"/>
    </xf>
    <xf numFmtId="0" fontId="35" fillId="5" borderId="58" xfId="27" applyFont="1" applyFill="1" applyBorder="1" applyAlignment="1">
      <alignment vertical="center" wrapText="1"/>
    </xf>
    <xf numFmtId="0" fontId="11" fillId="5" borderId="0" xfId="27" applyFont="1" applyFill="1" applyBorder="1" applyAlignment="1">
      <alignment horizontal="justify" vertical="center" wrapText="1"/>
    </xf>
    <xf numFmtId="0" fontId="37" fillId="5" borderId="0" xfId="36" applyFont="1" applyFill="1" applyAlignment="1">
      <alignment wrapText="1"/>
    </xf>
    <xf numFmtId="0" fontId="38" fillId="5" borderId="0" xfId="29" applyFont="1" applyFill="1"/>
    <xf numFmtId="0" fontId="1" fillId="5" borderId="0" xfId="29" applyFill="1" applyAlignment="1">
      <alignment vertical="center"/>
    </xf>
    <xf numFmtId="0" fontId="39" fillId="5" borderId="0" xfId="0" applyFont="1" applyFill="1"/>
    <xf numFmtId="181" fontId="11" fillId="5" borderId="0" xfId="36" applyNumberFormat="1" applyFont="1" applyFill="1" applyAlignment="1">
      <alignment horizontal="left" vertical="center"/>
    </xf>
    <xf numFmtId="0" fontId="40" fillId="5" borderId="0" xfId="0" applyFont="1" applyFill="1" applyAlignment="1">
      <alignment vertical="center"/>
    </xf>
    <xf numFmtId="0" fontId="41" fillId="5" borderId="0" xfId="0" applyFont="1" applyFill="1"/>
    <xf numFmtId="0" fontId="40" fillId="5" borderId="0" xfId="0" applyFont="1" applyFill="1" applyAlignment="1">
      <alignment vertical="center" wrapText="1"/>
    </xf>
    <xf numFmtId="0" fontId="11" fillId="5" borderId="0" xfId="29" applyFont="1" applyFill="1"/>
    <xf numFmtId="0" fontId="42" fillId="5" borderId="0" xfId="0" applyFont="1" applyFill="1" applyAlignment="1">
      <alignment wrapText="1"/>
    </xf>
    <xf numFmtId="0" fontId="11" fillId="5" borderId="0" xfId="37" applyFont="1" applyFill="1" applyAlignment="1">
      <alignment vertical="center"/>
    </xf>
    <xf numFmtId="0" fontId="11" fillId="5" borderId="0" xfId="36" applyFont="1" applyFill="1" applyAlignment="1" applyProtection="1">
      <alignment vertical="center"/>
      <protection locked="0"/>
    </xf>
    <xf numFmtId="0" fontId="11" fillId="5" borderId="0" xfId="30" applyFont="1" applyFill="1"/>
    <xf numFmtId="0" fontId="11" fillId="5" borderId="42" xfId="30" applyFont="1" applyFill="1" applyBorder="1"/>
    <xf numFmtId="0" fontId="11" fillId="5" borderId="42" xfId="37" applyFont="1" applyFill="1" applyBorder="1" applyAlignment="1">
      <alignment vertical="center"/>
    </xf>
    <xf numFmtId="0" fontId="11" fillId="5" borderId="42" xfId="29" applyFont="1" applyFill="1" applyBorder="1"/>
    <xf numFmtId="0" fontId="59" fillId="5" borderId="0" xfId="6" applyFont="1" applyFill="1" applyBorder="1" applyAlignment="1">
      <alignment wrapText="1"/>
    </xf>
    <xf numFmtId="0" fontId="43" fillId="5" borderId="0" xfId="0" applyFont="1" applyFill="1" applyAlignment="1">
      <alignment horizontal="left"/>
    </xf>
    <xf numFmtId="0" fontId="54" fillId="5" borderId="0" xfId="0" applyFont="1" applyFill="1" applyAlignment="1">
      <alignment horizontal="left" vertical="center"/>
    </xf>
    <xf numFmtId="0" fontId="6" fillId="11" borderId="15" xfId="0" applyFont="1" applyFill="1" applyBorder="1" applyAlignment="1">
      <alignment horizontal="center" vertical="center"/>
    </xf>
    <xf numFmtId="0" fontId="6" fillId="11" borderId="36" xfId="0" applyFont="1" applyFill="1" applyBorder="1" applyAlignment="1">
      <alignment horizontal="left" vertical="top" wrapText="1"/>
    </xf>
    <xf numFmtId="44" fontId="6" fillId="11" borderId="36" xfId="2" applyFont="1" applyFill="1" applyBorder="1" applyAlignment="1">
      <alignment horizontal="center" vertical="center"/>
    </xf>
    <xf numFmtId="0" fontId="6" fillId="11" borderId="36" xfId="0" applyFont="1" applyFill="1" applyBorder="1" applyAlignment="1">
      <alignment horizontal="left" vertical="center"/>
    </xf>
    <xf numFmtId="167" fontId="6" fillId="11" borderId="36" xfId="1" applyNumberFormat="1" applyFont="1" applyFill="1" applyBorder="1" applyAlignment="1">
      <alignment horizontal="center" vertical="center"/>
    </xf>
    <xf numFmtId="44" fontId="6" fillId="11" borderId="44" xfId="2" applyFont="1" applyFill="1" applyBorder="1" applyAlignment="1">
      <alignment horizontal="center" vertical="center"/>
    </xf>
    <xf numFmtId="167" fontId="7" fillId="0" borderId="22" xfId="1" applyNumberFormat="1" applyFont="1" applyFill="1" applyBorder="1" applyAlignment="1">
      <alignment horizontal="center" vertical="center"/>
    </xf>
    <xf numFmtId="9" fontId="27" fillId="0" borderId="16" xfId="5" applyFont="1" applyFill="1" applyBorder="1" applyAlignment="1">
      <alignment horizontal="left" vertical="top" wrapText="1"/>
    </xf>
    <xf numFmtId="0" fontId="32" fillId="11" borderId="21" xfId="0" applyFont="1" applyFill="1" applyBorder="1" applyAlignment="1">
      <alignment horizontal="left" vertical="center" wrapText="1"/>
    </xf>
    <xf numFmtId="0" fontId="32" fillId="5" borderId="21" xfId="0" applyFont="1" applyFill="1" applyBorder="1" applyAlignment="1">
      <alignment vertical="center" wrapText="1"/>
    </xf>
    <xf numFmtId="43" fontId="32" fillId="5" borderId="21" xfId="1" applyFont="1" applyFill="1" applyBorder="1" applyAlignment="1">
      <alignment vertical="center" wrapText="1"/>
    </xf>
    <xf numFmtId="0" fontId="32" fillId="12" borderId="21" xfId="0" applyFont="1" applyFill="1" applyBorder="1" applyAlignment="1">
      <alignment vertical="center" wrapText="1"/>
    </xf>
    <xf numFmtId="43" fontId="32" fillId="12" borderId="21" xfId="1" applyFont="1" applyFill="1" applyBorder="1" applyAlignment="1">
      <alignment vertical="center" wrapText="1"/>
    </xf>
    <xf numFmtId="0" fontId="30" fillId="11" borderId="21" xfId="0" applyFont="1" applyFill="1" applyBorder="1" applyAlignment="1">
      <alignment horizontal="left" vertical="center" wrapText="1"/>
    </xf>
    <xf numFmtId="0" fontId="30" fillId="5" borderId="21" xfId="0" applyFont="1" applyFill="1" applyBorder="1" applyAlignment="1">
      <alignment vertical="center" wrapText="1"/>
    </xf>
    <xf numFmtId="43" fontId="30" fillId="5" borderId="21" xfId="1" applyFont="1" applyFill="1" applyBorder="1" applyAlignment="1">
      <alignment vertical="center" wrapText="1"/>
    </xf>
    <xf numFmtId="0" fontId="32" fillId="5" borderId="0" xfId="0" applyFont="1" applyFill="1" applyAlignment="1">
      <alignment horizontal="center" vertical="center" wrapText="1"/>
    </xf>
    <xf numFmtId="0" fontId="30" fillId="5" borderId="0" xfId="0" applyFont="1" applyFill="1" applyAlignment="1">
      <alignment horizontal="left" vertical="center" wrapText="1"/>
    </xf>
    <xf numFmtId="0" fontId="32" fillId="5" borderId="21" xfId="0" applyFont="1" applyFill="1" applyBorder="1" applyAlignment="1">
      <alignment horizontal="center" vertical="center" wrapText="1"/>
    </xf>
    <xf numFmtId="0" fontId="0" fillId="0" borderId="0" xfId="0" applyAlignment="1">
      <alignment horizontal="center" vertical="center"/>
    </xf>
    <xf numFmtId="0" fontId="32" fillId="3" borderId="21" xfId="0" applyFont="1" applyFill="1" applyBorder="1" applyAlignment="1">
      <alignment horizontal="center" vertical="center" wrapText="1"/>
    </xf>
    <xf numFmtId="44" fontId="54" fillId="12" borderId="21" xfId="2" applyFont="1" applyFill="1" applyBorder="1" applyAlignment="1">
      <alignment horizontal="center" vertical="center" wrapText="1"/>
    </xf>
    <xf numFmtId="44" fontId="54" fillId="4" borderId="21" xfId="2" applyFont="1" applyFill="1" applyBorder="1" applyAlignment="1">
      <alignment horizontal="center" vertical="center" wrapText="1"/>
    </xf>
    <xf numFmtId="2" fontId="54" fillId="0" borderId="0" xfId="0" applyNumberFormat="1" applyFont="1" applyAlignment="1">
      <alignment horizontal="center" vertical="center" wrapText="1"/>
    </xf>
    <xf numFmtId="44" fontId="54" fillId="4" borderId="21" xfId="0" applyNumberFormat="1" applyFont="1" applyFill="1" applyBorder="1" applyAlignment="1">
      <alignment horizontal="center" vertical="center" wrapText="1"/>
    </xf>
    <xf numFmtId="0" fontId="54" fillId="4" borderId="21" xfId="0" applyFont="1" applyFill="1" applyBorder="1" applyAlignment="1">
      <alignment horizontal="center" vertical="center" wrapText="1"/>
    </xf>
    <xf numFmtId="0" fontId="54" fillId="12" borderId="21" xfId="0" applyFont="1" applyFill="1" applyBorder="1" applyAlignment="1">
      <alignment horizontal="center" vertical="center" wrapText="1"/>
    </xf>
    <xf numFmtId="44" fontId="60" fillId="12" borderId="21" xfId="2" applyFont="1" applyFill="1" applyBorder="1" applyAlignment="1">
      <alignment horizontal="center" vertical="center" wrapText="1"/>
    </xf>
    <xf numFmtId="0" fontId="61" fillId="0" borderId="0" xfId="0" applyFont="1" applyAlignment="1">
      <alignment horizontal="center" vertical="center" wrapText="1"/>
    </xf>
    <xf numFmtId="0" fontId="54" fillId="12" borderId="0" xfId="0" applyFont="1" applyFill="1" applyAlignment="1">
      <alignment horizontal="center" vertical="center" wrapText="1"/>
    </xf>
    <xf numFmtId="0" fontId="54" fillId="5" borderId="0" xfId="0" applyFont="1" applyFill="1" applyAlignment="1">
      <alignment horizontal="center" vertical="center" wrapText="1"/>
    </xf>
    <xf numFmtId="43" fontId="27" fillId="0" borderId="22" xfId="1" applyFont="1" applyFill="1" applyBorder="1" applyAlignment="1">
      <alignment horizontal="center" vertical="center" wrapText="1"/>
    </xf>
    <xf numFmtId="43" fontId="27" fillId="0" borderId="21" xfId="1" applyFont="1" applyBorder="1" applyAlignment="1">
      <alignment horizontal="center" vertical="center" wrapText="1"/>
    </xf>
    <xf numFmtId="43" fontId="27" fillId="0" borderId="23" xfId="0" applyNumberFormat="1" applyFont="1" applyBorder="1" applyAlignment="1">
      <alignment horizontal="center" vertical="center" wrapText="1"/>
    </xf>
    <xf numFmtId="0" fontId="17" fillId="11" borderId="21" xfId="0" applyFont="1" applyFill="1" applyBorder="1" applyAlignment="1">
      <alignment horizontal="center" vertical="center"/>
    </xf>
    <xf numFmtId="0" fontId="2" fillId="5" borderId="21" xfId="0" applyFont="1" applyFill="1" applyBorder="1" applyAlignment="1">
      <alignment horizontal="center" vertical="center"/>
    </xf>
    <xf numFmtId="0" fontId="55" fillId="5" borderId="21" xfId="0" applyFont="1" applyFill="1" applyBorder="1" applyAlignment="1">
      <alignment horizontal="center" vertical="center"/>
    </xf>
    <xf numFmtId="0" fontId="47" fillId="9" borderId="73" xfId="0" applyFont="1" applyFill="1" applyBorder="1" applyAlignment="1">
      <alignment horizontal="left" vertical="center" wrapText="1"/>
    </xf>
    <xf numFmtId="0" fontId="47" fillId="9" borderId="74" xfId="0" applyFont="1" applyFill="1" applyBorder="1" applyAlignment="1">
      <alignment horizontal="center" vertical="center" wrapText="1"/>
    </xf>
    <xf numFmtId="0" fontId="47" fillId="9" borderId="74" xfId="0" applyFont="1" applyFill="1" applyBorder="1" applyAlignment="1">
      <alignment horizontal="left" vertical="center" wrapText="1"/>
    </xf>
    <xf numFmtId="0" fontId="47" fillId="9" borderId="74" xfId="0" applyFont="1" applyFill="1" applyBorder="1" applyAlignment="1">
      <alignment horizontal="right" vertical="center" wrapText="1"/>
    </xf>
    <xf numFmtId="0" fontId="47" fillId="9" borderId="74" xfId="0" applyFont="1" applyFill="1" applyBorder="1" applyAlignment="1">
      <alignment horizontal="left" vertical="center" wrapText="1" indent="1"/>
    </xf>
    <xf numFmtId="44" fontId="52" fillId="0" borderId="0" xfId="2" applyFont="1"/>
    <xf numFmtId="2" fontId="54" fillId="12" borderId="21" xfId="1" applyNumberFormat="1" applyFont="1" applyFill="1" applyBorder="1" applyAlignment="1">
      <alignment horizontal="center" vertical="center" wrapText="1"/>
    </xf>
    <xf numFmtId="0" fontId="32" fillId="12" borderId="21" xfId="0" applyFont="1" applyFill="1" applyBorder="1" applyAlignment="1">
      <alignment horizontal="center" vertical="center" wrapText="1"/>
    </xf>
    <xf numFmtId="0" fontId="32" fillId="12" borderId="21" xfId="0" applyFont="1" applyFill="1" applyBorder="1" applyAlignment="1">
      <alignment horizontal="left" vertical="center" wrapText="1"/>
    </xf>
    <xf numFmtId="0" fontId="32" fillId="3" borderId="21" xfId="0" applyFont="1" applyFill="1" applyBorder="1" applyAlignment="1">
      <alignment vertical="center" wrapText="1"/>
    </xf>
    <xf numFmtId="0" fontId="13" fillId="0" borderId="21" xfId="16" applyFont="1" applyBorder="1" applyAlignment="1">
      <alignment horizontal="center" vertical="center" wrapText="1"/>
    </xf>
    <xf numFmtId="0" fontId="21" fillId="11" borderId="21" xfId="0" applyFont="1" applyFill="1" applyBorder="1" applyAlignment="1">
      <alignment vertical="center"/>
    </xf>
    <xf numFmtId="2" fontId="32" fillId="5" borderId="21" xfId="0" applyNumberFormat="1" applyFont="1" applyFill="1" applyBorder="1" applyAlignment="1">
      <alignment horizontal="center" vertical="center" wrapText="1"/>
    </xf>
    <xf numFmtId="9" fontId="30" fillId="5" borderId="21" xfId="3" applyFont="1" applyFill="1" applyBorder="1" applyAlignment="1">
      <alignment vertical="center" wrapText="1"/>
    </xf>
    <xf numFmtId="9" fontId="30" fillId="12" borderId="21" xfId="3" applyFont="1" applyFill="1" applyBorder="1" applyAlignment="1">
      <alignment vertical="center" wrapText="1"/>
    </xf>
    <xf numFmtId="0" fontId="17" fillId="12" borderId="21" xfId="0" applyFont="1" applyFill="1" applyBorder="1" applyAlignment="1">
      <alignment horizontal="center" vertical="center"/>
    </xf>
    <xf numFmtId="0" fontId="17" fillId="5" borderId="68" xfId="0" applyFont="1" applyFill="1" applyBorder="1" applyAlignment="1">
      <alignment horizontal="center" vertical="center"/>
    </xf>
    <xf numFmtId="0" fontId="55" fillId="5" borderId="0" xfId="0" applyFont="1" applyFill="1" applyAlignment="1">
      <alignment horizontal="center" vertical="center"/>
    </xf>
    <xf numFmtId="0" fontId="55" fillId="5" borderId="43" xfId="0" applyFont="1" applyFill="1" applyBorder="1" applyAlignment="1">
      <alignment horizontal="center" vertical="center"/>
    </xf>
    <xf numFmtId="0" fontId="17" fillId="0" borderId="45" xfId="0" applyFont="1" applyBorder="1" applyAlignment="1">
      <alignment horizontal="center" vertical="center"/>
    </xf>
    <xf numFmtId="0" fontId="17" fillId="0" borderId="21" xfId="0" applyFont="1" applyBorder="1" applyAlignment="1">
      <alignment horizontal="center" vertical="center"/>
    </xf>
    <xf numFmtId="0" fontId="56" fillId="5" borderId="21" xfId="0" applyFont="1" applyFill="1" applyBorder="1" applyAlignment="1">
      <alignment horizontal="center" vertical="center"/>
    </xf>
    <xf numFmtId="0" fontId="56" fillId="12" borderId="21" xfId="0" applyFont="1" applyFill="1" applyBorder="1" applyAlignment="1">
      <alignment horizontal="center" vertical="center"/>
    </xf>
    <xf numFmtId="6" fontId="55" fillId="5" borderId="21" xfId="0" applyNumberFormat="1" applyFont="1" applyFill="1" applyBorder="1" applyAlignment="1">
      <alignment horizontal="center" vertical="center"/>
    </xf>
    <xf numFmtId="0" fontId="55" fillId="5" borderId="68" xfId="0" applyFont="1" applyFill="1" applyBorder="1" applyAlignment="1">
      <alignment horizontal="center" vertical="center"/>
    </xf>
    <xf numFmtId="0" fontId="0" fillId="5" borderId="0" xfId="0" applyFill="1" applyAlignment="1">
      <alignment horizontal="center" vertical="center"/>
    </xf>
    <xf numFmtId="8" fontId="55" fillId="5" borderId="21" xfId="0" applyNumberFormat="1" applyFont="1" applyFill="1" applyBorder="1" applyAlignment="1">
      <alignment horizontal="center" vertical="center"/>
    </xf>
    <xf numFmtId="6" fontId="55" fillId="15" borderId="21" xfId="0" applyNumberFormat="1" applyFont="1" applyFill="1" applyBorder="1" applyAlignment="1">
      <alignment horizontal="center" vertical="center"/>
    </xf>
    <xf numFmtId="0" fontId="2" fillId="0" borderId="21" xfId="0" applyFont="1" applyBorder="1" applyAlignment="1">
      <alignment horizontal="center" vertical="center"/>
    </xf>
    <xf numFmtId="8" fontId="56" fillId="5" borderId="21" xfId="0" applyNumberFormat="1" applyFont="1" applyFill="1" applyBorder="1" applyAlignment="1">
      <alignment horizontal="center" vertical="center"/>
    </xf>
    <xf numFmtId="44" fontId="7" fillId="0" borderId="52" xfId="2" applyFont="1" applyBorder="1" applyAlignment="1">
      <alignment horizontal="center" vertical="center"/>
    </xf>
    <xf numFmtId="9" fontId="5" fillId="0" borderId="52" xfId="3" applyFont="1" applyBorder="1" applyAlignment="1">
      <alignment horizontal="left" vertical="center"/>
    </xf>
    <xf numFmtId="167" fontId="7" fillId="0" borderId="52" xfId="1" applyNumberFormat="1" applyFont="1" applyBorder="1" applyAlignment="1">
      <alignment horizontal="center" vertical="center"/>
    </xf>
    <xf numFmtId="44" fontId="62" fillId="0" borderId="21" xfId="2" applyFont="1" applyBorder="1" applyAlignment="1">
      <alignment horizontal="center" vertical="center"/>
    </xf>
    <xf numFmtId="9" fontId="27" fillId="0" borderId="17" xfId="5" applyFont="1" applyFill="1" applyBorder="1" applyAlignment="1">
      <alignment horizontal="left" vertical="top" wrapText="1"/>
    </xf>
    <xf numFmtId="1" fontId="7" fillId="0" borderId="92" xfId="7" applyNumberFormat="1" applyFont="1" applyBorder="1" applyAlignment="1">
      <alignment horizontal="left" vertical="top" wrapText="1"/>
    </xf>
    <xf numFmtId="44" fontId="7" fillId="0" borderId="47" xfId="2" applyFont="1" applyBorder="1" applyAlignment="1">
      <alignment horizontal="center" vertical="center"/>
    </xf>
    <xf numFmtId="9" fontId="5" fillId="0" borderId="47" xfId="3" applyFont="1" applyBorder="1" applyAlignment="1">
      <alignment horizontal="left" vertical="center"/>
    </xf>
    <xf numFmtId="167" fontId="7" fillId="0" borderId="47" xfId="1" applyNumberFormat="1" applyFont="1" applyBorder="1" applyAlignment="1">
      <alignment horizontal="center" vertical="center"/>
    </xf>
    <xf numFmtId="9" fontId="5" fillId="0" borderId="45" xfId="3" applyFont="1" applyBorder="1" applyAlignment="1">
      <alignment horizontal="left" vertical="center"/>
    </xf>
    <xf numFmtId="167" fontId="7" fillId="0" borderId="45" xfId="1" applyNumberFormat="1" applyFont="1" applyBorder="1" applyAlignment="1">
      <alignment horizontal="center" vertical="center"/>
    </xf>
    <xf numFmtId="1" fontId="7" fillId="0" borderId="47" xfId="7" applyNumberFormat="1" applyFont="1" applyBorder="1" applyAlignment="1">
      <alignment horizontal="left" vertical="top" wrapText="1"/>
    </xf>
    <xf numFmtId="1" fontId="7" fillId="0" borderId="93" xfId="7" applyNumberFormat="1" applyFont="1" applyBorder="1" applyAlignment="1">
      <alignment horizontal="left" vertical="top" wrapText="1"/>
    </xf>
    <xf numFmtId="0" fontId="62" fillId="6" borderId="21" xfId="0" applyFont="1" applyFill="1" applyBorder="1" applyAlignment="1">
      <alignment horizontal="center"/>
    </xf>
    <xf numFmtId="44" fontId="63" fillId="0" borderId="21" xfId="2" applyFont="1" applyBorder="1" applyAlignment="1">
      <alignment horizontal="center" vertical="center"/>
    </xf>
    <xf numFmtId="2" fontId="27" fillId="0" borderId="21" xfId="0" applyNumberFormat="1" applyFont="1" applyBorder="1" applyAlignment="1">
      <alignment horizontal="center" vertical="center" wrapText="1"/>
    </xf>
    <xf numFmtId="44" fontId="7" fillId="0" borderId="36" xfId="2" applyFont="1" applyFill="1" applyBorder="1" applyAlignment="1">
      <alignment horizontal="center" vertical="center"/>
    </xf>
    <xf numFmtId="0" fontId="55" fillId="5" borderId="66" xfId="0" applyFont="1" applyFill="1" applyBorder="1" applyAlignment="1">
      <alignment horizontal="center" vertical="center"/>
    </xf>
    <xf numFmtId="0" fontId="55" fillId="5" borderId="67" xfId="0" applyFont="1" applyFill="1" applyBorder="1" applyAlignment="1">
      <alignment horizontal="center" vertical="center"/>
    </xf>
    <xf numFmtId="0" fontId="55" fillId="5" borderId="63" xfId="0" applyFont="1" applyFill="1" applyBorder="1" applyAlignment="1">
      <alignment horizontal="center" vertical="center"/>
    </xf>
    <xf numFmtId="0" fontId="0" fillId="5" borderId="43" xfId="0" applyFill="1" applyBorder="1" applyAlignment="1">
      <alignment horizontal="center" vertical="center"/>
    </xf>
    <xf numFmtId="0" fontId="0" fillId="5" borderId="64" xfId="0" applyFill="1" applyBorder="1" applyAlignment="1">
      <alignment horizontal="center" vertical="center"/>
    </xf>
    <xf numFmtId="0" fontId="56" fillId="12" borderId="21" xfId="0" applyFont="1" applyFill="1" applyBorder="1" applyAlignment="1">
      <alignment vertical="center"/>
    </xf>
    <xf numFmtId="8" fontId="55" fillId="5" borderId="21" xfId="0" applyNumberFormat="1" applyFont="1" applyFill="1" applyBorder="1" applyAlignment="1">
      <alignment vertical="center"/>
    </xf>
    <xf numFmtId="8" fontId="55" fillId="0" borderId="21" xfId="0" applyNumberFormat="1" applyFont="1" applyBorder="1" applyAlignment="1">
      <alignment vertical="center"/>
    </xf>
    <xf numFmtId="44" fontId="53" fillId="5" borderId="21" xfId="2" applyFont="1" applyFill="1" applyBorder="1" applyAlignment="1">
      <alignment horizontal="center" vertical="center" wrapText="1"/>
    </xf>
    <xf numFmtId="44" fontId="54" fillId="5" borderId="21" xfId="2" applyFont="1" applyFill="1" applyBorder="1" applyAlignment="1">
      <alignment horizontal="center" vertical="center" wrapText="1"/>
    </xf>
    <xf numFmtId="167" fontId="7" fillId="5" borderId="21" xfId="1" applyNumberFormat="1" applyFont="1" applyFill="1" applyBorder="1" applyAlignment="1">
      <alignment horizontal="center" vertical="center"/>
    </xf>
    <xf numFmtId="43" fontId="27" fillId="0" borderId="22" xfId="1" applyFont="1" applyBorder="1" applyAlignment="1">
      <alignment horizontal="center" vertical="center"/>
    </xf>
    <xf numFmtId="168" fontId="27" fillId="0" borderId="22" xfId="1" applyNumberFormat="1" applyFont="1" applyBorder="1" applyAlignment="1">
      <alignment horizontal="center" vertical="center" wrapText="1"/>
    </xf>
    <xf numFmtId="44" fontId="30" fillId="0" borderId="21" xfId="0" applyNumberFormat="1" applyFont="1" applyBorder="1" applyAlignment="1">
      <alignment horizontal="left" vertical="center" wrapText="1"/>
    </xf>
    <xf numFmtId="1" fontId="7" fillId="0" borderId="0" xfId="7" applyNumberFormat="1" applyFont="1" applyAlignment="1">
      <alignment horizontal="left" vertical="top" wrapText="1"/>
    </xf>
    <xf numFmtId="49" fontId="27" fillId="0" borderId="20" xfId="5" applyNumberFormat="1" applyFont="1" applyBorder="1" applyAlignment="1">
      <alignment horizontal="left" vertical="top"/>
    </xf>
    <xf numFmtId="43" fontId="27" fillId="0" borderId="28" xfId="1" applyFont="1" applyBorder="1" applyAlignment="1">
      <alignment horizontal="center" vertical="center"/>
    </xf>
    <xf numFmtId="43" fontId="28" fillId="0" borderId="28" xfId="1" applyFont="1" applyBorder="1" applyAlignment="1">
      <alignment horizontal="center" vertical="center"/>
    </xf>
    <xf numFmtId="165" fontId="27" fillId="0" borderId="28" xfId="1" applyNumberFormat="1" applyFont="1" applyBorder="1" applyAlignment="1">
      <alignment horizontal="center" vertical="center"/>
    </xf>
    <xf numFmtId="2" fontId="27" fillId="0" borderId="31" xfId="0" applyNumberFormat="1" applyFont="1" applyBorder="1" applyAlignment="1">
      <alignment horizontal="center" vertical="center" wrapText="1"/>
    </xf>
    <xf numFmtId="0" fontId="8" fillId="0" borderId="7" xfId="8" applyFont="1" applyBorder="1" applyAlignment="1">
      <alignment horizontal="left" vertical="center"/>
    </xf>
    <xf numFmtId="44" fontId="5" fillId="0" borderId="44" xfId="2" applyFont="1" applyBorder="1" applyAlignment="1">
      <alignment horizontal="center" vertical="center"/>
    </xf>
    <xf numFmtId="44" fontId="53" fillId="0" borderId="21" xfId="2" applyFont="1" applyFill="1" applyBorder="1" applyAlignment="1">
      <alignment horizontal="center" vertical="center" wrapText="1"/>
    </xf>
    <xf numFmtId="44" fontId="5" fillId="0" borderId="53" xfId="2" applyFont="1" applyBorder="1" applyAlignment="1">
      <alignment horizontal="center" vertical="center"/>
    </xf>
    <xf numFmtId="0" fontId="13" fillId="0" borderId="21" xfId="16" applyFont="1" applyBorder="1" applyAlignment="1">
      <alignment horizontal="left" vertical="center" wrapText="1"/>
    </xf>
    <xf numFmtId="0" fontId="14" fillId="0" borderId="21" xfId="17" applyFont="1" applyBorder="1" applyAlignment="1">
      <alignment horizontal="center" vertical="center" wrapText="1"/>
    </xf>
    <xf numFmtId="183" fontId="32" fillId="5" borderId="21" xfId="0" applyNumberFormat="1" applyFont="1" applyFill="1" applyBorder="1" applyAlignment="1">
      <alignment horizontal="center" vertical="center" wrapText="1"/>
    </xf>
    <xf numFmtId="183" fontId="32" fillId="0" borderId="21" xfId="0" applyNumberFormat="1" applyFont="1" applyBorder="1" applyAlignment="1">
      <alignment horizontal="center" vertical="center" wrapText="1"/>
    </xf>
    <xf numFmtId="2" fontId="25" fillId="0" borderId="7" xfId="0" applyNumberFormat="1" applyFont="1" applyBorder="1" applyAlignment="1">
      <alignment horizontal="center" vertical="center"/>
    </xf>
    <xf numFmtId="2" fontId="6" fillId="11" borderId="15" xfId="0" applyNumberFormat="1" applyFont="1" applyFill="1" applyBorder="1" applyAlignment="1">
      <alignment horizontal="center" vertical="center"/>
    </xf>
    <xf numFmtId="0" fontId="6" fillId="11" borderId="50" xfId="0" applyFont="1" applyFill="1" applyBorder="1" applyAlignment="1">
      <alignment horizontal="left" vertical="top" wrapText="1"/>
    </xf>
    <xf numFmtId="44" fontId="6" fillId="11" borderId="50" xfId="2" applyFont="1" applyFill="1" applyBorder="1" applyAlignment="1">
      <alignment horizontal="center" vertical="center"/>
    </xf>
    <xf numFmtId="0" fontId="6" fillId="11" borderId="50" xfId="0" applyFont="1" applyFill="1" applyBorder="1" applyAlignment="1">
      <alignment horizontal="left" vertical="center"/>
    </xf>
    <xf numFmtId="167" fontId="6" fillId="11" borderId="50" xfId="1" applyNumberFormat="1" applyFont="1" applyFill="1" applyBorder="1" applyAlignment="1">
      <alignment horizontal="center" vertical="center"/>
    </xf>
    <xf numFmtId="0" fontId="8" fillId="0" borderId="20" xfId="8" applyFont="1" applyBorder="1" applyAlignment="1">
      <alignment horizontal="left" vertical="center"/>
    </xf>
    <xf numFmtId="167" fontId="5" fillId="0" borderId="54" xfId="1" applyNumberFormat="1" applyFont="1" applyBorder="1" applyAlignment="1">
      <alignment horizontal="center" vertical="center"/>
    </xf>
    <xf numFmtId="44" fontId="5" fillId="0" borderId="54" xfId="2" applyFont="1" applyBorder="1" applyAlignment="1">
      <alignment horizontal="center" vertical="center"/>
    </xf>
    <xf numFmtId="0" fontId="6" fillId="3" borderId="46" xfId="0" applyFont="1" applyFill="1" applyBorder="1" applyAlignment="1">
      <alignment horizontal="left" vertical="top" wrapText="1"/>
    </xf>
    <xf numFmtId="0" fontId="6" fillId="3" borderId="45" xfId="0" applyFont="1" applyFill="1" applyBorder="1" applyAlignment="1">
      <alignment horizontal="left" vertical="center"/>
    </xf>
    <xf numFmtId="167" fontId="6" fillId="3" borderId="45" xfId="1" applyNumberFormat="1" applyFont="1" applyFill="1" applyBorder="1" applyAlignment="1">
      <alignment horizontal="center" vertical="center"/>
    </xf>
    <xf numFmtId="44" fontId="6" fillId="3" borderId="63" xfId="2" applyFont="1" applyFill="1" applyBorder="1" applyAlignment="1">
      <alignment horizontal="center" vertical="center"/>
    </xf>
    <xf numFmtId="44" fontId="6" fillId="3" borderId="45" xfId="2" applyFont="1" applyFill="1" applyBorder="1" applyAlignment="1">
      <alignment horizontal="center" vertical="center"/>
    </xf>
    <xf numFmtId="1" fontId="7" fillId="0" borderId="68" xfId="7" applyNumberFormat="1" applyFont="1" applyBorder="1" applyAlignment="1">
      <alignment horizontal="left" vertical="top" wrapText="1"/>
    </xf>
    <xf numFmtId="44" fontId="5" fillId="0" borderId="52" xfId="2" applyFont="1" applyBorder="1" applyAlignment="1">
      <alignment horizontal="center" vertical="center"/>
    </xf>
    <xf numFmtId="0" fontId="6" fillId="3" borderId="53" xfId="0" applyFont="1" applyFill="1" applyBorder="1" applyAlignment="1">
      <alignment horizontal="left" vertical="top" wrapText="1"/>
    </xf>
    <xf numFmtId="44" fontId="6" fillId="3" borderId="52" xfId="2" applyFont="1" applyFill="1" applyBorder="1" applyAlignment="1">
      <alignment horizontal="center" vertical="center"/>
    </xf>
    <xf numFmtId="1" fontId="7" fillId="0" borderId="36" xfId="7" applyNumberFormat="1" applyFont="1" applyBorder="1" applyAlignment="1">
      <alignment horizontal="left" vertical="top" wrapText="1"/>
    </xf>
    <xf numFmtId="0" fontId="6" fillId="3" borderId="4" xfId="0" applyFont="1" applyFill="1" applyBorder="1" applyAlignment="1">
      <alignment horizontal="left" vertical="top" wrapText="1"/>
    </xf>
    <xf numFmtId="44" fontId="7" fillId="0" borderId="92" xfId="2" applyFont="1" applyBorder="1" applyAlignment="1">
      <alignment horizontal="center" vertical="center"/>
    </xf>
    <xf numFmtId="0" fontId="5" fillId="0" borderId="47" xfId="0" applyFont="1" applyBorder="1" applyAlignment="1">
      <alignment horizontal="left" vertical="center"/>
    </xf>
    <xf numFmtId="9" fontId="7" fillId="0" borderId="47" xfId="3" applyFont="1" applyBorder="1" applyAlignment="1">
      <alignment horizontal="center" vertical="center"/>
    </xf>
    <xf numFmtId="44" fontId="5" fillId="0" borderId="47" xfId="2" applyFont="1" applyBorder="1" applyAlignment="1">
      <alignment horizontal="center" vertical="center"/>
    </xf>
    <xf numFmtId="0" fontId="0" fillId="0" borderId="21" xfId="0" applyBorder="1"/>
    <xf numFmtId="184" fontId="2" fillId="0" borderId="21" xfId="0" applyNumberFormat="1" applyFont="1" applyBorder="1" applyAlignment="1">
      <alignment horizontal="center" vertical="center"/>
    </xf>
    <xf numFmtId="0" fontId="43" fillId="5" borderId="0" xfId="0" applyFont="1" applyFill="1" applyAlignment="1">
      <alignment vertical="center"/>
    </xf>
    <xf numFmtId="0" fontId="42" fillId="5" borderId="0" xfId="0" applyFont="1" applyFill="1" applyAlignment="1">
      <alignment vertical="center"/>
    </xf>
    <xf numFmtId="0" fontId="32" fillId="0" borderId="21" xfId="0" applyFont="1" applyBorder="1" applyAlignment="1">
      <alignment horizontal="center" vertical="center" wrapText="1"/>
    </xf>
    <xf numFmtId="2" fontId="32" fillId="0" borderId="21" xfId="0" applyNumberFormat="1" applyFont="1" applyBorder="1" applyAlignment="1">
      <alignment horizontal="center" vertical="center" wrapText="1"/>
    </xf>
    <xf numFmtId="4" fontId="2" fillId="0" borderId="21" xfId="18" applyNumberFormat="1" applyFont="1" applyBorder="1" applyAlignment="1">
      <alignment horizontal="center" vertical="center" wrapText="1"/>
    </xf>
    <xf numFmtId="4" fontId="17" fillId="0" borderId="21" xfId="18" applyNumberFormat="1" applyFont="1" applyBorder="1" applyAlignment="1">
      <alignment horizontal="center" vertical="center" wrapText="1"/>
    </xf>
    <xf numFmtId="44" fontId="54" fillId="0" borderId="21" xfId="2" applyFont="1" applyFill="1" applyBorder="1" applyAlignment="1">
      <alignment horizontal="center" vertical="center" wrapText="1"/>
    </xf>
    <xf numFmtId="4" fontId="2" fillId="0" borderId="0" xfId="18" applyNumberFormat="1" applyFont="1" applyAlignment="1">
      <alignment horizontal="center" vertical="center" wrapText="1"/>
    </xf>
    <xf numFmtId="44" fontId="54" fillId="0" borderId="0" xfId="2" applyFont="1" applyBorder="1" applyAlignment="1">
      <alignment horizontal="center" vertical="center" wrapText="1"/>
    </xf>
    <xf numFmtId="44" fontId="54" fillId="0" borderId="21" xfId="0" applyNumberFormat="1" applyFont="1" applyBorder="1" applyAlignment="1">
      <alignment horizontal="center" vertical="center" wrapText="1"/>
    </xf>
    <xf numFmtId="44" fontId="54" fillId="12" borderId="21" xfId="0" applyNumberFormat="1" applyFont="1" applyFill="1" applyBorder="1" applyAlignment="1">
      <alignment horizontal="center" vertical="center" wrapText="1"/>
    </xf>
    <xf numFmtId="0" fontId="53" fillId="12" borderId="21" xfId="0" applyFont="1" applyFill="1" applyBorder="1" applyAlignment="1">
      <alignment horizontal="center" vertical="center" wrapText="1"/>
    </xf>
    <xf numFmtId="0" fontId="53" fillId="12" borderId="0" xfId="0" applyFont="1" applyFill="1" applyAlignment="1">
      <alignment horizontal="center" vertical="center" wrapText="1"/>
    </xf>
    <xf numFmtId="44" fontId="53" fillId="12" borderId="21" xfId="2" applyFont="1" applyFill="1" applyBorder="1" applyAlignment="1">
      <alignment horizontal="center" vertical="center" wrapText="1"/>
    </xf>
    <xf numFmtId="44" fontId="53" fillId="12" borderId="21" xfId="0" applyNumberFormat="1" applyFont="1" applyFill="1" applyBorder="1" applyAlignment="1">
      <alignment horizontal="center" vertical="center" wrapText="1"/>
    </xf>
    <xf numFmtId="2" fontId="54" fillId="5" borderId="0" xfId="0" applyNumberFormat="1" applyFont="1" applyFill="1" applyAlignment="1">
      <alignment horizontal="center" vertical="center" wrapText="1"/>
    </xf>
    <xf numFmtId="44" fontId="54" fillId="5" borderId="0" xfId="2" applyFont="1" applyFill="1" applyAlignment="1">
      <alignment horizontal="center" vertical="center" wrapText="1"/>
    </xf>
    <xf numFmtId="0" fontId="10" fillId="5" borderId="0" xfId="0" applyFont="1" applyFill="1" applyAlignment="1">
      <alignment horizontal="center" vertical="center" wrapText="1"/>
    </xf>
    <xf numFmtId="0" fontId="53" fillId="11" borderId="0" xfId="0" applyFont="1" applyFill="1" applyAlignment="1">
      <alignment horizontal="center" vertical="center" wrapText="1"/>
    </xf>
    <xf numFmtId="0" fontId="54" fillId="5" borderId="21" xfId="0" applyFont="1" applyFill="1" applyBorder="1" applyAlignment="1">
      <alignment horizontal="center" vertical="center" wrapText="1"/>
    </xf>
    <xf numFmtId="0" fontId="64" fillId="11" borderId="21" xfId="0" applyFont="1" applyFill="1" applyBorder="1" applyAlignment="1">
      <alignment horizontal="center" vertical="center" wrapText="1"/>
    </xf>
    <xf numFmtId="0" fontId="64" fillId="11" borderId="21" xfId="0" applyFont="1" applyFill="1" applyBorder="1" applyAlignment="1">
      <alignment horizontal="left" vertical="center" wrapText="1"/>
    </xf>
    <xf numFmtId="43" fontId="64" fillId="11" borderId="21" xfId="1" applyFont="1" applyFill="1" applyBorder="1" applyAlignment="1">
      <alignment horizontal="center" vertical="center" wrapText="1"/>
    </xf>
    <xf numFmtId="49" fontId="17" fillId="12" borderId="58" xfId="19" applyNumberFormat="1" applyFont="1" applyFill="1" applyBorder="1" applyAlignment="1">
      <alignment horizontal="left" wrapText="1"/>
    </xf>
    <xf numFmtId="44" fontId="54" fillId="5" borderId="0" xfId="2" applyFont="1" applyFill="1"/>
    <xf numFmtId="0" fontId="17" fillId="18" borderId="86" xfId="23" applyFont="1" applyFill="1" applyBorder="1" applyAlignment="1">
      <alignment horizontal="center"/>
    </xf>
    <xf numFmtId="49" fontId="2" fillId="18" borderId="58" xfId="19" applyNumberFormat="1" applyFill="1" applyBorder="1" applyAlignment="1">
      <alignment horizontal="center"/>
    </xf>
    <xf numFmtId="1" fontId="2" fillId="18" borderId="58" xfId="19" applyNumberFormat="1" applyFill="1" applyBorder="1" applyAlignment="1">
      <alignment horizontal="center"/>
    </xf>
    <xf numFmtId="9" fontId="2" fillId="18" borderId="58" xfId="20" applyFont="1" applyFill="1" applyBorder="1" applyAlignment="1">
      <alignment horizontal="center"/>
    </xf>
    <xf numFmtId="172" fontId="2" fillId="18" borderId="58" xfId="21" applyNumberFormat="1" applyFont="1" applyFill="1" applyBorder="1"/>
    <xf numFmtId="10" fontId="17" fillId="18" borderId="58" xfId="20" applyNumberFormat="1" applyFont="1" applyFill="1" applyBorder="1" applyAlignment="1">
      <alignment horizontal="center"/>
    </xf>
    <xf numFmtId="172" fontId="17" fillId="18" borderId="83" xfId="21" applyNumberFormat="1" applyFont="1" applyFill="1" applyBorder="1"/>
    <xf numFmtId="183" fontId="2" fillId="0" borderId="86" xfId="23" applyNumberFormat="1" applyFont="1" applyBorder="1" applyAlignment="1">
      <alignment horizontal="center" vertical="center"/>
    </xf>
    <xf numFmtId="0" fontId="65" fillId="0" borderId="21" xfId="0" applyFont="1" applyBorder="1"/>
    <xf numFmtId="185" fontId="65" fillId="0" borderId="21" xfId="2" applyNumberFormat="1" applyFont="1" applyBorder="1"/>
    <xf numFmtId="0" fontId="65" fillId="0" borderId="21" xfId="0" applyFont="1" applyBorder="1" applyAlignment="1">
      <alignment wrapText="1"/>
    </xf>
    <xf numFmtId="185" fontId="65" fillId="0" borderId="21" xfId="0" applyNumberFormat="1" applyFont="1" applyBorder="1" applyAlignment="1">
      <alignment vertical="center"/>
    </xf>
    <xf numFmtId="0" fontId="65" fillId="0" borderId="21" xfId="0" applyFont="1" applyBorder="1" applyAlignment="1">
      <alignment vertical="center"/>
    </xf>
    <xf numFmtId="185" fontId="65" fillId="0" borderId="21" xfId="2" applyNumberFormat="1" applyFont="1" applyBorder="1" applyAlignment="1">
      <alignment vertical="center"/>
    </xf>
    <xf numFmtId="3" fontId="67" fillId="0" borderId="0" xfId="39" applyNumberFormat="1" applyFont="1" applyAlignment="1">
      <alignment horizontal="center"/>
    </xf>
    <xf numFmtId="0" fontId="66" fillId="0" borderId="0" xfId="39"/>
    <xf numFmtId="3" fontId="43" fillId="0" borderId="0" xfId="39" applyNumberFormat="1" applyFont="1"/>
    <xf numFmtId="10" fontId="67" fillId="0" borderId="0" xfId="39" applyNumberFormat="1" applyFont="1"/>
    <xf numFmtId="10" fontId="43" fillId="0" borderId="0" xfId="39" applyNumberFormat="1" applyFont="1" applyAlignment="1">
      <alignment horizontal="center"/>
    </xf>
    <xf numFmtId="3" fontId="68" fillId="0" borderId="0" xfId="39" applyNumberFormat="1" applyFont="1"/>
    <xf numFmtId="10" fontId="43" fillId="0" borderId="0" xfId="39" applyNumberFormat="1" applyFont="1" applyAlignment="1">
      <alignment horizontal="left"/>
    </xf>
    <xf numFmtId="179" fontId="43" fillId="0" borderId="0" xfId="39" applyNumberFormat="1" applyFont="1"/>
    <xf numFmtId="4" fontId="43" fillId="0" borderId="0" xfId="39" applyNumberFormat="1" applyFont="1"/>
    <xf numFmtId="0" fontId="67" fillId="0" borderId="0" xfId="39" applyFont="1"/>
    <xf numFmtId="3" fontId="43" fillId="0" borderId="0" xfId="39" applyNumberFormat="1" applyFont="1" applyAlignment="1">
      <alignment horizontal="left"/>
    </xf>
    <xf numFmtId="0" fontId="43" fillId="0" borderId="0" xfId="39" applyFont="1"/>
    <xf numFmtId="0" fontId="67" fillId="0" borderId="94" xfId="39" applyFont="1" applyBorder="1"/>
    <xf numFmtId="3" fontId="67" fillId="0" borderId="98" xfId="39" applyNumberFormat="1" applyFont="1" applyBorder="1" applyAlignment="1">
      <alignment horizontal="center"/>
    </xf>
    <xf numFmtId="3" fontId="67" fillId="0" borderId="99" xfId="39" applyNumberFormat="1" applyFont="1" applyBorder="1" applyAlignment="1">
      <alignment horizontal="center"/>
    </xf>
    <xf numFmtId="3" fontId="67" fillId="0" borderId="100" xfId="39" applyNumberFormat="1" applyFont="1" applyBorder="1" applyAlignment="1">
      <alignment horizontal="center"/>
    </xf>
    <xf numFmtId="186" fontId="43" fillId="19" borderId="98" xfId="39" applyNumberFormat="1" applyFont="1" applyFill="1" applyBorder="1" applyAlignment="1">
      <alignment horizontal="center"/>
    </xf>
    <xf numFmtId="14" fontId="43" fillId="19" borderId="98" xfId="39" applyNumberFormat="1" applyFont="1" applyFill="1" applyBorder="1" applyAlignment="1">
      <alignment horizontal="center"/>
    </xf>
    <xf numFmtId="14" fontId="69" fillId="19" borderId="98" xfId="39" applyNumberFormat="1" applyFont="1" applyFill="1" applyBorder="1" applyAlignment="1">
      <alignment horizontal="center"/>
    </xf>
    <xf numFmtId="1" fontId="43" fillId="19" borderId="73" xfId="39" applyNumberFormat="1" applyFont="1" applyFill="1" applyBorder="1" applyAlignment="1">
      <alignment horizontal="center"/>
    </xf>
    <xf numFmtId="14" fontId="43" fillId="0" borderId="0" xfId="39" applyNumberFormat="1" applyFont="1"/>
    <xf numFmtId="3" fontId="67" fillId="0" borderId="0" xfId="39" applyNumberFormat="1" applyFont="1"/>
    <xf numFmtId="3" fontId="67" fillId="0" borderId="101" xfId="39" applyNumberFormat="1" applyFont="1" applyBorder="1" applyAlignment="1">
      <alignment horizontal="center"/>
    </xf>
    <xf numFmtId="3" fontId="67" fillId="0" borderId="102" xfId="39" applyNumberFormat="1" applyFont="1" applyBorder="1" applyAlignment="1">
      <alignment horizontal="center"/>
    </xf>
    <xf numFmtId="3" fontId="43" fillId="0" borderId="103" xfId="39" applyNumberFormat="1" applyFont="1" applyBorder="1"/>
    <xf numFmtId="9" fontId="43" fillId="19" borderId="104" xfId="39" applyNumberFormat="1" applyFont="1" applyFill="1" applyBorder="1" applyAlignment="1">
      <alignment horizontal="center"/>
    </xf>
    <xf numFmtId="186" fontId="43" fillId="0" borderId="94" xfId="39" applyNumberFormat="1" applyFont="1" applyBorder="1"/>
    <xf numFmtId="14" fontId="43" fillId="19" borderId="94" xfId="39" applyNumberFormat="1" applyFont="1" applyFill="1" applyBorder="1" applyAlignment="1">
      <alignment horizontal="center"/>
    </xf>
    <xf numFmtId="14" fontId="43" fillId="19" borderId="104" xfId="39" applyNumberFormat="1" applyFont="1" applyFill="1" applyBorder="1" applyAlignment="1">
      <alignment horizontal="center"/>
    </xf>
    <xf numFmtId="1" fontId="43" fillId="0" borderId="104" xfId="39" applyNumberFormat="1" applyFont="1" applyBorder="1"/>
    <xf numFmtId="10" fontId="43" fillId="20" borderId="94" xfId="39" applyNumberFormat="1" applyFont="1" applyFill="1" applyBorder="1" applyAlignment="1">
      <alignment horizontal="center"/>
    </xf>
    <xf numFmtId="187" fontId="43" fillId="0" borderId="94" xfId="39" applyNumberFormat="1" applyFont="1" applyBorder="1" applyAlignment="1">
      <alignment horizontal="right"/>
    </xf>
    <xf numFmtId="187" fontId="43" fillId="0" borderId="105" xfId="39" applyNumberFormat="1" applyFont="1" applyBorder="1"/>
    <xf numFmtId="187" fontId="66" fillId="0" borderId="0" xfId="39" applyNumberFormat="1"/>
    <xf numFmtId="3" fontId="43" fillId="0" borderId="106" xfId="39" applyNumberFormat="1" applyFont="1" applyBorder="1"/>
    <xf numFmtId="14" fontId="69" fillId="19" borderId="94" xfId="39" applyNumberFormat="1" applyFont="1" applyFill="1" applyBorder="1" applyAlignment="1">
      <alignment horizontal="center"/>
    </xf>
    <xf numFmtId="1" fontId="43" fillId="0" borderId="94" xfId="39" applyNumberFormat="1" applyFont="1" applyBorder="1"/>
    <xf numFmtId="187" fontId="43" fillId="0" borderId="107" xfId="39" applyNumberFormat="1" applyFont="1" applyBorder="1"/>
    <xf numFmtId="14" fontId="43" fillId="0" borderId="106" xfId="39" applyNumberFormat="1" applyFont="1" applyBorder="1"/>
    <xf numFmtId="14" fontId="43" fillId="0" borderId="108" xfId="39" applyNumberFormat="1" applyFont="1" applyBorder="1"/>
    <xf numFmtId="1" fontId="43" fillId="0" borderId="109" xfId="39" applyNumberFormat="1" applyFont="1" applyBorder="1"/>
    <xf numFmtId="3" fontId="43" fillId="0" borderId="112" xfId="39" applyNumberFormat="1" applyFont="1" applyBorder="1"/>
    <xf numFmtId="3" fontId="67" fillId="0" borderId="94" xfId="39" applyNumberFormat="1" applyFont="1" applyBorder="1"/>
    <xf numFmtId="3" fontId="67" fillId="21" borderId="94" xfId="39" applyNumberFormat="1" applyFont="1" applyFill="1" applyBorder="1"/>
    <xf numFmtId="3" fontId="43" fillId="0" borderId="114" xfId="39" applyNumberFormat="1" applyFont="1" applyBorder="1"/>
    <xf numFmtId="3" fontId="67" fillId="0" borderId="0" xfId="39" applyNumberFormat="1" applyFont="1" applyAlignment="1">
      <alignment horizontal="right"/>
    </xf>
    <xf numFmtId="3" fontId="67" fillId="0" borderId="115" xfId="39" applyNumberFormat="1" applyFont="1" applyBorder="1" applyAlignment="1">
      <alignment horizontal="left"/>
    </xf>
    <xf numFmtId="3" fontId="67" fillId="0" borderId="117" xfId="39" applyNumberFormat="1" applyFont="1" applyBorder="1"/>
    <xf numFmtId="14" fontId="43" fillId="0" borderId="118" xfId="39" applyNumberFormat="1" applyFont="1" applyBorder="1"/>
    <xf numFmtId="9" fontId="43" fillId="19" borderId="119" xfId="39" applyNumberFormat="1" applyFont="1" applyFill="1" applyBorder="1" applyAlignment="1">
      <alignment horizontal="center"/>
    </xf>
    <xf numFmtId="1" fontId="43" fillId="0" borderId="119" xfId="39" applyNumberFormat="1" applyFont="1" applyBorder="1"/>
    <xf numFmtId="10" fontId="43" fillId="19" borderId="119" xfId="39" applyNumberFormat="1" applyFont="1" applyFill="1" applyBorder="1" applyAlignment="1">
      <alignment horizontal="center"/>
    </xf>
    <xf numFmtId="3" fontId="43" fillId="0" borderId="119" xfId="39" applyNumberFormat="1" applyFont="1" applyBorder="1" applyAlignment="1">
      <alignment horizontal="right"/>
    </xf>
    <xf numFmtId="3" fontId="43" fillId="0" borderId="120" xfId="39" applyNumberFormat="1" applyFont="1" applyBorder="1"/>
    <xf numFmtId="3" fontId="67" fillId="0" borderId="98" xfId="39" applyNumberFormat="1" applyFont="1" applyBorder="1" applyAlignment="1">
      <alignment horizontal="left"/>
    </xf>
    <xf numFmtId="3" fontId="43" fillId="0" borderId="79" xfId="39" applyNumberFormat="1" applyFont="1" applyBorder="1" applyAlignment="1">
      <alignment horizontal="left"/>
    </xf>
    <xf numFmtId="3" fontId="43" fillId="0" borderId="77" xfId="39" applyNumberFormat="1" applyFont="1" applyBorder="1"/>
    <xf numFmtId="3" fontId="67" fillId="0" borderId="121" xfId="39" applyNumberFormat="1" applyFont="1" applyBorder="1" applyAlignment="1">
      <alignment horizontal="left"/>
    </xf>
    <xf numFmtId="3" fontId="67" fillId="0" borderId="122" xfId="39" applyNumberFormat="1" applyFont="1" applyBorder="1" applyAlignment="1">
      <alignment horizontal="left"/>
    </xf>
    <xf numFmtId="3" fontId="43" fillId="0" borderId="123" xfId="39" applyNumberFormat="1" applyFont="1" applyBorder="1"/>
    <xf numFmtId="49" fontId="43" fillId="0" borderId="0" xfId="39" applyNumberFormat="1" applyFont="1"/>
    <xf numFmtId="3" fontId="67" fillId="0" borderId="98" xfId="39" applyNumberFormat="1" applyFont="1" applyBorder="1"/>
    <xf numFmtId="3" fontId="67" fillId="0" borderId="104" xfId="39" applyNumberFormat="1" applyFont="1" applyBorder="1" applyAlignment="1">
      <alignment horizontal="right"/>
    </xf>
    <xf numFmtId="3" fontId="67" fillId="0" borderId="104" xfId="39" applyNumberFormat="1" applyFont="1" applyBorder="1" applyAlignment="1">
      <alignment horizontal="center"/>
    </xf>
    <xf numFmtId="3" fontId="67" fillId="0" borderId="120" xfId="39" applyNumberFormat="1" applyFont="1" applyBorder="1" applyAlignment="1">
      <alignment horizontal="center"/>
    </xf>
    <xf numFmtId="3" fontId="43" fillId="0" borderId="127" xfId="39" applyNumberFormat="1" applyFont="1" applyBorder="1" applyAlignment="1">
      <alignment horizontal="left"/>
    </xf>
    <xf numFmtId="3" fontId="43" fillId="0" borderId="128" xfId="39" applyNumberFormat="1" applyFont="1" applyBorder="1" applyAlignment="1">
      <alignment horizontal="left"/>
    </xf>
    <xf numFmtId="3" fontId="67" fillId="0" borderId="105" xfId="39" applyNumberFormat="1" applyFont="1" applyBorder="1" applyAlignment="1">
      <alignment horizontal="center"/>
    </xf>
    <xf numFmtId="3" fontId="43" fillId="0" borderId="129" xfId="39" applyNumberFormat="1" applyFont="1" applyBorder="1" applyAlignment="1">
      <alignment horizontal="left" vertical="top" wrapText="1"/>
    </xf>
    <xf numFmtId="3" fontId="43" fillId="0" borderId="0" xfId="39" applyNumberFormat="1" applyFont="1" applyAlignment="1">
      <alignment horizontal="left" vertical="top" wrapText="1"/>
    </xf>
    <xf numFmtId="3" fontId="43" fillId="0" borderId="130" xfId="39" applyNumberFormat="1" applyFont="1" applyBorder="1" applyAlignment="1">
      <alignment horizontal="left"/>
    </xf>
    <xf numFmtId="3" fontId="43" fillId="0" borderId="75" xfId="39" applyNumberFormat="1" applyFont="1" applyBorder="1" applyAlignment="1">
      <alignment horizontal="left" vertical="top" wrapText="1"/>
    </xf>
    <xf numFmtId="3" fontId="43" fillId="0" borderId="129" xfId="39" applyNumberFormat="1" applyFont="1" applyBorder="1" applyAlignment="1">
      <alignment horizontal="left"/>
    </xf>
    <xf numFmtId="3" fontId="43" fillId="0" borderId="75" xfId="39" applyNumberFormat="1" applyFont="1" applyBorder="1" applyAlignment="1">
      <alignment horizontal="left"/>
    </xf>
    <xf numFmtId="3" fontId="67" fillId="0" borderId="129" xfId="39" applyNumberFormat="1" applyFont="1" applyBorder="1" applyAlignment="1">
      <alignment horizontal="left"/>
    </xf>
    <xf numFmtId="3" fontId="67" fillId="0" borderId="0" xfId="39" applyNumberFormat="1" applyFont="1" applyAlignment="1">
      <alignment horizontal="left"/>
    </xf>
    <xf numFmtId="3" fontId="67" fillId="0" borderId="75" xfId="39" applyNumberFormat="1" applyFont="1" applyBorder="1" applyAlignment="1">
      <alignment horizontal="left"/>
    </xf>
    <xf numFmtId="3" fontId="67" fillId="0" borderId="131" xfId="39" applyNumberFormat="1" applyFont="1" applyBorder="1" applyAlignment="1">
      <alignment horizontal="center"/>
    </xf>
    <xf numFmtId="3" fontId="67" fillId="0" borderId="117" xfId="39" applyNumberFormat="1" applyFont="1" applyBorder="1" applyAlignment="1">
      <alignment horizontal="center"/>
    </xf>
    <xf numFmtId="3" fontId="43" fillId="0" borderId="0" xfId="39" applyNumberFormat="1" applyFont="1" applyAlignment="1">
      <alignment horizontal="center" vertical="top" wrapText="1"/>
    </xf>
    <xf numFmtId="10" fontId="67" fillId="22" borderId="94" xfId="39" applyNumberFormat="1" applyFont="1" applyFill="1" applyBorder="1" applyAlignment="1">
      <alignment horizontal="center"/>
    </xf>
    <xf numFmtId="3" fontId="67" fillId="22" borderId="94" xfId="39" applyNumberFormat="1" applyFont="1" applyFill="1" applyBorder="1" applyAlignment="1">
      <alignment horizontal="center"/>
    </xf>
    <xf numFmtId="10" fontId="43" fillId="0" borderId="94" xfId="39" applyNumberFormat="1" applyFont="1" applyBorder="1" applyAlignment="1">
      <alignment horizontal="center"/>
    </xf>
    <xf numFmtId="0" fontId="17" fillId="5" borderId="0" xfId="27" applyFont="1" applyFill="1" applyBorder="1" applyAlignment="1">
      <alignment vertical="center" wrapText="1"/>
    </xf>
    <xf numFmtId="188" fontId="2" fillId="5" borderId="58" xfId="3" applyNumberFormat="1" applyFont="1" applyFill="1" applyBorder="1" applyAlignment="1">
      <alignment horizontal="center" vertical="center"/>
    </xf>
    <xf numFmtId="188" fontId="54" fillId="0" borderId="58" xfId="3" applyNumberFormat="1" applyFont="1" applyFill="1" applyBorder="1" applyAlignment="1">
      <alignment horizontal="center" vertical="center" wrapText="1"/>
    </xf>
    <xf numFmtId="10" fontId="54" fillId="0" borderId="58" xfId="3" applyNumberFormat="1" applyFont="1" applyFill="1" applyBorder="1" applyAlignment="1">
      <alignment horizontal="center" vertical="center" wrapText="1"/>
    </xf>
    <xf numFmtId="44" fontId="54" fillId="0" borderId="58" xfId="2" applyFont="1" applyFill="1" applyBorder="1" applyAlignment="1">
      <alignment horizontal="center" vertical="center" wrapText="1"/>
    </xf>
    <xf numFmtId="44" fontId="54" fillId="0" borderId="58" xfId="2" applyFont="1" applyBorder="1"/>
    <xf numFmtId="0" fontId="54" fillId="0" borderId="58" xfId="0" applyFont="1" applyBorder="1"/>
    <xf numFmtId="44" fontId="54" fillId="0" borderId="58" xfId="2" applyFont="1" applyBorder="1" applyAlignment="1">
      <alignment horizontal="center" vertical="center"/>
    </xf>
    <xf numFmtId="0" fontId="2" fillId="0" borderId="58" xfId="0" applyFont="1" applyBorder="1" applyAlignment="1">
      <alignment horizontal="center" vertical="center"/>
    </xf>
    <xf numFmtId="9" fontId="2" fillId="0" borderId="58" xfId="0" applyNumberFormat="1" applyFont="1" applyBorder="1" applyAlignment="1">
      <alignment horizontal="center" vertical="center"/>
    </xf>
    <xf numFmtId="10" fontId="2" fillId="18" borderId="58" xfId="20" applyNumberFormat="1" applyFont="1" applyFill="1" applyBorder="1" applyAlignment="1">
      <alignment horizontal="center"/>
    </xf>
    <xf numFmtId="9" fontId="54" fillId="0" borderId="58" xfId="3" applyFont="1" applyBorder="1" applyAlignment="1">
      <alignment horizontal="center"/>
    </xf>
    <xf numFmtId="10" fontId="53" fillId="18" borderId="58" xfId="0" applyNumberFormat="1" applyFont="1" applyFill="1" applyBorder="1" applyAlignment="1">
      <alignment horizontal="center"/>
    </xf>
    <xf numFmtId="0" fontId="54" fillId="18" borderId="58" xfId="0" applyFont="1" applyFill="1" applyBorder="1"/>
    <xf numFmtId="0" fontId="70" fillId="0" borderId="58" xfId="0" applyFont="1" applyBorder="1" applyAlignment="1">
      <alignment horizontal="left" vertical="center"/>
    </xf>
    <xf numFmtId="180" fontId="2" fillId="5" borderId="58" xfId="33" applyNumberFormat="1" applyFont="1" applyFill="1" applyBorder="1" applyAlignment="1">
      <alignment vertical="center" wrapText="1"/>
    </xf>
    <xf numFmtId="180" fontId="17" fillId="5" borderId="58" xfId="33" applyNumberFormat="1" applyFont="1" applyFill="1" applyBorder="1" applyAlignment="1">
      <alignment vertical="center" wrapText="1"/>
    </xf>
    <xf numFmtId="0" fontId="17" fillId="11" borderId="58" xfId="28" applyNumberFormat="1" applyFont="1" applyFill="1" applyBorder="1" applyAlignment="1">
      <alignment horizontal="center" vertical="center" wrapText="1"/>
    </xf>
    <xf numFmtId="49" fontId="17" fillId="11" borderId="58" xfId="19" applyNumberFormat="1" applyFont="1" applyFill="1" applyBorder="1" applyAlignment="1">
      <alignment horizontal="center" vertical="center" wrapText="1"/>
    </xf>
    <xf numFmtId="1" fontId="17" fillId="11" borderId="58" xfId="19" applyNumberFormat="1" applyFont="1" applyFill="1" applyBorder="1" applyAlignment="1">
      <alignment horizontal="center" vertical="center" wrapText="1"/>
    </xf>
    <xf numFmtId="9" fontId="17" fillId="11" borderId="58" xfId="20" applyFont="1" applyFill="1" applyBorder="1" applyAlignment="1">
      <alignment horizontal="center" vertical="center" wrapText="1"/>
    </xf>
    <xf numFmtId="172" fontId="17" fillId="11" borderId="58" xfId="21" applyNumberFormat="1" applyFont="1" applyFill="1" applyBorder="1" applyAlignment="1">
      <alignment horizontal="center" vertical="center" wrapText="1"/>
    </xf>
    <xf numFmtId="49" fontId="17" fillId="12" borderId="58" xfId="19" applyNumberFormat="1" applyFont="1" applyFill="1" applyBorder="1" applyAlignment="1">
      <alignment horizontal="center" vertical="center"/>
    </xf>
    <xf numFmtId="0" fontId="15" fillId="12" borderId="58" xfId="27" applyFont="1" applyFill="1" applyBorder="1" applyAlignment="1">
      <alignment vertical="center" wrapText="1"/>
    </xf>
    <xf numFmtId="0" fontId="2" fillId="5" borderId="58" xfId="30" applyFill="1" applyBorder="1" applyAlignment="1">
      <alignment horizontal="center" vertical="center"/>
    </xf>
    <xf numFmtId="180" fontId="11" fillId="5" borderId="58" xfId="27" applyNumberFormat="1" applyFont="1" applyFill="1" applyBorder="1" applyAlignment="1">
      <alignment vertical="center" wrapText="1"/>
    </xf>
    <xf numFmtId="44" fontId="71" fillId="5" borderId="58" xfId="2" applyFont="1" applyFill="1" applyBorder="1" applyAlignment="1">
      <alignment horizontal="center" vertical="center" wrapText="1"/>
    </xf>
    <xf numFmtId="44" fontId="54" fillId="0" borderId="58" xfId="2" applyFont="1" applyBorder="1" applyAlignment="1">
      <alignment vertical="center"/>
    </xf>
    <xf numFmtId="0" fontId="54" fillId="0" borderId="58" xfId="0" applyFont="1" applyBorder="1" applyAlignment="1">
      <alignment vertical="center"/>
    </xf>
    <xf numFmtId="0" fontId="54" fillId="0" borderId="0" xfId="0" applyFont="1" applyAlignment="1">
      <alignment vertical="center"/>
    </xf>
    <xf numFmtId="10" fontId="11" fillId="0" borderId="58" xfId="3" applyNumberFormat="1" applyFont="1" applyFill="1" applyBorder="1" applyAlignment="1">
      <alignment horizontal="center" vertical="center" wrapText="1"/>
    </xf>
    <xf numFmtId="10" fontId="0" fillId="0" borderId="0" xfId="0" applyNumberFormat="1"/>
    <xf numFmtId="10" fontId="2" fillId="5" borderId="58" xfId="3" applyNumberFormat="1" applyFont="1" applyFill="1" applyBorder="1" applyAlignment="1">
      <alignment horizontal="center" vertical="center"/>
    </xf>
    <xf numFmtId="185" fontId="30" fillId="0" borderId="0" xfId="2" applyNumberFormat="1" applyFont="1" applyAlignment="1">
      <alignment vertical="center" wrapText="1"/>
    </xf>
    <xf numFmtId="172" fontId="54" fillId="5" borderId="21" xfId="1" applyNumberFormat="1" applyFont="1" applyFill="1" applyBorder="1" applyAlignment="1">
      <alignment horizontal="right"/>
    </xf>
    <xf numFmtId="172" fontId="53" fillId="5" borderId="21" xfId="1" applyNumberFormat="1" applyFont="1" applyFill="1" applyBorder="1" applyAlignment="1">
      <alignment horizontal="right"/>
    </xf>
    <xf numFmtId="188" fontId="54" fillId="5" borderId="21" xfId="0" applyNumberFormat="1" applyFont="1" applyFill="1" applyBorder="1" applyAlignment="1">
      <alignment horizontal="center"/>
    </xf>
    <xf numFmtId="3" fontId="67" fillId="0" borderId="0" xfId="40" applyNumberFormat="1" applyFont="1" applyAlignment="1">
      <alignment horizontal="center"/>
    </xf>
    <xf numFmtId="0" fontId="55" fillId="0" borderId="0" xfId="40"/>
    <xf numFmtId="3" fontId="43" fillId="0" borderId="0" xfId="40" applyNumberFormat="1" applyFont="1"/>
    <xf numFmtId="10" fontId="67" fillId="0" borderId="0" xfId="40" applyNumberFormat="1" applyFont="1"/>
    <xf numFmtId="10" fontId="43" fillId="0" borderId="0" xfId="40" applyNumberFormat="1" applyFont="1" applyAlignment="1">
      <alignment horizontal="center"/>
    </xf>
    <xf numFmtId="3" fontId="68" fillId="0" borderId="0" xfId="40" applyNumberFormat="1" applyFont="1"/>
    <xf numFmtId="10" fontId="43" fillId="0" borderId="0" xfId="40" applyNumberFormat="1" applyFont="1" applyAlignment="1">
      <alignment horizontal="left"/>
    </xf>
    <xf numFmtId="179" fontId="43" fillId="0" borderId="0" xfId="40" applyNumberFormat="1" applyFont="1"/>
    <xf numFmtId="4" fontId="43" fillId="0" borderId="0" xfId="40" applyNumberFormat="1" applyFont="1"/>
    <xf numFmtId="0" fontId="67" fillId="0" borderId="0" xfId="40" applyFont="1"/>
    <xf numFmtId="3" fontId="43" fillId="0" borderId="0" xfId="40" applyNumberFormat="1" applyFont="1" applyAlignment="1">
      <alignment horizontal="left"/>
    </xf>
    <xf numFmtId="0" fontId="43" fillId="0" borderId="0" xfId="40" applyFont="1"/>
    <xf numFmtId="0" fontId="67" fillId="0" borderId="94" xfId="40" applyFont="1" applyBorder="1"/>
    <xf numFmtId="3" fontId="67" fillId="0" borderId="98" xfId="40" applyNumberFormat="1" applyFont="1" applyBorder="1" applyAlignment="1">
      <alignment horizontal="center"/>
    </xf>
    <xf numFmtId="3" fontId="67" fillId="0" borderId="99" xfId="40" applyNumberFormat="1" applyFont="1" applyBorder="1" applyAlignment="1">
      <alignment horizontal="center"/>
    </xf>
    <xf numFmtId="3" fontId="67" fillId="0" borderId="100" xfId="40" applyNumberFormat="1" applyFont="1" applyBorder="1" applyAlignment="1">
      <alignment horizontal="center"/>
    </xf>
    <xf numFmtId="186" fontId="43" fillId="19" borderId="98" xfId="40" applyNumberFormat="1" applyFont="1" applyFill="1" applyBorder="1" applyAlignment="1">
      <alignment horizontal="center"/>
    </xf>
    <xf numFmtId="14" fontId="43" fillId="19" borderId="98" xfId="40" applyNumberFormat="1" applyFont="1" applyFill="1" applyBorder="1" applyAlignment="1">
      <alignment horizontal="center"/>
    </xf>
    <xf numFmtId="14" fontId="69" fillId="19" borderId="98" xfId="40" applyNumberFormat="1" applyFont="1" applyFill="1" applyBorder="1" applyAlignment="1">
      <alignment horizontal="center"/>
    </xf>
    <xf numFmtId="1" fontId="43" fillId="19" borderId="73" xfId="40" applyNumberFormat="1" applyFont="1" applyFill="1" applyBorder="1" applyAlignment="1">
      <alignment horizontal="center"/>
    </xf>
    <xf numFmtId="14" fontId="43" fillId="0" borderId="0" xfId="40" applyNumberFormat="1" applyFont="1"/>
    <xf numFmtId="3" fontId="67" fillId="0" borderId="0" xfId="40" applyNumberFormat="1" applyFont="1"/>
    <xf numFmtId="3" fontId="67" fillId="0" borderId="101" xfId="40" applyNumberFormat="1" applyFont="1" applyBorder="1" applyAlignment="1">
      <alignment horizontal="center"/>
    </xf>
    <xf numFmtId="3" fontId="67" fillId="0" borderId="102" xfId="40" applyNumberFormat="1" applyFont="1" applyBorder="1" applyAlignment="1">
      <alignment horizontal="center"/>
    </xf>
    <xf numFmtId="3" fontId="43" fillId="0" borderId="103" xfId="40" applyNumberFormat="1" applyFont="1" applyBorder="1"/>
    <xf numFmtId="9" fontId="43" fillId="19" borderId="104" xfId="40" applyNumberFormat="1" applyFont="1" applyFill="1" applyBorder="1" applyAlignment="1">
      <alignment horizontal="center"/>
    </xf>
    <xf numFmtId="186" fontId="43" fillId="0" borderId="94" xfId="40" applyNumberFormat="1" applyFont="1" applyBorder="1"/>
    <xf numFmtId="14" fontId="43" fillId="19" borderId="94" xfId="40" applyNumberFormat="1" applyFont="1" applyFill="1" applyBorder="1" applyAlignment="1">
      <alignment horizontal="center"/>
    </xf>
    <xf numFmtId="14" fontId="43" fillId="19" borderId="104" xfId="40" applyNumberFormat="1" applyFont="1" applyFill="1" applyBorder="1" applyAlignment="1">
      <alignment horizontal="center"/>
    </xf>
    <xf numFmtId="1" fontId="43" fillId="0" borderId="104" xfId="40" applyNumberFormat="1" applyFont="1" applyBorder="1"/>
    <xf numFmtId="10" fontId="43" fillId="20" borderId="94" xfId="40" applyNumberFormat="1" applyFont="1" applyFill="1" applyBorder="1" applyAlignment="1">
      <alignment horizontal="center"/>
    </xf>
    <xf numFmtId="187" fontId="43" fillId="0" borderId="94" xfId="40" applyNumberFormat="1" applyFont="1" applyBorder="1" applyAlignment="1">
      <alignment horizontal="right"/>
    </xf>
    <xf numFmtId="187" fontId="43" fillId="0" borderId="105" xfId="40" applyNumberFormat="1" applyFont="1" applyBorder="1"/>
    <xf numFmtId="187" fontId="55" fillId="0" borderId="0" xfId="40" applyNumberFormat="1"/>
    <xf numFmtId="3" fontId="43" fillId="0" borderId="106" xfId="40" applyNumberFormat="1" applyFont="1" applyBorder="1"/>
    <xf numFmtId="14" fontId="69" fillId="19" borderId="94" xfId="40" applyNumberFormat="1" applyFont="1" applyFill="1" applyBorder="1" applyAlignment="1">
      <alignment horizontal="center"/>
    </xf>
    <xf numFmtId="1" fontId="43" fillId="0" borderId="94" xfId="40" applyNumberFormat="1" applyFont="1" applyBorder="1"/>
    <xf numFmtId="187" fontId="43" fillId="0" borderId="107" xfId="40" applyNumberFormat="1" applyFont="1" applyBorder="1"/>
    <xf numFmtId="14" fontId="43" fillId="0" borderId="106" xfId="40" applyNumberFormat="1" applyFont="1" applyBorder="1"/>
    <xf numFmtId="14" fontId="43" fillId="0" borderId="108" xfId="40" applyNumberFormat="1" applyFont="1" applyBorder="1"/>
    <xf numFmtId="1" fontId="43" fillId="0" borderId="109" xfId="40" applyNumberFormat="1" applyFont="1" applyBorder="1"/>
    <xf numFmtId="3" fontId="43" fillId="0" borderId="112" xfId="40" applyNumberFormat="1" applyFont="1" applyBorder="1"/>
    <xf numFmtId="3" fontId="67" fillId="0" borderId="94" xfId="40" applyNumberFormat="1" applyFont="1" applyBorder="1"/>
    <xf numFmtId="3" fontId="67" fillId="21" borderId="94" xfId="40" applyNumberFormat="1" applyFont="1" applyFill="1" applyBorder="1"/>
    <xf numFmtId="3" fontId="43" fillId="0" borderId="114" xfId="40" applyNumberFormat="1" applyFont="1" applyBorder="1"/>
    <xf numFmtId="3" fontId="67" fillId="0" borderId="0" xfId="40" applyNumberFormat="1" applyFont="1" applyAlignment="1">
      <alignment horizontal="right"/>
    </xf>
    <xf numFmtId="3" fontId="67" fillId="0" borderId="115" xfId="40" applyNumberFormat="1" applyFont="1" applyBorder="1" applyAlignment="1">
      <alignment horizontal="left"/>
    </xf>
    <xf numFmtId="3" fontId="67" fillId="0" borderId="117" xfId="40" applyNumberFormat="1" applyFont="1" applyBorder="1"/>
    <xf numFmtId="14" fontId="43" fillId="0" borderId="118" xfId="40" applyNumberFormat="1" applyFont="1" applyBorder="1"/>
    <xf numFmtId="9" fontId="43" fillId="19" borderId="119" xfId="40" applyNumberFormat="1" applyFont="1" applyFill="1" applyBorder="1" applyAlignment="1">
      <alignment horizontal="center"/>
    </xf>
    <xf numFmtId="1" fontId="43" fillId="0" borderId="119" xfId="40" applyNumberFormat="1" applyFont="1" applyBorder="1"/>
    <xf numFmtId="10" fontId="43" fillId="19" borderId="119" xfId="40" applyNumberFormat="1" applyFont="1" applyFill="1" applyBorder="1" applyAlignment="1">
      <alignment horizontal="center"/>
    </xf>
    <xf numFmtId="3" fontId="43" fillId="0" borderId="119" xfId="40" applyNumberFormat="1" applyFont="1" applyBorder="1" applyAlignment="1">
      <alignment horizontal="right"/>
    </xf>
    <xf numFmtId="3" fontId="43" fillId="0" borderId="120" xfId="40" applyNumberFormat="1" applyFont="1" applyBorder="1"/>
    <xf numFmtId="3" fontId="67" fillId="0" borderId="98" xfId="40" applyNumberFormat="1" applyFont="1" applyBorder="1" applyAlignment="1">
      <alignment horizontal="left"/>
    </xf>
    <xf numFmtId="3" fontId="43" fillId="0" borderId="79" xfId="40" applyNumberFormat="1" applyFont="1" applyBorder="1" applyAlignment="1">
      <alignment horizontal="left"/>
    </xf>
    <xf numFmtId="3" fontId="43" fillId="0" borderId="77" xfId="40" applyNumberFormat="1" applyFont="1" applyBorder="1"/>
    <xf numFmtId="3" fontId="67" fillId="0" borderId="121" xfId="40" applyNumberFormat="1" applyFont="1" applyBorder="1" applyAlignment="1">
      <alignment horizontal="left"/>
    </xf>
    <xf numFmtId="3" fontId="67" fillId="0" borderId="122" xfId="40" applyNumberFormat="1" applyFont="1" applyBorder="1" applyAlignment="1">
      <alignment horizontal="left"/>
    </xf>
    <xf numFmtId="3" fontId="43" fillId="0" borderId="123" xfId="40" applyNumberFormat="1" applyFont="1" applyBorder="1"/>
    <xf numFmtId="49" fontId="43" fillId="0" borderId="0" xfId="40" applyNumberFormat="1" applyFont="1"/>
    <xf numFmtId="3" fontId="67" fillId="0" borderId="98" xfId="40" applyNumberFormat="1" applyFont="1" applyBorder="1"/>
    <xf numFmtId="3" fontId="67" fillId="0" borderId="104" xfId="40" applyNumberFormat="1" applyFont="1" applyBorder="1" applyAlignment="1">
      <alignment horizontal="right"/>
    </xf>
    <xf numFmtId="3" fontId="67" fillId="0" borderId="104" xfId="40" applyNumberFormat="1" applyFont="1" applyBorder="1" applyAlignment="1">
      <alignment horizontal="center"/>
    </xf>
    <xf numFmtId="3" fontId="67" fillId="0" borderId="120" xfId="40" applyNumberFormat="1" applyFont="1" applyBorder="1" applyAlignment="1">
      <alignment horizontal="center"/>
    </xf>
    <xf numFmtId="3" fontId="43" fillId="0" borderId="127" xfId="40" applyNumberFormat="1" applyFont="1" applyBorder="1" applyAlignment="1">
      <alignment horizontal="left"/>
    </xf>
    <xf numFmtId="3" fontId="43" fillId="0" borderId="128" xfId="40" applyNumberFormat="1" applyFont="1" applyBorder="1" applyAlignment="1">
      <alignment horizontal="left"/>
    </xf>
    <xf numFmtId="3" fontId="67" fillId="0" borderId="105" xfId="40" applyNumberFormat="1" applyFont="1" applyBorder="1" applyAlignment="1">
      <alignment horizontal="center"/>
    </xf>
    <xf numFmtId="3" fontId="43" fillId="0" borderId="129" xfId="40" applyNumberFormat="1" applyFont="1" applyBorder="1" applyAlignment="1">
      <alignment horizontal="left" vertical="top" wrapText="1"/>
    </xf>
    <xf numFmtId="3" fontId="43" fillId="0" borderId="0" xfId="40" applyNumberFormat="1" applyFont="1" applyAlignment="1">
      <alignment horizontal="left" vertical="top" wrapText="1"/>
    </xf>
    <xf numFmtId="3" fontId="43" fillId="0" borderId="130" xfId="40" applyNumberFormat="1" applyFont="1" applyBorder="1" applyAlignment="1">
      <alignment horizontal="left"/>
    </xf>
    <xf numFmtId="3" fontId="43" fillId="0" borderId="75" xfId="40" applyNumberFormat="1" applyFont="1" applyBorder="1" applyAlignment="1">
      <alignment horizontal="left" vertical="top" wrapText="1"/>
    </xf>
    <xf numFmtId="3" fontId="43" fillId="0" borderId="129" xfId="40" applyNumberFormat="1" applyFont="1" applyBorder="1" applyAlignment="1">
      <alignment horizontal="left"/>
    </xf>
    <xf numFmtId="3" fontId="43" fillId="0" borderId="75" xfId="40" applyNumberFormat="1" applyFont="1" applyBorder="1" applyAlignment="1">
      <alignment horizontal="left"/>
    </xf>
    <xf numFmtId="3" fontId="67" fillId="0" borderId="129" xfId="40" applyNumberFormat="1" applyFont="1" applyBorder="1" applyAlignment="1">
      <alignment horizontal="left"/>
    </xf>
    <xf numFmtId="3" fontId="67" fillId="0" borderId="0" xfId="40" applyNumberFormat="1" applyFont="1" applyAlignment="1">
      <alignment horizontal="left"/>
    </xf>
    <xf numFmtId="3" fontId="67" fillId="0" borderId="75" xfId="40" applyNumberFormat="1" applyFont="1" applyBorder="1" applyAlignment="1">
      <alignment horizontal="left"/>
    </xf>
    <xf numFmtId="3" fontId="67" fillId="0" borderId="131" xfId="40" applyNumberFormat="1" applyFont="1" applyBorder="1" applyAlignment="1">
      <alignment horizontal="center"/>
    </xf>
    <xf numFmtId="3" fontId="67" fillId="0" borderId="117" xfId="40" applyNumberFormat="1" applyFont="1" applyBorder="1" applyAlignment="1">
      <alignment horizontal="center"/>
    </xf>
    <xf numFmtId="3" fontId="43" fillId="0" borderId="0" xfId="40" applyNumberFormat="1" applyFont="1" applyAlignment="1">
      <alignment horizontal="center" vertical="top" wrapText="1"/>
    </xf>
    <xf numFmtId="10" fontId="67" fillId="22" borderId="94" xfId="40" applyNumberFormat="1" applyFont="1" applyFill="1" applyBorder="1" applyAlignment="1">
      <alignment horizontal="center"/>
    </xf>
    <xf numFmtId="3" fontId="67" fillId="22" borderId="94" xfId="40" applyNumberFormat="1" applyFont="1" applyFill="1" applyBorder="1" applyAlignment="1">
      <alignment horizontal="center"/>
    </xf>
    <xf numFmtId="10" fontId="43" fillId="0" borderId="94" xfId="40" applyNumberFormat="1" applyFont="1" applyBorder="1" applyAlignment="1">
      <alignment horizontal="center"/>
    </xf>
    <xf numFmtId="189" fontId="31" fillId="0" borderId="0" xfId="0" applyNumberFormat="1" applyFont="1" applyAlignment="1">
      <alignment vertical="center"/>
    </xf>
    <xf numFmtId="186" fontId="30" fillId="0" borderId="0" xfId="1" applyNumberFormat="1" applyFont="1" applyAlignment="1">
      <alignment vertical="center" wrapText="1"/>
    </xf>
    <xf numFmtId="186" fontId="30" fillId="0" borderId="0" xfId="2" applyNumberFormat="1" applyFont="1" applyAlignment="1">
      <alignment vertical="center" wrapText="1"/>
    </xf>
    <xf numFmtId="186" fontId="21" fillId="11" borderId="38" xfId="0" applyNumberFormat="1" applyFont="1" applyFill="1" applyBorder="1" applyAlignment="1">
      <alignment horizontal="center" vertical="center"/>
    </xf>
    <xf numFmtId="186" fontId="21" fillId="11" borderId="21" xfId="0" applyNumberFormat="1" applyFont="1" applyFill="1" applyBorder="1" applyAlignment="1">
      <alignment vertical="center"/>
    </xf>
    <xf numFmtId="186" fontId="64" fillId="11" borderId="21" xfId="1" applyNumberFormat="1" applyFont="1" applyFill="1" applyBorder="1" applyAlignment="1">
      <alignment horizontal="center" vertical="center" wrapText="1"/>
    </xf>
    <xf numFmtId="186" fontId="64" fillId="11" borderId="21" xfId="2" applyNumberFormat="1" applyFont="1" applyFill="1" applyBorder="1" applyAlignment="1">
      <alignment horizontal="center" vertical="center" wrapText="1"/>
    </xf>
    <xf numFmtId="186" fontId="30" fillId="0" borderId="0" xfId="1" applyNumberFormat="1" applyFont="1" applyBorder="1" applyAlignment="1">
      <alignment vertical="center" wrapText="1"/>
    </xf>
    <xf numFmtId="186" fontId="30" fillId="0" borderId="0" xfId="2" applyNumberFormat="1" applyFont="1" applyBorder="1" applyAlignment="1">
      <alignment vertical="center" wrapText="1"/>
    </xf>
    <xf numFmtId="186" fontId="32" fillId="12" borderId="21" xfId="1" applyNumberFormat="1" applyFont="1" applyFill="1" applyBorder="1" applyAlignment="1">
      <alignment vertical="center" wrapText="1"/>
    </xf>
    <xf numFmtId="186" fontId="32" fillId="12" borderId="21" xfId="2" applyNumberFormat="1" applyFont="1" applyFill="1" applyBorder="1" applyAlignment="1">
      <alignment vertical="center" wrapText="1"/>
    </xf>
    <xf numFmtId="186" fontId="30" fillId="0" borderId="21" xfId="2" applyNumberFormat="1" applyFont="1" applyFill="1" applyBorder="1" applyAlignment="1">
      <alignment vertical="center" wrapText="1"/>
    </xf>
    <xf numFmtId="186" fontId="32" fillId="0" borderId="21" xfId="2" applyNumberFormat="1" applyFont="1" applyFill="1" applyBorder="1" applyAlignment="1">
      <alignment vertical="center" wrapText="1"/>
    </xf>
    <xf numFmtId="186" fontId="30" fillId="5" borderId="21" xfId="2" applyNumberFormat="1" applyFont="1" applyFill="1" applyBorder="1" applyAlignment="1">
      <alignment vertical="center" wrapText="1"/>
    </xf>
    <xf numFmtId="186" fontId="32" fillId="3" borderId="21" xfId="2" applyNumberFormat="1" applyFont="1" applyFill="1" applyBorder="1" applyAlignment="1">
      <alignment vertical="center" wrapText="1"/>
    </xf>
    <xf numFmtId="186" fontId="30" fillId="5" borderId="21" xfId="3" applyNumberFormat="1" applyFont="1" applyFill="1" applyBorder="1" applyAlignment="1">
      <alignment vertical="center" wrapText="1"/>
    </xf>
    <xf numFmtId="186" fontId="30" fillId="12" borderId="21" xfId="2" applyNumberFormat="1" applyFont="1" applyFill="1" applyBorder="1" applyAlignment="1">
      <alignment vertical="center" wrapText="1"/>
    </xf>
    <xf numFmtId="186" fontId="30" fillId="5" borderId="21" xfId="1" applyNumberFormat="1" applyFont="1" applyFill="1" applyBorder="1" applyAlignment="1">
      <alignment vertical="center" wrapText="1"/>
    </xf>
    <xf numFmtId="186" fontId="32" fillId="5" borderId="21" xfId="2" applyNumberFormat="1" applyFont="1" applyFill="1" applyBorder="1" applyAlignment="1">
      <alignment vertical="center" wrapText="1"/>
    </xf>
    <xf numFmtId="186" fontId="30" fillId="5" borderId="0" xfId="2" applyNumberFormat="1" applyFont="1" applyFill="1" applyAlignment="1">
      <alignment vertical="center" wrapText="1"/>
    </xf>
    <xf numFmtId="186" fontId="31" fillId="5" borderId="0" xfId="0" applyNumberFormat="1" applyFont="1" applyFill="1" applyAlignment="1">
      <alignment vertical="center"/>
    </xf>
    <xf numFmtId="186" fontId="31" fillId="0" borderId="0" xfId="0" applyNumberFormat="1" applyFont="1" applyAlignment="1">
      <alignment vertical="center"/>
    </xf>
    <xf numFmtId="9" fontId="30" fillId="5" borderId="0" xfId="3" applyFont="1" applyFill="1" applyAlignment="1">
      <alignment vertical="center" wrapText="1"/>
    </xf>
    <xf numFmtId="10" fontId="30" fillId="5" borderId="21" xfId="3" applyNumberFormat="1" applyFont="1" applyFill="1" applyBorder="1" applyAlignment="1">
      <alignment vertical="center" wrapText="1"/>
    </xf>
    <xf numFmtId="2" fontId="30" fillId="0" borderId="21" xfId="1" applyNumberFormat="1" applyFont="1" applyFill="1" applyBorder="1" applyAlignment="1">
      <alignment vertical="center" wrapText="1"/>
    </xf>
    <xf numFmtId="2" fontId="32" fillId="12" borderId="21" xfId="1" applyNumberFormat="1" applyFont="1" applyFill="1" applyBorder="1" applyAlignment="1">
      <alignment vertical="center" wrapText="1"/>
    </xf>
    <xf numFmtId="2" fontId="32" fillId="3" borderId="21" xfId="1" applyNumberFormat="1" applyFont="1" applyFill="1" applyBorder="1" applyAlignment="1">
      <alignment vertical="center" wrapText="1"/>
    </xf>
    <xf numFmtId="186" fontId="21" fillId="11" borderId="21" xfId="0" applyNumberFormat="1" applyFont="1" applyFill="1" applyBorder="1" applyAlignment="1">
      <alignment horizontal="center" vertical="center"/>
    </xf>
    <xf numFmtId="0" fontId="21" fillId="11" borderId="26" xfId="0" applyFont="1" applyFill="1" applyBorder="1" applyAlignment="1">
      <alignment horizontal="center" vertical="center" wrapText="1"/>
    </xf>
    <xf numFmtId="0" fontId="21" fillId="11" borderId="27" xfId="0" applyFont="1" applyFill="1" applyBorder="1" applyAlignment="1">
      <alignment horizontal="center" vertical="center" wrapText="1"/>
    </xf>
    <xf numFmtId="0" fontId="21" fillId="11" borderId="9" xfId="0" applyFont="1" applyFill="1" applyBorder="1" applyAlignment="1">
      <alignment horizontal="center" vertical="center" wrapText="1"/>
    </xf>
    <xf numFmtId="0" fontId="21" fillId="11" borderId="55" xfId="0" applyFont="1" applyFill="1" applyBorder="1" applyAlignment="1">
      <alignment horizontal="center" vertical="center" wrapText="1"/>
    </xf>
    <xf numFmtId="0" fontId="21" fillId="11" borderId="8" xfId="0" applyFont="1" applyFill="1" applyBorder="1" applyAlignment="1">
      <alignment horizontal="center" vertical="center" wrapText="1"/>
    </xf>
    <xf numFmtId="0" fontId="53" fillId="11" borderId="0" xfId="0" applyFont="1" applyFill="1" applyAlignment="1">
      <alignment horizontal="center" wrapText="1"/>
    </xf>
    <xf numFmtId="49" fontId="2" fillId="0" borderId="58" xfId="19" applyNumberFormat="1" applyBorder="1" applyAlignment="1">
      <alignment horizontal="left" wrapText="1"/>
    </xf>
    <xf numFmtId="49" fontId="17" fillId="12" borderId="58" xfId="19" applyNumberFormat="1" applyFont="1" applyFill="1" applyBorder="1" applyAlignment="1">
      <alignment horizontal="left" wrapText="1"/>
    </xf>
    <xf numFmtId="49" fontId="2" fillId="0" borderId="69" xfId="19" applyNumberFormat="1" applyBorder="1" applyAlignment="1">
      <alignment horizontal="center" wrapText="1"/>
    </xf>
    <xf numFmtId="49" fontId="2" fillId="0" borderId="70" xfId="19" applyNumberFormat="1" applyBorder="1" applyAlignment="1">
      <alignment horizontal="center" wrapText="1"/>
    </xf>
    <xf numFmtId="49" fontId="2" fillId="0" borderId="58" xfId="19" applyNumberFormat="1" applyBorder="1" applyAlignment="1">
      <alignment horizontal="left" vertical="center" wrapText="1"/>
    </xf>
    <xf numFmtId="49" fontId="54" fillId="0" borderId="69" xfId="19" applyNumberFormat="1" applyFont="1" applyBorder="1" applyAlignment="1">
      <alignment horizontal="left" vertical="top" wrapText="1"/>
    </xf>
    <xf numFmtId="49" fontId="54" fillId="0" borderId="70" xfId="19" applyNumberFormat="1" applyFont="1" applyBorder="1" applyAlignment="1">
      <alignment horizontal="left" vertical="top" wrapText="1"/>
    </xf>
    <xf numFmtId="49" fontId="58" fillId="0" borderId="58" xfId="19" applyNumberFormat="1" applyFont="1" applyBorder="1" applyAlignment="1">
      <alignment horizontal="left" wrapText="1"/>
    </xf>
    <xf numFmtId="49" fontId="17" fillId="11" borderId="21" xfId="19" applyNumberFormat="1" applyFont="1" applyFill="1" applyBorder="1" applyAlignment="1">
      <alignment horizontal="center" vertical="center" wrapText="1"/>
    </xf>
    <xf numFmtId="49" fontId="17" fillId="12" borderId="59" xfId="19" applyNumberFormat="1" applyFont="1" applyFill="1" applyBorder="1" applyAlignment="1">
      <alignment horizontal="left" wrapText="1"/>
    </xf>
    <xf numFmtId="0" fontId="53" fillId="5" borderId="0" xfId="0" applyFont="1" applyFill="1" applyAlignment="1">
      <alignment horizontal="left"/>
    </xf>
    <xf numFmtId="0" fontId="57" fillId="5" borderId="0" xfId="6" applyFont="1" applyFill="1" applyBorder="1" applyAlignment="1"/>
    <xf numFmtId="0" fontId="54" fillId="5" borderId="0" xfId="0" applyFont="1" applyFill="1"/>
    <xf numFmtId="168" fontId="54" fillId="11" borderId="0" xfId="1" applyNumberFormat="1" applyFont="1" applyFill="1" applyAlignment="1">
      <alignment horizontal="center" vertical="center"/>
    </xf>
    <xf numFmtId="49" fontId="2" fillId="0" borderId="88" xfId="19" applyNumberFormat="1" applyBorder="1" applyAlignment="1">
      <alignment horizontal="left" wrapText="1"/>
    </xf>
    <xf numFmtId="49" fontId="54" fillId="0" borderId="69" xfId="19" applyNumberFormat="1" applyFont="1" applyBorder="1" applyAlignment="1">
      <alignment horizontal="center" vertical="top" wrapText="1"/>
    </xf>
    <xf numFmtId="49" fontId="54" fillId="0" borderId="70" xfId="19" applyNumberFormat="1" applyFont="1" applyBorder="1" applyAlignment="1">
      <alignment horizontal="center" vertical="top" wrapText="1"/>
    </xf>
    <xf numFmtId="49" fontId="2" fillId="0" borderId="69" xfId="19" applyNumberFormat="1" applyBorder="1" applyAlignment="1">
      <alignment horizontal="left" wrapText="1"/>
    </xf>
    <xf numFmtId="49" fontId="2" fillId="0" borderId="70" xfId="19" applyNumberFormat="1" applyBorder="1" applyAlignment="1">
      <alignment horizontal="left" wrapText="1"/>
    </xf>
    <xf numFmtId="10" fontId="17" fillId="11" borderId="65" xfId="20" applyNumberFormat="1" applyFont="1" applyFill="1" applyBorder="1" applyAlignment="1">
      <alignment horizontal="center"/>
    </xf>
    <xf numFmtId="10" fontId="17" fillId="11" borderId="64" xfId="20" applyNumberFormat="1" applyFont="1" applyFill="1" applyBorder="1" applyAlignment="1">
      <alignment horizontal="center"/>
    </xf>
    <xf numFmtId="10" fontId="17" fillId="11" borderId="9" xfId="20" applyNumberFormat="1" applyFont="1" applyFill="1" applyBorder="1" applyAlignment="1">
      <alignment horizontal="center"/>
    </xf>
    <xf numFmtId="10" fontId="17" fillId="11" borderId="8" xfId="20" applyNumberFormat="1" applyFont="1" applyFill="1" applyBorder="1" applyAlignment="1">
      <alignment horizontal="center"/>
    </xf>
    <xf numFmtId="3" fontId="17" fillId="0" borderId="80" xfId="19" applyNumberFormat="1" applyFont="1" applyBorder="1" applyAlignment="1">
      <alignment horizontal="right" vertical="center"/>
    </xf>
    <xf numFmtId="3" fontId="17" fillId="0" borderId="81" xfId="19" applyNumberFormat="1" applyFont="1" applyBorder="1" applyAlignment="1">
      <alignment horizontal="right" vertical="center"/>
    </xf>
    <xf numFmtId="3" fontId="17" fillId="0" borderId="70" xfId="19" applyNumberFormat="1" applyFont="1" applyBorder="1" applyAlignment="1">
      <alignment horizontal="right" vertical="center"/>
    </xf>
    <xf numFmtId="3" fontId="17" fillId="0" borderId="58" xfId="19" applyNumberFormat="1" applyFont="1" applyBorder="1" applyAlignment="1">
      <alignment horizontal="right" vertical="center"/>
    </xf>
    <xf numFmtId="3" fontId="17" fillId="0" borderId="57" xfId="19" applyNumberFormat="1" applyFont="1" applyBorder="1" applyAlignment="1">
      <alignment horizontal="right" vertical="center"/>
    </xf>
    <xf numFmtId="3" fontId="17" fillId="0" borderId="90" xfId="19" applyNumberFormat="1" applyFont="1" applyBorder="1" applyAlignment="1">
      <alignment horizontal="right" vertical="center"/>
    </xf>
    <xf numFmtId="49" fontId="17" fillId="18" borderId="69" xfId="19" applyNumberFormat="1" applyFont="1" applyFill="1" applyBorder="1" applyAlignment="1">
      <alignment horizontal="left" wrapText="1"/>
    </xf>
    <xf numFmtId="49" fontId="17" fillId="18" borderId="70" xfId="19" applyNumberFormat="1" applyFont="1" applyFill="1" applyBorder="1" applyAlignment="1">
      <alignment horizontal="left" wrapText="1"/>
    </xf>
    <xf numFmtId="49" fontId="17" fillId="12" borderId="21" xfId="19" applyNumberFormat="1" applyFont="1" applyFill="1" applyBorder="1" applyAlignment="1">
      <alignment horizontal="center" vertical="center" wrapText="1"/>
    </xf>
    <xf numFmtId="0" fontId="17" fillId="12" borderId="21" xfId="19" applyNumberFormat="1" applyFont="1" applyFill="1" applyBorder="1" applyAlignment="1">
      <alignment horizontal="center" vertical="center" wrapText="1"/>
    </xf>
    <xf numFmtId="3" fontId="43" fillId="0" borderId="125" xfId="39" applyNumberFormat="1" applyFont="1" applyBorder="1" applyAlignment="1">
      <alignment horizontal="left"/>
    </xf>
    <xf numFmtId="0" fontId="66" fillId="0" borderId="0" xfId="39"/>
    <xf numFmtId="0" fontId="2" fillId="0" borderId="126" xfId="39" applyFont="1" applyBorder="1"/>
    <xf numFmtId="3" fontId="43" fillId="0" borderId="125" xfId="39" applyNumberFormat="1" applyFont="1" applyBorder="1" applyAlignment="1">
      <alignment horizontal="left" vertical="top" wrapText="1"/>
    </xf>
    <xf numFmtId="0" fontId="2" fillId="0" borderId="125" xfId="39" applyFont="1" applyBorder="1"/>
    <xf numFmtId="3" fontId="67" fillId="0" borderId="121" xfId="39" applyNumberFormat="1" applyFont="1" applyBorder="1" applyAlignment="1">
      <alignment horizontal="center"/>
    </xf>
    <xf numFmtId="0" fontId="2" fillId="0" borderId="124" xfId="39" applyFont="1" applyBorder="1"/>
    <xf numFmtId="0" fontId="2" fillId="0" borderId="122" xfId="39" applyFont="1" applyBorder="1"/>
    <xf numFmtId="0" fontId="43" fillId="0" borderId="0" xfId="39" applyFont="1" applyAlignment="1">
      <alignment wrapText="1"/>
    </xf>
    <xf numFmtId="0" fontId="43" fillId="0" borderId="0" xfId="39" applyFont="1" applyAlignment="1">
      <alignment horizontal="left"/>
    </xf>
    <xf numFmtId="0" fontId="43" fillId="0" borderId="0" xfId="39" applyFont="1" applyAlignment="1">
      <alignment horizontal="center" vertical="center" wrapText="1"/>
    </xf>
    <xf numFmtId="0" fontId="43" fillId="0" borderId="95" xfId="39" applyFont="1" applyBorder="1" applyAlignment="1">
      <alignment horizontal="left" vertical="center" wrapText="1"/>
    </xf>
    <xf numFmtId="0" fontId="2" fillId="0" borderId="96" xfId="39" applyFont="1" applyBorder="1" applyAlignment="1">
      <alignment vertical="center"/>
    </xf>
    <xf numFmtId="0" fontId="2" fillId="0" borderId="97" xfId="39" applyFont="1" applyBorder="1" applyAlignment="1">
      <alignment vertical="center"/>
    </xf>
    <xf numFmtId="3" fontId="67" fillId="0" borderId="110" xfId="39" applyNumberFormat="1" applyFont="1" applyBorder="1" applyAlignment="1">
      <alignment horizontal="left"/>
    </xf>
    <xf numFmtId="0" fontId="54" fillId="0" borderId="111" xfId="39" applyFont="1" applyBorder="1"/>
    <xf numFmtId="3" fontId="67" fillId="0" borderId="113" xfId="39" applyNumberFormat="1" applyFont="1" applyBorder="1" applyAlignment="1">
      <alignment horizontal="left"/>
    </xf>
    <xf numFmtId="0" fontId="54" fillId="0" borderId="97" xfId="39" applyFont="1" applyBorder="1"/>
    <xf numFmtId="3" fontId="67" fillId="0" borderId="115" xfId="39" applyNumberFormat="1" applyFont="1" applyBorder="1" applyAlignment="1">
      <alignment horizontal="left"/>
    </xf>
    <xf numFmtId="0" fontId="54" fillId="0" borderId="116" xfId="39" applyFont="1" applyBorder="1"/>
    <xf numFmtId="3" fontId="43" fillId="0" borderId="0" xfId="39" applyNumberFormat="1" applyFont="1" applyAlignment="1">
      <alignment horizontal="left"/>
    </xf>
    <xf numFmtId="3" fontId="67" fillId="0" borderId="0" xfId="39" applyNumberFormat="1" applyFont="1" applyAlignment="1">
      <alignment horizontal="center"/>
    </xf>
    <xf numFmtId="3" fontId="68" fillId="0" borderId="78" xfId="39" applyNumberFormat="1" applyFont="1" applyBorder="1" applyAlignment="1">
      <alignment horizontal="center"/>
    </xf>
    <xf numFmtId="0" fontId="2" fillId="0" borderId="79" xfId="39" applyFont="1" applyBorder="1"/>
    <xf numFmtId="0" fontId="2" fillId="0" borderId="77" xfId="39" applyFont="1" applyBorder="1"/>
    <xf numFmtId="0" fontId="43" fillId="0" borderId="0" xfId="39" applyFont="1" applyAlignment="1">
      <alignment horizontal="left" vertical="center" wrapText="1"/>
    </xf>
    <xf numFmtId="0" fontId="66" fillId="0" borderId="0" xfId="39" applyAlignment="1">
      <alignment horizontal="left"/>
    </xf>
    <xf numFmtId="0" fontId="56" fillId="11" borderId="9" xfId="0" applyFont="1" applyFill="1" applyBorder="1" applyAlignment="1">
      <alignment horizontal="center" vertical="top" wrapText="1"/>
    </xf>
    <xf numFmtId="0" fontId="56" fillId="11" borderId="55" xfId="0" applyFont="1" applyFill="1" applyBorder="1" applyAlignment="1">
      <alignment horizontal="center" vertical="top" wrapText="1"/>
    </xf>
    <xf numFmtId="0" fontId="17" fillId="0" borderId="21" xfId="30" applyFont="1" applyBorder="1" applyAlignment="1">
      <alignment horizontal="center" vertical="center"/>
    </xf>
    <xf numFmtId="0" fontId="17" fillId="11" borderId="66" xfId="38" applyFont="1" applyFill="1" applyBorder="1" applyAlignment="1">
      <alignment horizontal="center" vertical="center" wrapText="1"/>
    </xf>
    <xf numFmtId="0" fontId="17" fillId="11" borderId="67" xfId="38" applyFont="1" applyFill="1" applyBorder="1" applyAlignment="1">
      <alignment horizontal="center" vertical="center" wrapText="1"/>
    </xf>
    <xf numFmtId="0" fontId="17" fillId="11" borderId="63" xfId="38" applyFont="1" applyFill="1" applyBorder="1" applyAlignment="1">
      <alignment horizontal="center" vertical="center" wrapText="1"/>
    </xf>
    <xf numFmtId="0" fontId="17" fillId="11" borderId="65" xfId="38" applyFont="1" applyFill="1" applyBorder="1" applyAlignment="1">
      <alignment horizontal="center" vertical="center" wrapText="1"/>
    </xf>
    <xf numFmtId="0" fontId="17" fillId="11" borderId="42" xfId="38" applyFont="1" applyFill="1" applyBorder="1" applyAlignment="1">
      <alignment horizontal="center" vertical="center" wrapText="1"/>
    </xf>
    <xf numFmtId="0" fontId="17" fillId="11" borderId="64" xfId="38" applyFont="1" applyFill="1" applyBorder="1" applyAlignment="1">
      <alignment horizontal="center" vertical="center" wrapText="1"/>
    </xf>
    <xf numFmtId="0" fontId="17" fillId="11" borderId="47" xfId="30" applyFont="1" applyFill="1" applyBorder="1" applyAlignment="1">
      <alignment horizontal="center" vertical="center"/>
    </xf>
    <xf numFmtId="0" fontId="53" fillId="8" borderId="21" xfId="30" applyFont="1" applyFill="1" applyBorder="1" applyAlignment="1">
      <alignment horizontal="center" vertical="center"/>
    </xf>
    <xf numFmtId="0" fontId="56" fillId="13" borderId="6" xfId="0" applyFont="1" applyFill="1" applyBorder="1" applyAlignment="1">
      <alignment horizontal="center" wrapText="1"/>
    </xf>
    <xf numFmtId="0" fontId="56" fillId="13" borderId="7" xfId="0" applyFont="1" applyFill="1" applyBorder="1" applyAlignment="1">
      <alignment horizontal="center" wrapText="1"/>
    </xf>
    <xf numFmtId="0" fontId="56" fillId="13" borderId="2" xfId="0" applyFont="1" applyFill="1" applyBorder="1" applyAlignment="1">
      <alignment horizontal="center" wrapText="1"/>
    </xf>
    <xf numFmtId="0" fontId="56" fillId="11" borderId="6" xfId="0" applyFont="1" applyFill="1" applyBorder="1" applyAlignment="1">
      <alignment horizontal="center" wrapText="1"/>
    </xf>
    <xf numFmtId="0" fontId="56" fillId="11" borderId="7" xfId="0" applyFont="1" applyFill="1" applyBorder="1" applyAlignment="1">
      <alignment horizontal="center" wrapText="1"/>
    </xf>
    <xf numFmtId="0" fontId="56" fillId="11" borderId="2" xfId="0" applyFont="1" applyFill="1" applyBorder="1" applyAlignment="1">
      <alignment horizontal="center" wrapText="1"/>
    </xf>
    <xf numFmtId="0" fontId="17" fillId="11" borderId="58" xfId="26" applyFont="1" applyFill="1" applyBorder="1" applyAlignment="1">
      <alignment horizontal="center" vertical="center" wrapText="1"/>
    </xf>
    <xf numFmtId="0" fontId="17" fillId="12" borderId="58" xfId="28" applyNumberFormat="1" applyFont="1" applyFill="1" applyBorder="1" applyAlignment="1">
      <alignment horizontal="center" vertical="center" wrapText="1"/>
    </xf>
    <xf numFmtId="179" fontId="17" fillId="11" borderId="58" xfId="30" applyNumberFormat="1" applyFont="1" applyFill="1" applyBorder="1" applyAlignment="1">
      <alignment horizontal="center" vertical="center"/>
    </xf>
    <xf numFmtId="179" fontId="17" fillId="11" borderId="58" xfId="30" applyNumberFormat="1" applyFont="1" applyFill="1" applyBorder="1" applyAlignment="1">
      <alignment horizontal="center" vertical="center" wrapText="1"/>
    </xf>
    <xf numFmtId="179" fontId="17" fillId="11" borderId="69" xfId="30" applyNumberFormat="1" applyFont="1" applyFill="1" applyBorder="1" applyAlignment="1">
      <alignment horizontal="center" vertical="center"/>
    </xf>
    <xf numFmtId="179" fontId="17" fillId="11" borderId="70" xfId="30" applyNumberFormat="1" applyFont="1" applyFill="1" applyBorder="1" applyAlignment="1">
      <alignment horizontal="center" vertical="center"/>
    </xf>
    <xf numFmtId="49" fontId="17" fillId="18" borderId="69" xfId="19" applyNumberFormat="1" applyFont="1" applyFill="1" applyBorder="1" applyAlignment="1">
      <alignment horizontal="center" wrapText="1"/>
    </xf>
    <xf numFmtId="49" fontId="17" fillId="18" borderId="70" xfId="19" applyNumberFormat="1" applyFont="1" applyFill="1" applyBorder="1" applyAlignment="1">
      <alignment horizontal="center" wrapText="1"/>
    </xf>
    <xf numFmtId="49" fontId="17" fillId="18" borderId="58" xfId="19" applyNumberFormat="1" applyFont="1" applyFill="1" applyBorder="1" applyAlignment="1">
      <alignment horizontal="left" wrapText="1"/>
    </xf>
    <xf numFmtId="0" fontId="2" fillId="0" borderId="58" xfId="0" applyFont="1" applyBorder="1" applyAlignment="1">
      <alignment horizontal="center" vertical="center" wrapText="1"/>
    </xf>
    <xf numFmtId="0" fontId="53" fillId="11" borderId="58" xfId="0" applyFont="1" applyFill="1" applyBorder="1" applyAlignment="1">
      <alignment horizontal="center" vertical="center" wrapText="1"/>
    </xf>
    <xf numFmtId="0" fontId="54" fillId="18" borderId="58" xfId="0" applyFont="1" applyFill="1" applyBorder="1" applyAlignment="1">
      <alignment horizontal="center"/>
    </xf>
    <xf numFmtId="49" fontId="2" fillId="0" borderId="58" xfId="19" applyNumberFormat="1" applyBorder="1" applyAlignment="1">
      <alignment horizontal="center" vertical="center" wrapText="1"/>
    </xf>
    <xf numFmtId="3" fontId="43" fillId="0" borderId="125" xfId="40" applyNumberFormat="1" applyFont="1" applyBorder="1" applyAlignment="1">
      <alignment horizontal="left"/>
    </xf>
    <xf numFmtId="0" fontId="55" fillId="0" borderId="0" xfId="40"/>
    <xf numFmtId="0" fontId="2" fillId="0" borderId="126" xfId="40" applyFont="1" applyBorder="1"/>
    <xf numFmtId="3" fontId="43" fillId="0" borderId="125" xfId="40" applyNumberFormat="1" applyFont="1" applyBorder="1" applyAlignment="1">
      <alignment horizontal="left" vertical="top" wrapText="1"/>
    </xf>
    <xf numFmtId="0" fontId="2" fillId="0" borderId="125" xfId="40" applyFont="1" applyBorder="1"/>
    <xf numFmtId="3" fontId="67" fillId="0" borderId="121" xfId="40" applyNumberFormat="1" applyFont="1" applyBorder="1" applyAlignment="1">
      <alignment horizontal="center"/>
    </xf>
    <xf numFmtId="0" fontId="2" fillId="0" borderId="124" xfId="40" applyFont="1" applyBorder="1"/>
    <xf numFmtId="0" fontId="2" fillId="0" borderId="122" xfId="40" applyFont="1" applyBorder="1"/>
    <xf numFmtId="0" fontId="43" fillId="0" borderId="0" xfId="40" applyFont="1" applyAlignment="1">
      <alignment wrapText="1"/>
    </xf>
    <xf numFmtId="0" fontId="43" fillId="0" borderId="0" xfId="40" applyFont="1" applyAlignment="1">
      <alignment horizontal="left"/>
    </xf>
    <xf numFmtId="0" fontId="43" fillId="0" borderId="0" xfId="40" applyFont="1" applyAlignment="1">
      <alignment horizontal="center" vertical="center" wrapText="1"/>
    </xf>
    <xf numFmtId="0" fontId="43" fillId="0" borderId="95" xfId="40" applyFont="1" applyBorder="1" applyAlignment="1">
      <alignment horizontal="left" vertical="center" wrapText="1"/>
    </xf>
    <xf numFmtId="0" fontId="2" fillId="0" borderId="96" xfId="40" applyFont="1" applyBorder="1" applyAlignment="1">
      <alignment vertical="center"/>
    </xf>
    <xf numFmtId="0" fontId="2" fillId="0" borderId="97" xfId="40" applyFont="1" applyBorder="1" applyAlignment="1">
      <alignment vertical="center"/>
    </xf>
    <xf numFmtId="3" fontId="67" fillId="0" borderId="110" xfId="40" applyNumberFormat="1" applyFont="1" applyBorder="1" applyAlignment="1">
      <alignment horizontal="left"/>
    </xf>
    <xf numFmtId="0" fontId="54" fillId="0" borderId="111" xfId="40" applyFont="1" applyBorder="1"/>
    <xf numFmtId="3" fontId="67" fillId="0" borderId="113" xfId="40" applyNumberFormat="1" applyFont="1" applyBorder="1" applyAlignment="1">
      <alignment horizontal="left"/>
    </xf>
    <xf numFmtId="0" fontId="54" fillId="0" borderId="97" xfId="40" applyFont="1" applyBorder="1"/>
    <xf numFmtId="3" fontId="67" fillId="0" borderId="115" xfId="40" applyNumberFormat="1" applyFont="1" applyBorder="1" applyAlignment="1">
      <alignment horizontal="left"/>
    </xf>
    <xf numFmtId="0" fontId="54" fillId="0" borderId="116" xfId="40" applyFont="1" applyBorder="1"/>
    <xf numFmtId="3" fontId="43" fillId="0" borderId="0" xfId="40" applyNumberFormat="1" applyFont="1" applyAlignment="1">
      <alignment horizontal="left"/>
    </xf>
    <xf numFmtId="3" fontId="67" fillId="0" borderId="0" xfId="40" applyNumberFormat="1" applyFont="1" applyAlignment="1">
      <alignment horizontal="center"/>
    </xf>
    <xf numFmtId="3" fontId="68" fillId="0" borderId="78" xfId="40" applyNumberFormat="1" applyFont="1" applyBorder="1" applyAlignment="1">
      <alignment horizontal="center"/>
    </xf>
    <xf numFmtId="0" fontId="2" fillId="0" borderId="79" xfId="40" applyFont="1" applyBorder="1"/>
    <xf numFmtId="0" fontId="2" fillId="0" borderId="77" xfId="40" applyFont="1" applyBorder="1"/>
    <xf numFmtId="0" fontId="53" fillId="11" borderId="21" xfId="0" applyFont="1" applyFill="1" applyBorder="1" applyAlignment="1">
      <alignment horizontal="center" vertical="center" wrapText="1"/>
    </xf>
    <xf numFmtId="0" fontId="54" fillId="5" borderId="0" xfId="0" applyFont="1" applyFill="1" applyAlignment="1">
      <alignment horizontal="center" vertical="center" wrapText="1"/>
    </xf>
    <xf numFmtId="0" fontId="57" fillId="5" borderId="0" xfId="6" applyFont="1" applyFill="1" applyBorder="1" applyAlignment="1">
      <alignment horizontal="center" vertical="center" wrapText="1"/>
    </xf>
    <xf numFmtId="0" fontId="54" fillId="5" borderId="21" xfId="0" applyFont="1" applyFill="1" applyBorder="1" applyAlignment="1">
      <alignment horizontal="left" vertical="center" wrapText="1"/>
    </xf>
    <xf numFmtId="0" fontId="54" fillId="12" borderId="21" xfId="0" applyFont="1" applyFill="1" applyBorder="1" applyAlignment="1">
      <alignment horizontal="center" vertical="center" wrapText="1"/>
    </xf>
    <xf numFmtId="0" fontId="60" fillId="0" borderId="9" xfId="0" applyFont="1" applyBorder="1" applyAlignment="1">
      <alignment horizontal="center" vertical="center" wrapText="1"/>
    </xf>
    <xf numFmtId="0" fontId="60" fillId="0" borderId="55" xfId="0" applyFont="1" applyBorder="1" applyAlignment="1">
      <alignment horizontal="center" vertical="center" wrapText="1"/>
    </xf>
    <xf numFmtId="0" fontId="60" fillId="0" borderId="8" xfId="0" applyFont="1" applyBorder="1" applyAlignment="1">
      <alignment horizontal="center" vertical="center" wrapText="1"/>
    </xf>
    <xf numFmtId="0" fontId="53" fillId="12" borderId="21" xfId="0" applyFont="1" applyFill="1" applyBorder="1" applyAlignment="1">
      <alignment horizontal="center" vertical="center" wrapText="1"/>
    </xf>
    <xf numFmtId="0" fontId="51" fillId="0" borderId="78" xfId="0" applyFont="1" applyBorder="1" applyAlignment="1">
      <alignment horizontal="left" vertical="center" wrapText="1"/>
    </xf>
    <xf numFmtId="0" fontId="51" fillId="0" borderId="79" xfId="0" applyFont="1" applyBorder="1" applyAlignment="1">
      <alignment horizontal="left" vertical="center" wrapText="1"/>
    </xf>
    <xf numFmtId="0" fontId="16" fillId="11" borderId="9" xfId="0" applyFont="1" applyFill="1" applyBorder="1" applyAlignment="1">
      <alignment horizontal="center" vertical="center"/>
    </xf>
    <xf numFmtId="0" fontId="16" fillId="11" borderId="55" xfId="0" applyFont="1" applyFill="1" applyBorder="1" applyAlignment="1">
      <alignment horizontal="center" vertical="center"/>
    </xf>
    <xf numFmtId="0" fontId="16" fillId="11" borderId="8" xfId="0" applyFont="1" applyFill="1" applyBorder="1" applyAlignment="1">
      <alignment horizontal="center" vertical="center"/>
    </xf>
    <xf numFmtId="0" fontId="56" fillId="12" borderId="9" xfId="0" applyFont="1" applyFill="1" applyBorder="1" applyAlignment="1">
      <alignment horizontal="center" vertical="center"/>
    </xf>
    <xf numFmtId="0" fontId="56" fillId="12" borderId="55" xfId="0" applyFont="1" applyFill="1" applyBorder="1" applyAlignment="1">
      <alignment horizontal="center" vertical="center"/>
    </xf>
    <xf numFmtId="0" fontId="56" fillId="12" borderId="8" xfId="0" applyFont="1" applyFill="1" applyBorder="1" applyAlignment="1">
      <alignment horizontal="center" vertical="center"/>
    </xf>
    <xf numFmtId="0" fontId="17" fillId="11" borderId="9" xfId="0" applyFont="1" applyFill="1" applyBorder="1" applyAlignment="1">
      <alignment horizontal="center" vertical="center"/>
    </xf>
    <xf numFmtId="0" fontId="17" fillId="11" borderId="55" xfId="0" applyFont="1" applyFill="1" applyBorder="1" applyAlignment="1">
      <alignment horizontal="center" vertical="center"/>
    </xf>
    <xf numFmtId="0" fontId="17" fillId="11" borderId="8" xfId="0" applyFont="1" applyFill="1" applyBorder="1" applyAlignment="1">
      <alignment horizontal="center" vertical="center"/>
    </xf>
    <xf numFmtId="0" fontId="23" fillId="11" borderId="6" xfId="0" applyFont="1" applyFill="1" applyBorder="1" applyAlignment="1">
      <alignment horizontal="center" vertical="center"/>
    </xf>
    <xf numFmtId="0" fontId="23" fillId="11" borderId="7" xfId="0" applyFont="1" applyFill="1" applyBorder="1" applyAlignment="1">
      <alignment horizontal="center" vertical="center"/>
    </xf>
    <xf numFmtId="0" fontId="23" fillId="11" borderId="32" xfId="0" applyFont="1" applyFill="1" applyBorder="1" applyAlignment="1">
      <alignment horizontal="center" vertical="center"/>
    </xf>
    <xf numFmtId="0" fontId="20" fillId="11" borderId="6" xfId="0" applyFont="1" applyFill="1" applyBorder="1" applyAlignment="1">
      <alignment horizontal="center" vertical="center"/>
    </xf>
    <xf numFmtId="0" fontId="20" fillId="11" borderId="7" xfId="0" applyFont="1" applyFill="1" applyBorder="1" applyAlignment="1">
      <alignment horizontal="center" vertical="center"/>
    </xf>
    <xf numFmtId="0" fontId="20" fillId="11" borderId="32" xfId="0" applyFont="1" applyFill="1" applyBorder="1" applyAlignment="1">
      <alignment horizontal="center" vertical="center"/>
    </xf>
    <xf numFmtId="2" fontId="25" fillId="0" borderId="3" xfId="0" applyNumberFormat="1" applyFont="1" applyBorder="1" applyAlignment="1">
      <alignment horizontal="left" vertical="center" wrapText="1"/>
    </xf>
    <xf numFmtId="2" fontId="25" fillId="0" borderId="7" xfId="0" applyNumberFormat="1" applyFont="1" applyBorder="1" applyAlignment="1">
      <alignment horizontal="left" vertical="center" wrapText="1"/>
    </xf>
    <xf numFmtId="0" fontId="24" fillId="0" borderId="7" xfId="0" applyFont="1" applyBorder="1" applyAlignment="1">
      <alignment horizontal="center" vertical="center" wrapText="1"/>
    </xf>
    <xf numFmtId="169" fontId="25" fillId="0" borderId="3" xfId="13" applyFont="1" applyBorder="1" applyAlignment="1">
      <alignment horizontal="center" vertical="center" wrapText="1"/>
    </xf>
    <xf numFmtId="169" fontId="25" fillId="0" borderId="32" xfId="13" applyFont="1" applyBorder="1" applyAlignment="1">
      <alignment horizontal="center" vertical="center" wrapText="1"/>
    </xf>
    <xf numFmtId="0" fontId="29" fillId="0" borderId="20" xfId="0" applyFont="1" applyBorder="1" applyAlignment="1">
      <alignment horizontal="center"/>
    </xf>
    <xf numFmtId="0" fontId="29" fillId="0" borderId="28" xfId="0" applyFont="1" applyBorder="1" applyAlignment="1">
      <alignment horizontal="center"/>
    </xf>
    <xf numFmtId="0" fontId="29" fillId="0" borderId="29" xfId="0" applyFont="1" applyBorder="1" applyAlignment="1">
      <alignment horizontal="center"/>
    </xf>
    <xf numFmtId="0" fontId="29" fillId="0" borderId="6" xfId="0" applyFont="1" applyBorder="1" applyAlignment="1">
      <alignment horizontal="center"/>
    </xf>
    <xf numFmtId="0" fontId="29" fillId="0" borderId="7" xfId="0" applyFont="1" applyBorder="1" applyAlignment="1">
      <alignment horizontal="center"/>
    </xf>
    <xf numFmtId="0" fontId="29" fillId="0" borderId="32" xfId="0" applyFont="1" applyBorder="1" applyAlignment="1">
      <alignment horizontal="center"/>
    </xf>
    <xf numFmtId="10" fontId="26" fillId="0" borderId="14" xfId="5" applyNumberFormat="1" applyFont="1" applyBorder="1" applyAlignment="1">
      <alignment horizontal="center" vertical="center"/>
    </xf>
    <xf numFmtId="10" fontId="26" fillId="0" borderId="11" xfId="5" applyNumberFormat="1" applyFont="1" applyBorder="1" applyAlignment="1">
      <alignment horizontal="center" vertical="center"/>
    </xf>
    <xf numFmtId="0" fontId="26" fillId="0" borderId="14" xfId="0" applyFont="1" applyBorder="1" applyAlignment="1">
      <alignment horizontal="center" vertical="center"/>
    </xf>
    <xf numFmtId="0" fontId="26" fillId="0" borderId="33" xfId="0" applyFont="1" applyBorder="1" applyAlignment="1">
      <alignment horizontal="center" vertical="center"/>
    </xf>
    <xf numFmtId="0" fontId="26" fillId="0" borderId="60" xfId="0" applyFont="1" applyBorder="1" applyAlignment="1">
      <alignment horizontal="center" vertical="center"/>
    </xf>
    <xf numFmtId="0" fontId="26" fillId="0" borderId="40"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23" xfId="0" applyFont="1" applyBorder="1" applyAlignment="1">
      <alignment horizontal="center" vertical="center" wrapText="1"/>
    </xf>
    <xf numFmtId="0" fontId="27" fillId="0" borderId="13" xfId="0" applyFont="1" applyBorder="1" applyAlignment="1">
      <alignment horizontal="center" vertical="center" wrapText="1"/>
    </xf>
    <xf numFmtId="0" fontId="24" fillId="0" borderId="6" xfId="0" applyFont="1" applyBorder="1" applyAlignment="1">
      <alignment horizontal="center" vertical="center"/>
    </xf>
    <xf numFmtId="0" fontId="24" fillId="0" borderId="7" xfId="0" applyFont="1" applyBorder="1" applyAlignment="1">
      <alignment horizontal="center" vertical="center"/>
    </xf>
    <xf numFmtId="0" fontId="24" fillId="0" borderId="32" xfId="0" applyFont="1" applyBorder="1" applyAlignment="1">
      <alignment horizontal="center" vertical="center"/>
    </xf>
    <xf numFmtId="0" fontId="20" fillId="0" borderId="25" xfId="0" applyFont="1" applyBorder="1" applyAlignment="1">
      <alignment horizontal="center"/>
    </xf>
    <xf numFmtId="0" fontId="20" fillId="0" borderId="26" xfId="0" applyFont="1" applyBorder="1" applyAlignment="1">
      <alignment horizontal="center"/>
    </xf>
    <xf numFmtId="0" fontId="20" fillId="0" borderId="27" xfId="0" applyFont="1" applyBorder="1" applyAlignment="1">
      <alignment horizontal="center"/>
    </xf>
    <xf numFmtId="0" fontId="22" fillId="0" borderId="25" xfId="0" applyFont="1" applyBorder="1" applyAlignment="1">
      <alignment horizontal="center"/>
    </xf>
    <xf numFmtId="0" fontId="22" fillId="0" borderId="26" xfId="0" applyFont="1" applyBorder="1" applyAlignment="1">
      <alignment horizontal="center"/>
    </xf>
    <xf numFmtId="0" fontId="22" fillId="0" borderId="27" xfId="0" applyFont="1" applyBorder="1" applyAlignment="1">
      <alignment horizontal="center"/>
    </xf>
    <xf numFmtId="166" fontId="29" fillId="0" borderId="30" xfId="0" applyNumberFormat="1" applyFont="1" applyBorder="1" applyAlignment="1">
      <alignment horizontal="center" vertical="center"/>
    </xf>
    <xf numFmtId="166" fontId="29" fillId="0" borderId="0" xfId="0" applyNumberFormat="1" applyFont="1" applyAlignment="1">
      <alignment horizontal="center" vertical="center"/>
    </xf>
    <xf numFmtId="166" fontId="29" fillId="0" borderId="31" xfId="0" applyNumberFormat="1" applyFont="1" applyBorder="1" applyAlignment="1">
      <alignment horizontal="center" vertical="center"/>
    </xf>
    <xf numFmtId="10" fontId="26" fillId="0" borderId="49" xfId="5" applyNumberFormat="1" applyFont="1" applyBorder="1" applyAlignment="1">
      <alignment horizontal="center" vertical="center"/>
    </xf>
    <xf numFmtId="0" fontId="26" fillId="0" borderId="63" xfId="0" applyFont="1" applyBorder="1" applyAlignment="1">
      <alignment horizontal="center" vertical="center" wrapText="1"/>
    </xf>
    <xf numFmtId="0" fontId="27" fillId="0" borderId="46" xfId="0" applyFont="1" applyBorder="1" applyAlignment="1">
      <alignment horizontal="center" vertical="center" wrapText="1"/>
    </xf>
    <xf numFmtId="0" fontId="24" fillId="0" borderId="20" xfId="0" applyFont="1" applyBorder="1" applyAlignment="1">
      <alignment horizontal="center" vertical="center"/>
    </xf>
    <xf numFmtId="0" fontId="24" fillId="0" borderId="28" xfId="0" applyFont="1" applyBorder="1" applyAlignment="1">
      <alignment horizontal="center" vertical="center"/>
    </xf>
    <xf numFmtId="0" fontId="24" fillId="0" borderId="29" xfId="0" applyFont="1" applyBorder="1" applyAlignment="1">
      <alignment horizontal="center" vertical="center"/>
    </xf>
    <xf numFmtId="0" fontId="26" fillId="0" borderId="38" xfId="0" applyFont="1" applyBorder="1" applyAlignment="1">
      <alignment horizontal="center" vertical="center" wrapText="1"/>
    </xf>
    <xf numFmtId="0" fontId="26" fillId="0" borderId="39" xfId="0" applyFont="1" applyBorder="1" applyAlignment="1">
      <alignment horizontal="center" vertical="center" wrapText="1"/>
    </xf>
    <xf numFmtId="0" fontId="23" fillId="2" borderId="6" xfId="0" applyFont="1" applyFill="1" applyBorder="1" applyAlignment="1">
      <alignment horizontal="center" vertical="center"/>
    </xf>
    <xf numFmtId="0" fontId="23" fillId="2" borderId="7" xfId="0" applyFont="1" applyFill="1" applyBorder="1" applyAlignment="1">
      <alignment horizontal="center" vertical="center"/>
    </xf>
    <xf numFmtId="0" fontId="23" fillId="2" borderId="32" xfId="0" applyFont="1" applyFill="1" applyBorder="1" applyAlignment="1">
      <alignment horizontal="center" vertical="center"/>
    </xf>
    <xf numFmtId="0" fontId="20" fillId="2" borderId="6" xfId="0" applyFont="1" applyFill="1" applyBorder="1" applyAlignment="1">
      <alignment horizontal="center" vertical="center"/>
    </xf>
    <xf numFmtId="0" fontId="20" fillId="2" borderId="7" xfId="0" applyFont="1" applyFill="1" applyBorder="1" applyAlignment="1">
      <alignment horizontal="center" vertical="center"/>
    </xf>
    <xf numFmtId="0" fontId="20" fillId="2" borderId="32" xfId="0" applyFont="1" applyFill="1" applyBorder="1" applyAlignment="1">
      <alignment horizontal="center" vertical="center"/>
    </xf>
  </cellXfs>
  <cellStyles count="41">
    <cellStyle name="Hipervínculo" xfId="6" builtinId="8"/>
    <cellStyle name="Millares" xfId="1" builtinId="3"/>
    <cellStyle name="Millares [0]" xfId="4" builtinId="6"/>
    <cellStyle name="Millares 2 2 2 2" xfId="33" xr:uid="{028B6B4D-C46D-4224-9283-37C078D5D2F7}"/>
    <cellStyle name="Millares 2 2 6" xfId="25" xr:uid="{00000000-0005-0000-0000-000004000000}"/>
    <cellStyle name="Millares 2 5" xfId="15" xr:uid="{00000000-0005-0000-0000-000005000000}"/>
    <cellStyle name="Millares 3 2 3" xfId="22" xr:uid="{00000000-0005-0000-0000-000006000000}"/>
    <cellStyle name="Moneda" xfId="2" builtinId="4"/>
    <cellStyle name="Moneda 2 13" xfId="28" xr:uid="{2F703EBE-BCCB-4997-9302-7A927A22C47C}"/>
    <cellStyle name="Moneda 2 2 2 3" xfId="31" xr:uid="{855B3556-CF3B-470D-8271-557C758AAAC1}"/>
    <cellStyle name="Moneda 3 11" xfId="34" xr:uid="{0FEA1D4F-AF33-407E-BB49-962A5E59BDF7}"/>
    <cellStyle name="Moneda 3 4 2" xfId="35" xr:uid="{1D69045A-523A-4B5C-AE94-6702D7C17558}"/>
    <cellStyle name="Moneda 6" xfId="13" xr:uid="{00000000-0005-0000-0000-000008000000}"/>
    <cellStyle name="Moneda 7 3 2" xfId="21" xr:uid="{00000000-0005-0000-0000-000009000000}"/>
    <cellStyle name="Normal" xfId="0" builtinId="0"/>
    <cellStyle name="Normal 10 10 2" xfId="38" xr:uid="{A59A02C7-B35D-4FCB-A6DA-E4672B3FF453}"/>
    <cellStyle name="Normal 12" xfId="7" xr:uid="{00000000-0005-0000-0000-00000B000000}"/>
    <cellStyle name="Normal 12 2" xfId="26" xr:uid="{F382B8E1-2D64-4943-A9BA-07ABCB4DE571}"/>
    <cellStyle name="Normal 2" xfId="8" xr:uid="{00000000-0005-0000-0000-00000C000000}"/>
    <cellStyle name="Normal 2 10 2 2" xfId="17" xr:uid="{00000000-0005-0000-0000-00000D000000}"/>
    <cellStyle name="Normal 2 2 2" xfId="10" xr:uid="{00000000-0005-0000-0000-00000E000000}"/>
    <cellStyle name="Normal 2 2 2 2 2 2" xfId="30" xr:uid="{624F03D3-9EE8-4FC2-83A4-14AB1C187E60}"/>
    <cellStyle name="Normal 2 2 5" xfId="11" xr:uid="{00000000-0005-0000-0000-00000F000000}"/>
    <cellStyle name="Normal 2 4 3 6" xfId="19" xr:uid="{00000000-0005-0000-0000-000010000000}"/>
    <cellStyle name="Normal 2 4 8" xfId="24" xr:uid="{00000000-0005-0000-0000-000011000000}"/>
    <cellStyle name="Normal 3" xfId="39" xr:uid="{5E50CC81-7AC1-4656-91E5-877BDEB1ACBF}"/>
    <cellStyle name="Normal 3 11 2 2" xfId="27" xr:uid="{647AD256-ECD7-42BB-8D00-4BBAF3AA3BF7}"/>
    <cellStyle name="Normal 3_ADM-INGENIEROS 2 2" xfId="37" xr:uid="{F26062F2-C2FD-4E65-A153-7E514A2C8258}"/>
    <cellStyle name="Normal 4" xfId="40" xr:uid="{0FA4FC54-B4CD-4E0B-A7E4-24D70559BB54}"/>
    <cellStyle name="Normal 4 2" xfId="9" xr:uid="{00000000-0005-0000-0000-000012000000}"/>
    <cellStyle name="Normal 6 2" xfId="12" xr:uid="{00000000-0005-0000-0000-000013000000}"/>
    <cellStyle name="Normal 6 2 2" xfId="18" xr:uid="{00000000-0005-0000-0000-000014000000}"/>
    <cellStyle name="Normal 6 2 3" xfId="29" xr:uid="{E481CF12-E6DE-4C4B-8992-0006EDBF24F4}"/>
    <cellStyle name="Normal_CALCULO DEL AIU" xfId="23" xr:uid="{00000000-0005-0000-0000-000015000000}"/>
    <cellStyle name="Normal_CAPITULOS" xfId="16" xr:uid="{00000000-0005-0000-0000-000016000000}"/>
    <cellStyle name="Normal_CONSOLIDADO PRESUPUESTOS OCC Y URA 2 2" xfId="36" xr:uid="{86E51087-947D-42A9-A135-7E3301D7F33C}"/>
    <cellStyle name="Porcentaje" xfId="3" builtinId="5"/>
    <cellStyle name="Porcentaje 2 2" xfId="20" xr:uid="{00000000-0005-0000-0000-000018000000}"/>
    <cellStyle name="Porcentaje 2 3" xfId="5" xr:uid="{00000000-0005-0000-0000-000019000000}"/>
    <cellStyle name="Porcentaje 3 4" xfId="32" xr:uid="{E036379B-7340-4041-B4D4-A81FB5767478}"/>
    <cellStyle name="Porcentual 2" xfId="14" xr:uid="{00000000-0005-0000-0000-00001A000000}"/>
  </cellStyles>
  <dxfs count="1013">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ndense val="0"/>
        <extend val="0"/>
        <color indexed="22"/>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font>
      <fill>
        <patternFill>
          <bgColor theme="0" tint="-0.14996795556505021"/>
        </patternFill>
      </fill>
    </dxf>
    <dxf>
      <font>
        <color auto="1"/>
      </font>
      <fill>
        <patternFill patternType="none">
          <bgColor auto="1"/>
        </patternFill>
      </fill>
    </dxf>
    <dxf>
      <font>
        <color auto="1"/>
      </font>
      <fill>
        <patternFill patternType="none">
          <bgColor auto="1"/>
        </patternFill>
      </fill>
    </dxf>
    <dxf>
      <font>
        <b/>
        <i val="0"/>
      </font>
      <fill>
        <patternFill>
          <bgColor theme="0" tint="-0.14996795556505021"/>
        </patternFill>
      </fill>
    </dxf>
    <dxf>
      <font>
        <color auto="1"/>
      </font>
      <fill>
        <patternFill patternType="none">
          <bgColor auto="1"/>
        </patternFill>
      </fill>
    </dxf>
    <dxf>
      <font>
        <b/>
        <i val="0"/>
      </font>
      <fill>
        <patternFill>
          <bgColor theme="0" tint="-0.14996795556505021"/>
        </patternFill>
      </fill>
    </dxf>
    <dxf>
      <font>
        <b/>
        <i val="0"/>
      </font>
      <fill>
        <patternFill>
          <bgColor theme="0" tint="-0.14996795556505021"/>
        </patternFill>
      </fill>
    </dxf>
    <dxf>
      <font>
        <color auto="1"/>
      </font>
      <fill>
        <patternFill patternType="none">
          <bgColor auto="1"/>
        </patternFill>
      </fill>
    </dxf>
    <dxf>
      <font>
        <b/>
        <i val="0"/>
      </font>
      <fill>
        <patternFill>
          <bgColor theme="0" tint="-0.14996795556505021"/>
        </patternFill>
      </fill>
    </dxf>
    <dxf>
      <font>
        <color auto="1"/>
      </font>
      <fill>
        <patternFill patternType="none">
          <bgColor auto="1"/>
        </patternFill>
      </fill>
    </dxf>
    <dxf>
      <font>
        <b/>
        <i val="0"/>
      </font>
      <fill>
        <patternFill>
          <bgColor theme="0" tint="-0.14996795556505021"/>
        </patternFill>
      </fill>
    </dxf>
    <dxf>
      <font>
        <color auto="1"/>
      </font>
      <fill>
        <patternFill patternType="none">
          <bgColor auto="1"/>
        </patternFill>
      </fill>
    </dxf>
    <dxf>
      <font>
        <b/>
        <i val="0"/>
      </font>
      <fill>
        <patternFill>
          <bgColor theme="0" tint="-0.14996795556505021"/>
        </patternFill>
      </fill>
    </dxf>
    <dxf>
      <font>
        <b/>
        <i val="0"/>
      </font>
      <fill>
        <patternFill>
          <bgColor theme="0" tint="-0.14996795556505021"/>
        </patternFill>
      </fill>
    </dxf>
    <dxf>
      <font>
        <color auto="1"/>
      </font>
      <fill>
        <patternFill patternType="none">
          <bgColor auto="1"/>
        </patternFill>
      </fill>
    </dxf>
    <dxf>
      <font>
        <color auto="1"/>
      </font>
      <fill>
        <patternFill patternType="none">
          <bgColor auto="1"/>
        </patternFill>
      </fill>
    </dxf>
    <dxf>
      <font>
        <b/>
        <i val="0"/>
      </font>
      <fill>
        <patternFill>
          <bgColor theme="0" tint="-0.14996795556505021"/>
        </patternFill>
      </fill>
    </dxf>
    <dxf>
      <font>
        <b/>
        <i val="0"/>
      </font>
      <fill>
        <patternFill>
          <bgColor theme="0" tint="-0.14996795556505021"/>
        </patternFill>
      </fill>
    </dxf>
    <dxf>
      <font>
        <color auto="1"/>
      </font>
      <fill>
        <patternFill patternType="none">
          <bgColor auto="1"/>
        </patternFill>
      </fill>
    </dxf>
  </dxfs>
  <tableStyles count="0" defaultTableStyle="TableStyleMedium2" defaultPivotStyle="PivotStyleLight16"/>
  <colors>
    <mruColors>
      <color rgb="FFD4ECBA"/>
      <color rgb="FFCEF8C4"/>
      <color rgb="FF6DFF4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theme" Target="theme/theme1.xml"/><Relationship Id="rId89" Type="http://schemas.microsoft.com/office/2017/06/relationships/rdRichValueStructure" Target="richData/rdrichvaluestructure.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90" Type="http://schemas.microsoft.com/office/2017/06/relationships/rdRichValueTypes" Target="richData/rdRichValueTypes.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styles" Target="styles.xml"/><Relationship Id="rId93" Type="http://schemas.openxmlformats.org/officeDocument/2006/relationships/customXml" Target="../customXml/item2.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microsoft.com/office/2017/06/relationships/rdRichValue" Target="richData/rdrichvalue.xml"/><Relationship Id="rId91"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sharedStrings" Target="sharedStrings.xml"/><Relationship Id="rId94"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customXml" Target="../customXml/item1.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sheetMetadata" Target="metadata.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6.png"/><Relationship Id="rId1" Type="http://schemas.openxmlformats.org/officeDocument/2006/relationships/image" Target="../media/image5.png"/></Relationships>
</file>

<file path=xl/drawings/_rels/drawing8.xml.rels><?xml version="1.0" encoding="UTF-8" standalone="yes"?>
<Relationships xmlns="http://schemas.openxmlformats.org/package/2006/relationships"><Relationship Id="rId1" Type="http://schemas.openxmlformats.org/officeDocument/2006/relationships/image" Target="../media/image5.png"/></Relationships>
</file>

<file path=xl/drawings/_rels/drawing9.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10.xml.rels><?xml version="1.0" encoding="UTF-8" standalone="yes"?>
<Relationships xmlns="http://schemas.openxmlformats.org/package/2006/relationships"><Relationship Id="rId1" Type="http://schemas.openxmlformats.org/officeDocument/2006/relationships/image" Target="../media/image5.png"/></Relationships>
</file>

<file path=xl/drawings/_rels/drawing11.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12.xml.rels><?xml version="1.0" encoding="UTF-8" standalone="yes"?>
<Relationships xmlns="http://schemas.openxmlformats.org/package/2006/relationships"><Relationship Id="rId1" Type="http://schemas.openxmlformats.org/officeDocument/2006/relationships/image" Target="../media/image5.png"/></Relationships>
</file>

<file path=xl/drawings/_rels/drawing13.xml.rels><?xml version="1.0" encoding="UTF-8" standalone="yes"?>
<Relationships xmlns="http://schemas.openxmlformats.org/package/2006/relationships"><Relationship Id="rId1" Type="http://schemas.openxmlformats.org/officeDocument/2006/relationships/image" Target="../media/image9.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0.png"/></Relationships>
</file>

<file path=xl/drawings/_rels/drawing15.xml.rels><?xml version="1.0" encoding="UTF-8" standalone="yes"?>
<Relationships xmlns="http://schemas.openxmlformats.org/package/2006/relationships"><Relationship Id="rId2" Type="http://schemas.openxmlformats.org/officeDocument/2006/relationships/image" Target="../media/image12.emf"/><Relationship Id="rId1" Type="http://schemas.openxmlformats.org/officeDocument/2006/relationships/image" Target="../media/image1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3.png"/></Relationships>
</file>

<file path=xl/drawings/_rels/drawing17.xml.rels><?xml version="1.0" encoding="UTF-8" standalone="yes"?>
<Relationships xmlns="http://schemas.openxmlformats.org/package/2006/relationships"><Relationship Id="rId3" Type="http://schemas.openxmlformats.org/officeDocument/2006/relationships/image" Target="../media/image16.png"/><Relationship Id="rId2" Type="http://schemas.openxmlformats.org/officeDocument/2006/relationships/image" Target="../media/image15.png"/><Relationship Id="rId1" Type="http://schemas.openxmlformats.org/officeDocument/2006/relationships/image" Target="../media/image14.png"/><Relationship Id="rId5" Type="http://schemas.openxmlformats.org/officeDocument/2006/relationships/image" Target="../media/image18.png"/><Relationship Id="rId4" Type="http://schemas.openxmlformats.org/officeDocument/2006/relationships/image" Target="../media/image17.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0.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9.png"/></Relationships>
</file>

<file path=xl/drawings/_rels/drawing20.xml.rels><?xml version="1.0" encoding="UTF-8" standalone="yes"?>
<Relationships xmlns="http://schemas.openxmlformats.org/package/2006/relationships"><Relationship Id="rId1" Type="http://schemas.openxmlformats.org/officeDocument/2006/relationships/image" Target="../media/image19.png"/></Relationships>
</file>

<file path=xl/drawings/_rels/drawing21.xml.rels><?xml version="1.0" encoding="UTF-8" standalone="yes"?>
<Relationships xmlns="http://schemas.openxmlformats.org/package/2006/relationships"><Relationship Id="rId1" Type="http://schemas.openxmlformats.org/officeDocument/2006/relationships/image" Target="../media/image20.png"/></Relationships>
</file>

<file path=xl/drawings/_rels/drawing22.xml.rels><?xml version="1.0" encoding="UTF-8" standalone="yes"?>
<Relationships xmlns="http://schemas.openxmlformats.org/package/2006/relationships"><Relationship Id="rId1" Type="http://schemas.openxmlformats.org/officeDocument/2006/relationships/image" Target="../media/image19.png"/></Relationships>
</file>

<file path=xl/drawings/_rels/drawing23.xml.rels><?xml version="1.0" encoding="UTF-8" standalone="yes"?>
<Relationships xmlns="http://schemas.openxmlformats.org/package/2006/relationships"><Relationship Id="rId1" Type="http://schemas.openxmlformats.org/officeDocument/2006/relationships/image" Target="../media/image19.png"/></Relationships>
</file>

<file path=xl/drawings/_rels/drawing24.xml.rels><?xml version="1.0" encoding="UTF-8" standalone="yes"?>
<Relationships xmlns="http://schemas.openxmlformats.org/package/2006/relationships"><Relationship Id="rId1" Type="http://schemas.openxmlformats.org/officeDocument/2006/relationships/image" Target="../media/image19.png"/></Relationships>
</file>

<file path=xl/drawings/_rels/drawing25.xml.rels><?xml version="1.0" encoding="UTF-8" standalone="yes"?>
<Relationships xmlns="http://schemas.openxmlformats.org/package/2006/relationships"><Relationship Id="rId1" Type="http://schemas.openxmlformats.org/officeDocument/2006/relationships/image" Target="../media/image19.png"/></Relationships>
</file>

<file path=xl/drawings/_rels/drawing26.xml.rels><?xml version="1.0" encoding="UTF-8" standalone="yes"?>
<Relationships xmlns="http://schemas.openxmlformats.org/package/2006/relationships"><Relationship Id="rId1" Type="http://schemas.openxmlformats.org/officeDocument/2006/relationships/image" Target="../media/image19.png"/></Relationships>
</file>

<file path=xl/drawings/_rels/drawing27.xml.rels><?xml version="1.0" encoding="UTF-8" standalone="yes"?>
<Relationships xmlns="http://schemas.openxmlformats.org/package/2006/relationships"><Relationship Id="rId3" Type="http://schemas.openxmlformats.org/officeDocument/2006/relationships/image" Target="../media/image23.png"/><Relationship Id="rId2" Type="http://schemas.openxmlformats.org/officeDocument/2006/relationships/image" Target="../media/image22.png"/><Relationship Id="rId1" Type="http://schemas.openxmlformats.org/officeDocument/2006/relationships/image" Target="../media/image21.png"/></Relationships>
</file>

<file path=xl/drawings/_rels/drawing28.xml.rels><?xml version="1.0" encoding="UTF-8" standalone="yes"?>
<Relationships xmlns="http://schemas.openxmlformats.org/package/2006/relationships"><Relationship Id="rId3" Type="http://schemas.openxmlformats.org/officeDocument/2006/relationships/image" Target="../media/image23.png"/><Relationship Id="rId2" Type="http://schemas.openxmlformats.org/officeDocument/2006/relationships/image" Target="../media/image22.png"/><Relationship Id="rId1" Type="http://schemas.openxmlformats.org/officeDocument/2006/relationships/image" Target="../media/image21.png"/></Relationships>
</file>

<file path=xl/drawings/_rels/drawing29.xml.rels><?xml version="1.0" encoding="UTF-8" standalone="yes"?>
<Relationships xmlns="http://schemas.openxmlformats.org/package/2006/relationships"><Relationship Id="rId3" Type="http://schemas.openxmlformats.org/officeDocument/2006/relationships/image" Target="../media/image23.png"/><Relationship Id="rId2" Type="http://schemas.openxmlformats.org/officeDocument/2006/relationships/image" Target="../media/image22.png"/><Relationship Id="rId1" Type="http://schemas.openxmlformats.org/officeDocument/2006/relationships/image" Target="../media/image21.png"/></Relationships>
</file>

<file path=xl/drawings/_rels/drawing30.xml.rels><?xml version="1.0" encoding="UTF-8" standalone="yes"?>
<Relationships xmlns="http://schemas.openxmlformats.org/package/2006/relationships"><Relationship Id="rId2" Type="http://schemas.openxmlformats.org/officeDocument/2006/relationships/image" Target="../media/image22.png"/><Relationship Id="rId1" Type="http://schemas.openxmlformats.org/officeDocument/2006/relationships/image" Target="../media/image21.png"/></Relationships>
</file>

<file path=xl/drawings/_rels/drawing31.xml.rels><?xml version="1.0" encoding="UTF-8" standalone="yes"?>
<Relationships xmlns="http://schemas.openxmlformats.org/package/2006/relationships"><Relationship Id="rId2" Type="http://schemas.openxmlformats.org/officeDocument/2006/relationships/image" Target="../media/image25.png"/><Relationship Id="rId1" Type="http://schemas.openxmlformats.org/officeDocument/2006/relationships/image" Target="../media/image24.png"/></Relationships>
</file>

<file path=xl/drawings/_rels/drawing32.xml.rels><?xml version="1.0" encoding="UTF-8" standalone="yes"?>
<Relationships xmlns="http://schemas.openxmlformats.org/package/2006/relationships"><Relationship Id="rId2" Type="http://schemas.openxmlformats.org/officeDocument/2006/relationships/image" Target="../media/image25.png"/><Relationship Id="rId1" Type="http://schemas.openxmlformats.org/officeDocument/2006/relationships/image" Target="../media/image24.png"/></Relationships>
</file>

<file path=xl/drawings/_rels/drawing33.xml.rels><?xml version="1.0" encoding="UTF-8" standalone="yes"?>
<Relationships xmlns="http://schemas.openxmlformats.org/package/2006/relationships"><Relationship Id="rId2" Type="http://schemas.openxmlformats.org/officeDocument/2006/relationships/image" Target="../media/image25.png"/><Relationship Id="rId1" Type="http://schemas.openxmlformats.org/officeDocument/2006/relationships/image" Target="../media/image24.png"/></Relationships>
</file>

<file path=xl/drawings/_rels/drawing34.xml.rels><?xml version="1.0" encoding="UTF-8" standalone="yes"?>
<Relationships xmlns="http://schemas.openxmlformats.org/package/2006/relationships"><Relationship Id="rId2" Type="http://schemas.openxmlformats.org/officeDocument/2006/relationships/image" Target="../media/image25.png"/><Relationship Id="rId1" Type="http://schemas.openxmlformats.org/officeDocument/2006/relationships/image" Target="../media/image24.png"/></Relationships>
</file>

<file path=xl/drawings/_rels/drawing35.xml.rels><?xml version="1.0" encoding="UTF-8" standalone="yes"?>
<Relationships xmlns="http://schemas.openxmlformats.org/package/2006/relationships"><Relationship Id="rId1" Type="http://schemas.openxmlformats.org/officeDocument/2006/relationships/image" Target="../media/image26.png"/></Relationships>
</file>

<file path=xl/drawings/_rels/drawing36.xml.rels><?xml version="1.0" encoding="UTF-8" standalone="yes"?>
<Relationships xmlns="http://schemas.openxmlformats.org/package/2006/relationships"><Relationship Id="rId2" Type="http://schemas.openxmlformats.org/officeDocument/2006/relationships/image" Target="../media/image28.png"/><Relationship Id="rId1" Type="http://schemas.openxmlformats.org/officeDocument/2006/relationships/image" Target="../media/image27.png"/></Relationships>
</file>

<file path=xl/drawings/_rels/drawing37.xml.rels><?xml version="1.0" encoding="UTF-8" standalone="yes"?>
<Relationships xmlns="http://schemas.openxmlformats.org/package/2006/relationships"><Relationship Id="rId2" Type="http://schemas.openxmlformats.org/officeDocument/2006/relationships/image" Target="../media/image28.png"/><Relationship Id="rId1" Type="http://schemas.openxmlformats.org/officeDocument/2006/relationships/image" Target="../media/image27.png"/></Relationships>
</file>

<file path=xl/drawings/_rels/drawing38.xml.rels><?xml version="1.0" encoding="UTF-8" standalone="yes"?>
<Relationships xmlns="http://schemas.openxmlformats.org/package/2006/relationships"><Relationship Id="rId2" Type="http://schemas.openxmlformats.org/officeDocument/2006/relationships/image" Target="../media/image28.png"/><Relationship Id="rId1" Type="http://schemas.openxmlformats.org/officeDocument/2006/relationships/image" Target="../media/image27.png"/></Relationships>
</file>

<file path=xl/drawings/_rels/drawing39.xml.rels><?xml version="1.0" encoding="UTF-8" standalone="yes"?>
<Relationships xmlns="http://schemas.openxmlformats.org/package/2006/relationships"><Relationship Id="rId1" Type="http://schemas.openxmlformats.org/officeDocument/2006/relationships/image" Target="../media/image29.png"/></Relationships>
</file>

<file path=xl/drawings/_rels/drawing40.xml.rels><?xml version="1.0" encoding="UTF-8" standalone="yes"?>
<Relationships xmlns="http://schemas.openxmlformats.org/package/2006/relationships"><Relationship Id="rId3" Type="http://schemas.openxmlformats.org/officeDocument/2006/relationships/image" Target="../media/image32.png"/><Relationship Id="rId2" Type="http://schemas.openxmlformats.org/officeDocument/2006/relationships/image" Target="../media/image31.png"/><Relationship Id="rId1" Type="http://schemas.openxmlformats.org/officeDocument/2006/relationships/image" Target="../media/image30.png"/></Relationships>
</file>

<file path=xl/drawings/_rels/drawing41.xml.rels><?xml version="1.0" encoding="UTF-8" standalone="yes"?>
<Relationships xmlns="http://schemas.openxmlformats.org/package/2006/relationships"><Relationship Id="rId1" Type="http://schemas.openxmlformats.org/officeDocument/2006/relationships/image" Target="../media/image33.png"/></Relationships>
</file>

<file path=xl/drawings/_rels/drawing42.xml.rels><?xml version="1.0" encoding="UTF-8" standalone="yes"?>
<Relationships xmlns="http://schemas.openxmlformats.org/package/2006/relationships"><Relationship Id="rId1" Type="http://schemas.openxmlformats.org/officeDocument/2006/relationships/image" Target="../media/image34.png"/></Relationships>
</file>

<file path=xl/drawings/_rels/drawing43.xml.rels><?xml version="1.0" encoding="UTF-8" standalone="yes"?>
<Relationships xmlns="http://schemas.openxmlformats.org/package/2006/relationships"><Relationship Id="rId1" Type="http://schemas.openxmlformats.org/officeDocument/2006/relationships/image" Target="../media/image35.png"/></Relationships>
</file>

<file path=xl/drawings/_rels/drawing44.xml.rels><?xml version="1.0" encoding="UTF-8" standalone="yes"?>
<Relationships xmlns="http://schemas.openxmlformats.org/package/2006/relationships"><Relationship Id="rId1" Type="http://schemas.openxmlformats.org/officeDocument/2006/relationships/image" Target="../media/image36.png"/></Relationships>
</file>

<file path=xl/drawings/_rels/drawing45.xml.rels><?xml version="1.0" encoding="UTF-8" standalone="yes"?>
<Relationships xmlns="http://schemas.openxmlformats.org/package/2006/relationships"><Relationship Id="rId1" Type="http://schemas.openxmlformats.org/officeDocument/2006/relationships/image" Target="../media/image36.png"/></Relationships>
</file>

<file path=xl/drawings/_rels/drawing46.xml.rels><?xml version="1.0" encoding="UTF-8" standalone="yes"?>
<Relationships xmlns="http://schemas.openxmlformats.org/package/2006/relationships"><Relationship Id="rId1" Type="http://schemas.openxmlformats.org/officeDocument/2006/relationships/image" Target="../media/image37.png"/></Relationships>
</file>

<file path=xl/drawings/_rels/drawing47.xml.rels><?xml version="1.0" encoding="UTF-8" standalone="yes"?>
<Relationships xmlns="http://schemas.openxmlformats.org/package/2006/relationships"><Relationship Id="rId1" Type="http://schemas.openxmlformats.org/officeDocument/2006/relationships/image" Target="../media/image38.png"/></Relationships>
</file>

<file path=xl/drawings/_rels/drawing48.xml.rels><?xml version="1.0" encoding="UTF-8" standalone="yes"?>
<Relationships xmlns="http://schemas.openxmlformats.org/package/2006/relationships"><Relationship Id="rId1" Type="http://schemas.openxmlformats.org/officeDocument/2006/relationships/image" Target="../media/image38.png"/></Relationships>
</file>

<file path=xl/drawings/_rels/drawing49.xml.rels><?xml version="1.0" encoding="UTF-8" standalone="yes"?>
<Relationships xmlns="http://schemas.openxmlformats.org/package/2006/relationships"><Relationship Id="rId1" Type="http://schemas.openxmlformats.org/officeDocument/2006/relationships/image" Target="../media/image39.png"/></Relationships>
</file>

<file path=xl/drawings/_rels/drawing50.xml.rels><?xml version="1.0" encoding="UTF-8" standalone="yes"?>
<Relationships xmlns="http://schemas.openxmlformats.org/package/2006/relationships"><Relationship Id="rId1" Type="http://schemas.openxmlformats.org/officeDocument/2006/relationships/image" Target="../media/image37.png"/></Relationships>
</file>

<file path=xl/drawings/_rels/drawing51.xml.rels><?xml version="1.0" encoding="UTF-8" standalone="yes"?>
<Relationships xmlns="http://schemas.openxmlformats.org/package/2006/relationships"><Relationship Id="rId1" Type="http://schemas.openxmlformats.org/officeDocument/2006/relationships/image" Target="../media/image37.png"/></Relationships>
</file>

<file path=xl/drawings/_rels/drawing52.xml.rels><?xml version="1.0" encoding="UTF-8" standalone="yes"?>
<Relationships xmlns="http://schemas.openxmlformats.org/package/2006/relationships"><Relationship Id="rId1" Type="http://schemas.openxmlformats.org/officeDocument/2006/relationships/image" Target="../media/image40.png"/></Relationships>
</file>

<file path=xl/drawings/_rels/drawing53.xml.rels><?xml version="1.0" encoding="UTF-8" standalone="yes"?>
<Relationships xmlns="http://schemas.openxmlformats.org/package/2006/relationships"><Relationship Id="rId3" Type="http://schemas.openxmlformats.org/officeDocument/2006/relationships/image" Target="../media/image43.png"/><Relationship Id="rId2" Type="http://schemas.openxmlformats.org/officeDocument/2006/relationships/image" Target="../media/image42.png"/><Relationship Id="rId1" Type="http://schemas.openxmlformats.org/officeDocument/2006/relationships/image" Target="../media/image41.png"/><Relationship Id="rId4" Type="http://schemas.openxmlformats.org/officeDocument/2006/relationships/image" Target="../media/image44.png"/></Relationships>
</file>

<file path=xl/drawings/_rels/drawing54.xml.rels><?xml version="1.0" encoding="UTF-8" standalone="yes"?>
<Relationships xmlns="http://schemas.openxmlformats.org/package/2006/relationships"><Relationship Id="rId3" Type="http://schemas.openxmlformats.org/officeDocument/2006/relationships/image" Target="../media/image42.png"/><Relationship Id="rId2" Type="http://schemas.openxmlformats.org/officeDocument/2006/relationships/image" Target="../media/image41.png"/><Relationship Id="rId1" Type="http://schemas.openxmlformats.org/officeDocument/2006/relationships/image" Target="../media/image44.png"/><Relationship Id="rId4" Type="http://schemas.openxmlformats.org/officeDocument/2006/relationships/image" Target="../media/image43.png"/></Relationships>
</file>

<file path=xl/drawings/_rels/drawing55.xml.rels><?xml version="1.0" encoding="UTF-8" standalone="yes"?>
<Relationships xmlns="http://schemas.openxmlformats.org/package/2006/relationships"><Relationship Id="rId3" Type="http://schemas.openxmlformats.org/officeDocument/2006/relationships/image" Target="../media/image42.png"/><Relationship Id="rId2" Type="http://schemas.openxmlformats.org/officeDocument/2006/relationships/image" Target="../media/image41.png"/><Relationship Id="rId1" Type="http://schemas.openxmlformats.org/officeDocument/2006/relationships/image" Target="../media/image44.png"/><Relationship Id="rId4" Type="http://schemas.openxmlformats.org/officeDocument/2006/relationships/image" Target="../media/image43.png"/></Relationships>
</file>

<file path=xl/drawings/_rels/drawing56.xml.rels><?xml version="1.0" encoding="UTF-8" standalone="yes"?>
<Relationships xmlns="http://schemas.openxmlformats.org/package/2006/relationships"><Relationship Id="rId1" Type="http://schemas.openxmlformats.org/officeDocument/2006/relationships/image" Target="../media/image45.png"/></Relationships>
</file>

<file path=xl/drawings/_rels/drawing57.xml.rels><?xml version="1.0" encoding="UTF-8" standalone="yes"?>
<Relationships xmlns="http://schemas.openxmlformats.org/package/2006/relationships"><Relationship Id="rId1" Type="http://schemas.openxmlformats.org/officeDocument/2006/relationships/image" Target="../media/image45.png"/></Relationships>
</file>

<file path=xl/drawings/_rels/drawing58.xml.rels><?xml version="1.0" encoding="UTF-8" standalone="yes"?>
<Relationships xmlns="http://schemas.openxmlformats.org/package/2006/relationships"><Relationship Id="rId1" Type="http://schemas.openxmlformats.org/officeDocument/2006/relationships/image" Target="../media/image46.png"/></Relationships>
</file>

<file path=xl/drawings/_rels/drawing59.xml.rels><?xml version="1.0" encoding="UTF-8" standalone="yes"?>
<Relationships xmlns="http://schemas.openxmlformats.org/package/2006/relationships"><Relationship Id="rId1" Type="http://schemas.openxmlformats.org/officeDocument/2006/relationships/image" Target="../media/image47.png"/></Relationships>
</file>

<file path=xl/drawings/_rels/drawing60.xml.rels><?xml version="1.0" encoding="UTF-8" standalone="yes"?>
<Relationships xmlns="http://schemas.openxmlformats.org/package/2006/relationships"><Relationship Id="rId1" Type="http://schemas.openxmlformats.org/officeDocument/2006/relationships/image" Target="../media/image47.png"/></Relationships>
</file>

<file path=xl/drawings/_rels/drawing61.xml.rels><?xml version="1.0" encoding="UTF-8" standalone="yes"?>
<Relationships xmlns="http://schemas.openxmlformats.org/package/2006/relationships"><Relationship Id="rId1" Type="http://schemas.openxmlformats.org/officeDocument/2006/relationships/image" Target="../media/image47.png"/></Relationships>
</file>

<file path=xl/drawings/_rels/drawing62.xml.rels><?xml version="1.0" encoding="UTF-8" standalone="yes"?>
<Relationships xmlns="http://schemas.openxmlformats.org/package/2006/relationships"><Relationship Id="rId1" Type="http://schemas.openxmlformats.org/officeDocument/2006/relationships/image" Target="../media/image47.png"/></Relationships>
</file>

<file path=xl/drawings/_rels/drawing63.xml.rels><?xml version="1.0" encoding="UTF-8" standalone="yes"?>
<Relationships xmlns="http://schemas.openxmlformats.org/package/2006/relationships"><Relationship Id="rId1" Type="http://schemas.openxmlformats.org/officeDocument/2006/relationships/image" Target="../media/image48.png"/></Relationships>
</file>

<file path=xl/drawings/_rels/drawing64.xml.rels><?xml version="1.0" encoding="UTF-8" standalone="yes"?>
<Relationships xmlns="http://schemas.openxmlformats.org/package/2006/relationships"><Relationship Id="rId1" Type="http://schemas.openxmlformats.org/officeDocument/2006/relationships/image" Target="../media/image47.png"/></Relationships>
</file>

<file path=xl/drawings/_rels/drawing65.xml.rels><?xml version="1.0" encoding="UTF-8" standalone="yes"?>
<Relationships xmlns="http://schemas.openxmlformats.org/package/2006/relationships"><Relationship Id="rId1" Type="http://schemas.openxmlformats.org/officeDocument/2006/relationships/image" Target="../media/image47.png"/></Relationships>
</file>

<file path=xl/drawings/_rels/drawing66.xml.rels><?xml version="1.0" encoding="UTF-8" standalone="yes"?>
<Relationships xmlns="http://schemas.openxmlformats.org/package/2006/relationships"><Relationship Id="rId1" Type="http://schemas.openxmlformats.org/officeDocument/2006/relationships/image" Target="../media/image47.png"/></Relationships>
</file>

<file path=xl/drawings/_rels/drawing67.xml.rels><?xml version="1.0" encoding="UTF-8" standalone="yes"?>
<Relationships xmlns="http://schemas.openxmlformats.org/package/2006/relationships"><Relationship Id="rId1" Type="http://schemas.openxmlformats.org/officeDocument/2006/relationships/image" Target="../media/image49.png"/></Relationships>
</file>

<file path=xl/drawings/_rels/drawing68.xml.rels><?xml version="1.0" encoding="UTF-8" standalone="yes"?>
<Relationships xmlns="http://schemas.openxmlformats.org/package/2006/relationships"><Relationship Id="rId1" Type="http://schemas.openxmlformats.org/officeDocument/2006/relationships/image" Target="../media/image49.png"/></Relationships>
</file>

<file path=xl/drawings/_rels/drawing69.xml.rels><?xml version="1.0" encoding="UTF-8" standalone="yes"?>
<Relationships xmlns="http://schemas.openxmlformats.org/package/2006/relationships"><Relationship Id="rId1" Type="http://schemas.openxmlformats.org/officeDocument/2006/relationships/image" Target="../media/image49.png"/></Relationships>
</file>

<file path=xl/drawings/_rels/drawing70.xml.rels><?xml version="1.0" encoding="UTF-8" standalone="yes"?>
<Relationships xmlns="http://schemas.openxmlformats.org/package/2006/relationships"><Relationship Id="rId1" Type="http://schemas.openxmlformats.org/officeDocument/2006/relationships/image" Target="../media/image50.png"/></Relationships>
</file>

<file path=xl/drawings/drawing1.xml><?xml version="1.0" encoding="utf-8"?>
<xdr:wsDr xmlns:xdr="http://schemas.openxmlformats.org/drawingml/2006/spreadsheetDrawing" xmlns:a="http://schemas.openxmlformats.org/drawingml/2006/main">
  <xdr:twoCellAnchor>
    <xdr:from>
      <xdr:col>0</xdr:col>
      <xdr:colOff>6275</xdr:colOff>
      <xdr:row>1</xdr:row>
      <xdr:rowOff>0</xdr:rowOff>
    </xdr:from>
    <xdr:to>
      <xdr:col>8</xdr:col>
      <xdr:colOff>1240715</xdr:colOff>
      <xdr:row>5</xdr:row>
      <xdr:rowOff>10207</xdr:rowOff>
    </xdr:to>
    <xdr:sp macro="" textlink="">
      <xdr:nvSpPr>
        <xdr:cNvPr id="2" name="Texto 28">
          <a:extLst>
            <a:ext uri="{FF2B5EF4-FFF2-40B4-BE49-F238E27FC236}">
              <a16:creationId xmlns:a16="http://schemas.microsoft.com/office/drawing/2014/main" id="{546BF361-2190-4C27-95CE-66005BAE1497}"/>
            </a:ext>
          </a:extLst>
        </xdr:cNvPr>
        <xdr:cNvSpPr>
          <a:spLocks noChangeArrowheads="1"/>
        </xdr:cNvSpPr>
      </xdr:nvSpPr>
      <xdr:spPr bwMode="auto">
        <a:xfrm>
          <a:off x="6275" y="170329"/>
          <a:ext cx="9060628" cy="727384"/>
        </a:xfrm>
        <a:prstGeom prst="roundRect">
          <a:avLst>
            <a:gd name="adj" fmla="val 16667"/>
          </a:avLst>
        </a:prstGeom>
        <a:noFill/>
        <a:ln w="19050">
          <a:solidFill>
            <a:schemeClr val="tx1"/>
          </a:solidFill>
          <a:round/>
          <a:headEnd/>
          <a:tailEnd/>
        </a:ln>
        <a:effectLst/>
      </xdr:spPr>
      <xdr:txBody>
        <a:bodyPr vertOverflow="clip" wrap="square" lIns="27432" tIns="27432" rIns="27432" bIns="27432" anchor="ctr" upright="1"/>
        <a:lstStyle/>
        <a:p>
          <a:pPr algn="ctr"/>
          <a:endParaRPr lang="es-ES" sz="1200" b="1" i="0" strike="noStrike" baseline="0">
            <a:solidFill>
              <a:srgbClr val="008000"/>
            </a:solidFill>
            <a:latin typeface="Arial" pitchFamily="34" charset="0"/>
            <a:ea typeface="+mn-ea"/>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6275</xdr:colOff>
      <xdr:row>1</xdr:row>
      <xdr:rowOff>0</xdr:rowOff>
    </xdr:from>
    <xdr:to>
      <xdr:col>8</xdr:col>
      <xdr:colOff>1240715</xdr:colOff>
      <xdr:row>5</xdr:row>
      <xdr:rowOff>10207</xdr:rowOff>
    </xdr:to>
    <xdr:sp macro="" textlink="">
      <xdr:nvSpPr>
        <xdr:cNvPr id="2" name="Texto 28">
          <a:extLst>
            <a:ext uri="{FF2B5EF4-FFF2-40B4-BE49-F238E27FC236}">
              <a16:creationId xmlns:a16="http://schemas.microsoft.com/office/drawing/2014/main" id="{8207BBCD-BE04-484E-9760-3B64ACB043D9}"/>
            </a:ext>
          </a:extLst>
        </xdr:cNvPr>
        <xdr:cNvSpPr>
          <a:spLocks noChangeArrowheads="1"/>
        </xdr:cNvSpPr>
      </xdr:nvSpPr>
      <xdr:spPr bwMode="auto">
        <a:xfrm>
          <a:off x="6275" y="167640"/>
          <a:ext cx="9083040" cy="718867"/>
        </a:xfrm>
        <a:prstGeom prst="roundRect">
          <a:avLst>
            <a:gd name="adj" fmla="val 16667"/>
          </a:avLst>
        </a:prstGeom>
        <a:noFill/>
        <a:ln w="19050">
          <a:solidFill>
            <a:schemeClr val="tx1"/>
          </a:solidFill>
          <a:round/>
          <a:headEnd/>
          <a:tailEnd/>
        </a:ln>
        <a:effectLst/>
      </xdr:spPr>
      <xdr:txBody>
        <a:bodyPr vertOverflow="clip" wrap="square" lIns="27432" tIns="27432" rIns="27432" bIns="27432" anchor="ctr" upright="1"/>
        <a:lstStyle/>
        <a:p>
          <a:pPr algn="ctr"/>
          <a:endParaRPr lang="es-ES" sz="1200" b="1" i="0" strike="noStrike" baseline="0">
            <a:solidFill>
              <a:srgbClr val="008000"/>
            </a:solidFill>
            <a:latin typeface="Arial" pitchFamily="34" charset="0"/>
            <a:ea typeface="+mn-ea"/>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609002</xdr:colOff>
      <xdr:row>8</xdr:row>
      <xdr:rowOff>97526</xdr:rowOff>
    </xdr:from>
    <xdr:to>
      <xdr:col>2</xdr:col>
      <xdr:colOff>3301576</xdr:colOff>
      <xdr:row>23</xdr:row>
      <xdr:rowOff>115796</xdr:rowOff>
    </xdr:to>
    <xdr:pic>
      <xdr:nvPicPr>
        <xdr:cNvPr id="2" name="Imagen 1">
          <a:extLst>
            <a:ext uri="{FF2B5EF4-FFF2-40B4-BE49-F238E27FC236}">
              <a16:creationId xmlns:a16="http://schemas.microsoft.com/office/drawing/2014/main" id="{5F3CADD4-B640-E719-B8F1-277495B623F1}"/>
            </a:ext>
          </a:extLst>
        </xdr:cNvPr>
        <xdr:cNvPicPr>
          <a:picLocks noChangeAspect="1"/>
        </xdr:cNvPicPr>
      </xdr:nvPicPr>
      <xdr:blipFill>
        <a:blip xmlns:r="http://schemas.openxmlformats.org/officeDocument/2006/relationships" r:embed="rId1"/>
        <a:stretch>
          <a:fillRect/>
        </a:stretch>
      </xdr:blipFill>
      <xdr:spPr>
        <a:xfrm rot="19532422">
          <a:off x="609002" y="4047226"/>
          <a:ext cx="4267374" cy="3447270"/>
        </a:xfrm>
        <a:prstGeom prst="rect">
          <a:avLst/>
        </a:prstGeom>
      </xdr:spPr>
    </xdr:pic>
    <xdr:clientData/>
  </xdr:twoCellAnchor>
  <xdr:twoCellAnchor editAs="oneCell">
    <xdr:from>
      <xdr:col>0</xdr:col>
      <xdr:colOff>431800</xdr:colOff>
      <xdr:row>24</xdr:row>
      <xdr:rowOff>139701</xdr:rowOff>
    </xdr:from>
    <xdr:to>
      <xdr:col>2</xdr:col>
      <xdr:colOff>3657599</xdr:colOff>
      <xdr:row>37</xdr:row>
      <xdr:rowOff>67873</xdr:rowOff>
    </xdr:to>
    <xdr:pic>
      <xdr:nvPicPr>
        <xdr:cNvPr id="3" name="Imagen 2">
          <a:extLst>
            <a:ext uri="{FF2B5EF4-FFF2-40B4-BE49-F238E27FC236}">
              <a16:creationId xmlns:a16="http://schemas.microsoft.com/office/drawing/2014/main" id="{9B94DC8B-2868-BB29-BC3E-5616B428911D}"/>
            </a:ext>
          </a:extLst>
        </xdr:cNvPr>
        <xdr:cNvPicPr>
          <a:picLocks noChangeAspect="1"/>
        </xdr:cNvPicPr>
      </xdr:nvPicPr>
      <xdr:blipFill>
        <a:blip xmlns:r="http://schemas.openxmlformats.org/officeDocument/2006/relationships" r:embed="rId2"/>
        <a:stretch>
          <a:fillRect/>
        </a:stretch>
      </xdr:blipFill>
      <xdr:spPr>
        <a:xfrm>
          <a:off x="431800" y="7747001"/>
          <a:ext cx="4800599" cy="298887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185057</xdr:colOff>
      <xdr:row>7</xdr:row>
      <xdr:rowOff>119743</xdr:rowOff>
    </xdr:from>
    <xdr:to>
      <xdr:col>2</xdr:col>
      <xdr:colOff>3094041</xdr:colOff>
      <xdr:row>30</xdr:row>
      <xdr:rowOff>119742</xdr:rowOff>
    </xdr:to>
    <xdr:pic>
      <xdr:nvPicPr>
        <xdr:cNvPr id="4" name="Imagen 3">
          <a:extLst>
            <a:ext uri="{FF2B5EF4-FFF2-40B4-BE49-F238E27FC236}">
              <a16:creationId xmlns:a16="http://schemas.microsoft.com/office/drawing/2014/main" id="{6EEDE5C3-6F06-8AE1-428F-528D5E120D2D}"/>
            </a:ext>
          </a:extLst>
        </xdr:cNvPr>
        <xdr:cNvPicPr>
          <a:picLocks noChangeAspect="1"/>
        </xdr:cNvPicPr>
      </xdr:nvPicPr>
      <xdr:blipFill>
        <a:blip xmlns:r="http://schemas.openxmlformats.org/officeDocument/2006/relationships" r:embed="rId1"/>
        <a:stretch>
          <a:fillRect/>
        </a:stretch>
      </xdr:blipFill>
      <xdr:spPr>
        <a:xfrm>
          <a:off x="979714" y="3603172"/>
          <a:ext cx="3703641" cy="525779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653142</xdr:colOff>
      <xdr:row>7</xdr:row>
      <xdr:rowOff>217715</xdr:rowOff>
    </xdr:from>
    <xdr:to>
      <xdr:col>2</xdr:col>
      <xdr:colOff>2220890</xdr:colOff>
      <xdr:row>24</xdr:row>
      <xdr:rowOff>195190</xdr:rowOff>
    </xdr:to>
    <xdr:pic>
      <xdr:nvPicPr>
        <xdr:cNvPr id="3" name="Imagen 2">
          <a:extLst>
            <a:ext uri="{FF2B5EF4-FFF2-40B4-BE49-F238E27FC236}">
              <a16:creationId xmlns:a16="http://schemas.microsoft.com/office/drawing/2014/main" id="{8ED837E1-8ACD-728F-3D8C-C4EA886392D8}"/>
            </a:ext>
          </a:extLst>
        </xdr:cNvPr>
        <xdr:cNvPicPr>
          <a:picLocks noChangeAspect="1"/>
        </xdr:cNvPicPr>
      </xdr:nvPicPr>
      <xdr:blipFill>
        <a:blip xmlns:r="http://schemas.openxmlformats.org/officeDocument/2006/relationships" r:embed="rId1"/>
        <a:stretch>
          <a:fillRect/>
        </a:stretch>
      </xdr:blipFill>
      <xdr:spPr>
        <a:xfrm>
          <a:off x="1447799" y="3701144"/>
          <a:ext cx="2362405" cy="386367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54428</xdr:colOff>
      <xdr:row>6</xdr:row>
      <xdr:rowOff>32657</xdr:rowOff>
    </xdr:from>
    <xdr:to>
      <xdr:col>2</xdr:col>
      <xdr:colOff>1022730</xdr:colOff>
      <xdr:row>26</xdr:row>
      <xdr:rowOff>43543</xdr:rowOff>
    </xdr:to>
    <xdr:pic>
      <xdr:nvPicPr>
        <xdr:cNvPr id="2" name="Imagen 1">
          <a:extLst>
            <a:ext uri="{FF2B5EF4-FFF2-40B4-BE49-F238E27FC236}">
              <a16:creationId xmlns:a16="http://schemas.microsoft.com/office/drawing/2014/main" id="{22C32CB2-62C2-D89F-39EB-808207AA7737}"/>
            </a:ext>
          </a:extLst>
        </xdr:cNvPr>
        <xdr:cNvPicPr>
          <a:picLocks noChangeAspect="1"/>
        </xdr:cNvPicPr>
      </xdr:nvPicPr>
      <xdr:blipFill>
        <a:blip xmlns:r="http://schemas.openxmlformats.org/officeDocument/2006/relationships" r:embed="rId1"/>
        <a:stretch>
          <a:fillRect/>
        </a:stretch>
      </xdr:blipFill>
      <xdr:spPr>
        <a:xfrm>
          <a:off x="54428" y="3276600"/>
          <a:ext cx="2557616" cy="4593772"/>
        </a:xfrm>
        <a:prstGeom prst="rect">
          <a:avLst/>
        </a:prstGeom>
      </xdr:spPr>
    </xdr:pic>
    <xdr:clientData/>
  </xdr:twoCellAnchor>
  <xdr:twoCellAnchor editAs="oneCell">
    <xdr:from>
      <xdr:col>2</xdr:col>
      <xdr:colOff>1045029</xdr:colOff>
      <xdr:row>6</xdr:row>
      <xdr:rowOff>97972</xdr:rowOff>
    </xdr:from>
    <xdr:to>
      <xdr:col>2</xdr:col>
      <xdr:colOff>3689398</xdr:colOff>
      <xdr:row>26</xdr:row>
      <xdr:rowOff>1</xdr:rowOff>
    </xdr:to>
    <xdr:pic>
      <xdr:nvPicPr>
        <xdr:cNvPr id="4" name="Imagen 3">
          <a:extLst>
            <a:ext uri="{FF2B5EF4-FFF2-40B4-BE49-F238E27FC236}">
              <a16:creationId xmlns:a16="http://schemas.microsoft.com/office/drawing/2014/main" id="{713BDB94-11A7-4BD6-BFBA-FC01B4DADE24}"/>
            </a:ext>
          </a:extLst>
        </xdr:cNvPr>
        <xdr:cNvPicPr>
          <a:picLocks noChangeAspect="1"/>
        </xdr:cNvPicPr>
      </xdr:nvPicPr>
      <xdr:blipFill rotWithShape="1">
        <a:blip xmlns:r="http://schemas.openxmlformats.org/officeDocument/2006/relationships" r:embed="rId2"/>
        <a:srcRect t="50134"/>
        <a:stretch>
          <a:fillRect/>
        </a:stretch>
      </xdr:blipFill>
      <xdr:spPr>
        <a:xfrm>
          <a:off x="2634343" y="3341915"/>
          <a:ext cx="2644369" cy="448491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696686</xdr:colOff>
      <xdr:row>6</xdr:row>
      <xdr:rowOff>185057</xdr:rowOff>
    </xdr:from>
    <xdr:to>
      <xdr:col>2</xdr:col>
      <xdr:colOff>936172</xdr:colOff>
      <xdr:row>21</xdr:row>
      <xdr:rowOff>219093</xdr:rowOff>
    </xdr:to>
    <xdr:pic>
      <xdr:nvPicPr>
        <xdr:cNvPr id="3" name="Imagen 2">
          <a:extLst>
            <a:ext uri="{FF2B5EF4-FFF2-40B4-BE49-F238E27FC236}">
              <a16:creationId xmlns:a16="http://schemas.microsoft.com/office/drawing/2014/main" id="{0D523BD7-B625-413C-9F18-E8FB55CAB6E3}"/>
            </a:ext>
          </a:extLst>
        </xdr:cNvPr>
        <xdr:cNvPicPr>
          <a:picLocks noChangeAspect="1"/>
        </xdr:cNvPicPr>
      </xdr:nvPicPr>
      <xdr:blipFill rotWithShape="1">
        <a:blip xmlns:r="http://schemas.openxmlformats.org/officeDocument/2006/relationships" r:embed="rId1"/>
        <a:srcRect r="2533"/>
        <a:stretch>
          <a:fillRect/>
        </a:stretch>
      </xdr:blipFill>
      <xdr:spPr>
        <a:xfrm>
          <a:off x="696686" y="3429000"/>
          <a:ext cx="1828800" cy="3473922"/>
        </a:xfrm>
        <a:prstGeom prst="rect">
          <a:avLst/>
        </a:prstGeom>
      </xdr:spPr>
    </xdr:pic>
    <xdr:clientData/>
  </xdr:twoCellAnchor>
  <xdr:twoCellAnchor editAs="oneCell">
    <xdr:from>
      <xdr:col>2</xdr:col>
      <xdr:colOff>1001485</xdr:colOff>
      <xdr:row>7</xdr:row>
      <xdr:rowOff>141513</xdr:rowOff>
    </xdr:from>
    <xdr:to>
      <xdr:col>2</xdr:col>
      <xdr:colOff>2982686</xdr:colOff>
      <xdr:row>22</xdr:row>
      <xdr:rowOff>72679</xdr:rowOff>
    </xdr:to>
    <xdr:pic>
      <xdr:nvPicPr>
        <xdr:cNvPr id="4" name="Imagen 3">
          <a:extLst>
            <a:ext uri="{FF2B5EF4-FFF2-40B4-BE49-F238E27FC236}">
              <a16:creationId xmlns:a16="http://schemas.microsoft.com/office/drawing/2014/main" id="{7D3AA8D4-E5D5-0BDA-2E52-0F18E45EDFF4}"/>
            </a:ext>
          </a:extLst>
        </xdr:cNvPr>
        <xdr:cNvPicPr>
          <a:picLocks noChangeAspect="1"/>
        </xdr:cNvPicPr>
      </xdr:nvPicPr>
      <xdr:blipFill rotWithShape="1">
        <a:blip xmlns:r="http://schemas.openxmlformats.org/officeDocument/2006/relationships" r:embed="rId2"/>
        <a:srcRect t="50134"/>
        <a:stretch>
          <a:fillRect/>
        </a:stretch>
      </xdr:blipFill>
      <xdr:spPr>
        <a:xfrm>
          <a:off x="2590799" y="3624942"/>
          <a:ext cx="1981201" cy="3360166"/>
        </a:xfrm>
        <a:prstGeom prst="rect">
          <a:avLst/>
        </a:prstGeom>
      </xdr:spPr>
    </xdr:pic>
    <xdr:clientData/>
  </xdr:twoCellAnchor>
  <xdr:twoCellAnchor editAs="oneCell">
    <xdr:from>
      <xdr:col>1</xdr:col>
      <xdr:colOff>130628</xdr:colOff>
      <xdr:row>22</xdr:row>
      <xdr:rowOff>163285</xdr:rowOff>
    </xdr:from>
    <xdr:to>
      <xdr:col>2</xdr:col>
      <xdr:colOff>2584288</xdr:colOff>
      <xdr:row>35</xdr:row>
      <xdr:rowOff>141515</xdr:rowOff>
    </xdr:to>
    <xdr:pic>
      <xdr:nvPicPr>
        <xdr:cNvPr id="5" name="Imagen 4">
          <a:extLst>
            <a:ext uri="{FF2B5EF4-FFF2-40B4-BE49-F238E27FC236}">
              <a16:creationId xmlns:a16="http://schemas.microsoft.com/office/drawing/2014/main" id="{3B85BC11-1545-4117-E9D9-BB5DFDD8617E}"/>
            </a:ext>
          </a:extLst>
        </xdr:cNvPr>
        <xdr:cNvPicPr>
          <a:picLocks noChangeAspect="1"/>
        </xdr:cNvPicPr>
      </xdr:nvPicPr>
      <xdr:blipFill>
        <a:blip xmlns:r="http://schemas.openxmlformats.org/officeDocument/2006/relationships" r:embed="rId3"/>
        <a:stretch>
          <a:fillRect/>
        </a:stretch>
      </xdr:blipFill>
      <xdr:spPr>
        <a:xfrm>
          <a:off x="925285" y="7075714"/>
          <a:ext cx="3248317" cy="296091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97971</xdr:colOff>
      <xdr:row>6</xdr:row>
      <xdr:rowOff>152400</xdr:rowOff>
    </xdr:from>
    <xdr:to>
      <xdr:col>2</xdr:col>
      <xdr:colOff>2830286</xdr:colOff>
      <xdr:row>34</xdr:row>
      <xdr:rowOff>75560</xdr:rowOff>
    </xdr:to>
    <xdr:pic>
      <xdr:nvPicPr>
        <xdr:cNvPr id="3" name="Imagen 2">
          <a:extLst>
            <a:ext uri="{FF2B5EF4-FFF2-40B4-BE49-F238E27FC236}">
              <a16:creationId xmlns:a16="http://schemas.microsoft.com/office/drawing/2014/main" id="{5018FDC6-17FB-49EA-84B9-83F7A740E091}"/>
            </a:ext>
          </a:extLst>
        </xdr:cNvPr>
        <xdr:cNvPicPr>
          <a:picLocks noChangeAspect="1"/>
        </xdr:cNvPicPr>
      </xdr:nvPicPr>
      <xdr:blipFill>
        <a:blip xmlns:r="http://schemas.openxmlformats.org/officeDocument/2006/relationships" r:embed="rId1"/>
        <a:stretch>
          <a:fillRect/>
        </a:stretch>
      </xdr:blipFill>
      <xdr:spPr>
        <a:xfrm>
          <a:off x="892628" y="3396343"/>
          <a:ext cx="3526972" cy="6334846"/>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293914</xdr:colOff>
      <xdr:row>7</xdr:row>
      <xdr:rowOff>21771</xdr:rowOff>
    </xdr:from>
    <xdr:to>
      <xdr:col>2</xdr:col>
      <xdr:colOff>3597064</xdr:colOff>
      <xdr:row>21</xdr:row>
      <xdr:rowOff>29669</xdr:rowOff>
    </xdr:to>
    <xdr:pic>
      <xdr:nvPicPr>
        <xdr:cNvPr id="3" name="Imagen 2">
          <a:extLst>
            <a:ext uri="{FF2B5EF4-FFF2-40B4-BE49-F238E27FC236}">
              <a16:creationId xmlns:a16="http://schemas.microsoft.com/office/drawing/2014/main" id="{0FBAF769-8F3D-2FD1-4ADC-714B7483AAC1}"/>
            </a:ext>
          </a:extLst>
        </xdr:cNvPr>
        <xdr:cNvPicPr>
          <a:picLocks noChangeAspect="1"/>
        </xdr:cNvPicPr>
      </xdr:nvPicPr>
      <xdr:blipFill>
        <a:blip xmlns:r="http://schemas.openxmlformats.org/officeDocument/2006/relationships" r:embed="rId1"/>
        <a:stretch>
          <a:fillRect/>
        </a:stretch>
      </xdr:blipFill>
      <xdr:spPr>
        <a:xfrm>
          <a:off x="293914" y="3505200"/>
          <a:ext cx="4892464" cy="3208298"/>
        </a:xfrm>
        <a:prstGeom prst="rect">
          <a:avLst/>
        </a:prstGeom>
      </xdr:spPr>
    </xdr:pic>
    <xdr:clientData/>
  </xdr:twoCellAnchor>
  <xdr:twoCellAnchor editAs="oneCell">
    <xdr:from>
      <xdr:col>0</xdr:col>
      <xdr:colOff>304800</xdr:colOff>
      <xdr:row>21</xdr:row>
      <xdr:rowOff>141515</xdr:rowOff>
    </xdr:from>
    <xdr:to>
      <xdr:col>2</xdr:col>
      <xdr:colOff>3526971</xdr:colOff>
      <xdr:row>37</xdr:row>
      <xdr:rowOff>102486</xdr:rowOff>
    </xdr:to>
    <xdr:pic>
      <xdr:nvPicPr>
        <xdr:cNvPr id="4" name="Imagen 3">
          <a:extLst>
            <a:ext uri="{FF2B5EF4-FFF2-40B4-BE49-F238E27FC236}">
              <a16:creationId xmlns:a16="http://schemas.microsoft.com/office/drawing/2014/main" id="{581F59F8-5308-393D-3793-DCE2FBACE9D3}"/>
            </a:ext>
          </a:extLst>
        </xdr:cNvPr>
        <xdr:cNvPicPr>
          <a:picLocks noChangeAspect="1"/>
        </xdr:cNvPicPr>
      </xdr:nvPicPr>
      <xdr:blipFill>
        <a:blip xmlns:r="http://schemas.openxmlformats.org/officeDocument/2006/relationships" r:embed="rId2"/>
        <a:stretch>
          <a:fillRect/>
        </a:stretch>
      </xdr:blipFill>
      <xdr:spPr>
        <a:xfrm>
          <a:off x="304800" y="6825344"/>
          <a:ext cx="4811485" cy="3716542"/>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576942</xdr:colOff>
      <xdr:row>6</xdr:row>
      <xdr:rowOff>130629</xdr:rowOff>
    </xdr:from>
    <xdr:to>
      <xdr:col>2</xdr:col>
      <xdr:colOff>2960916</xdr:colOff>
      <xdr:row>38</xdr:row>
      <xdr:rowOff>73237</xdr:rowOff>
    </xdr:to>
    <xdr:pic>
      <xdr:nvPicPr>
        <xdr:cNvPr id="3" name="Imagen 2">
          <a:extLst>
            <a:ext uri="{FF2B5EF4-FFF2-40B4-BE49-F238E27FC236}">
              <a16:creationId xmlns:a16="http://schemas.microsoft.com/office/drawing/2014/main" id="{E4921E35-3BD6-43FC-819F-58FD09E12E97}"/>
            </a:ext>
          </a:extLst>
        </xdr:cNvPr>
        <xdr:cNvPicPr>
          <a:picLocks noChangeAspect="1"/>
        </xdr:cNvPicPr>
      </xdr:nvPicPr>
      <xdr:blipFill rotWithShape="1">
        <a:blip xmlns:r="http://schemas.openxmlformats.org/officeDocument/2006/relationships" r:embed="rId1"/>
        <a:srcRect r="3694"/>
        <a:stretch>
          <a:fillRect/>
        </a:stretch>
      </xdr:blipFill>
      <xdr:spPr>
        <a:xfrm>
          <a:off x="576942" y="3374572"/>
          <a:ext cx="3973288" cy="7410208"/>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266802</xdr:colOff>
      <xdr:row>6</xdr:row>
      <xdr:rowOff>209437</xdr:rowOff>
    </xdr:from>
    <xdr:to>
      <xdr:col>2</xdr:col>
      <xdr:colOff>1059196</xdr:colOff>
      <xdr:row>24</xdr:row>
      <xdr:rowOff>150757</xdr:rowOff>
    </xdr:to>
    <xdr:pic>
      <xdr:nvPicPr>
        <xdr:cNvPr id="3" name="Imagen 2">
          <a:extLst>
            <a:ext uri="{FF2B5EF4-FFF2-40B4-BE49-F238E27FC236}">
              <a16:creationId xmlns:a16="http://schemas.microsoft.com/office/drawing/2014/main" id="{82BF2AFF-B0B4-4E17-BD6E-D45193228040}"/>
            </a:ext>
          </a:extLst>
        </xdr:cNvPr>
        <xdr:cNvPicPr>
          <a:picLocks noChangeAspect="1"/>
        </xdr:cNvPicPr>
      </xdr:nvPicPr>
      <xdr:blipFill rotWithShape="1">
        <a:blip xmlns:r="http://schemas.openxmlformats.org/officeDocument/2006/relationships" r:embed="rId1"/>
        <a:srcRect r="2533"/>
        <a:stretch>
          <a:fillRect/>
        </a:stretch>
      </xdr:blipFill>
      <xdr:spPr>
        <a:xfrm>
          <a:off x="266802" y="3453380"/>
          <a:ext cx="2381708" cy="4524206"/>
        </a:xfrm>
        <a:prstGeom prst="rect">
          <a:avLst/>
        </a:prstGeom>
      </xdr:spPr>
    </xdr:pic>
    <xdr:clientData/>
  </xdr:twoCellAnchor>
  <xdr:twoCellAnchor editAs="oneCell">
    <xdr:from>
      <xdr:col>2</xdr:col>
      <xdr:colOff>1171684</xdr:colOff>
      <xdr:row>7</xdr:row>
      <xdr:rowOff>32655</xdr:rowOff>
    </xdr:from>
    <xdr:to>
      <xdr:col>2</xdr:col>
      <xdr:colOff>3751869</xdr:colOff>
      <xdr:row>24</xdr:row>
      <xdr:rowOff>65313</xdr:rowOff>
    </xdr:to>
    <xdr:pic>
      <xdr:nvPicPr>
        <xdr:cNvPr id="4" name="Imagen 3">
          <a:extLst>
            <a:ext uri="{FF2B5EF4-FFF2-40B4-BE49-F238E27FC236}">
              <a16:creationId xmlns:a16="http://schemas.microsoft.com/office/drawing/2014/main" id="{141B69A2-95AF-4107-869F-D0766599E4A2}"/>
            </a:ext>
          </a:extLst>
        </xdr:cNvPr>
        <xdr:cNvPicPr>
          <a:picLocks noChangeAspect="1"/>
        </xdr:cNvPicPr>
      </xdr:nvPicPr>
      <xdr:blipFill rotWithShape="1">
        <a:blip xmlns:r="http://schemas.openxmlformats.org/officeDocument/2006/relationships" r:embed="rId2"/>
        <a:srcRect t="50134"/>
        <a:stretch>
          <a:fillRect/>
        </a:stretch>
      </xdr:blipFill>
      <xdr:spPr>
        <a:xfrm>
          <a:off x="2760998" y="3516084"/>
          <a:ext cx="2580185" cy="4376058"/>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97972</xdr:colOff>
      <xdr:row>5</xdr:row>
      <xdr:rowOff>195942</xdr:rowOff>
    </xdr:from>
    <xdr:to>
      <xdr:col>2</xdr:col>
      <xdr:colOff>3167743</xdr:colOff>
      <xdr:row>36</xdr:row>
      <xdr:rowOff>156155</xdr:rowOff>
    </xdr:to>
    <xdr:pic>
      <xdr:nvPicPr>
        <xdr:cNvPr id="3" name="Imagen 2">
          <a:extLst>
            <a:ext uri="{FF2B5EF4-FFF2-40B4-BE49-F238E27FC236}">
              <a16:creationId xmlns:a16="http://schemas.microsoft.com/office/drawing/2014/main" id="{DC6AB9CC-0635-4615-9A3A-B40A5C538174}"/>
            </a:ext>
          </a:extLst>
        </xdr:cNvPr>
        <xdr:cNvPicPr>
          <a:picLocks noChangeAspect="1"/>
        </xdr:cNvPicPr>
      </xdr:nvPicPr>
      <xdr:blipFill rotWithShape="1">
        <a:blip xmlns:r="http://schemas.openxmlformats.org/officeDocument/2006/relationships" r:embed="rId1"/>
        <a:srcRect r="2533"/>
        <a:stretch>
          <a:fillRect/>
        </a:stretch>
      </xdr:blipFill>
      <xdr:spPr>
        <a:xfrm>
          <a:off x="892629" y="3211285"/>
          <a:ext cx="3864428" cy="7340727"/>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664027</xdr:colOff>
      <xdr:row>6</xdr:row>
      <xdr:rowOff>43543</xdr:rowOff>
    </xdr:from>
    <xdr:to>
      <xdr:col>2</xdr:col>
      <xdr:colOff>2558143</xdr:colOff>
      <xdr:row>37</xdr:row>
      <xdr:rowOff>57155</xdr:rowOff>
    </xdr:to>
    <xdr:pic>
      <xdr:nvPicPr>
        <xdr:cNvPr id="3" name="Imagen 2">
          <a:extLst>
            <a:ext uri="{FF2B5EF4-FFF2-40B4-BE49-F238E27FC236}">
              <a16:creationId xmlns:a16="http://schemas.microsoft.com/office/drawing/2014/main" id="{1C8DC73B-3B95-6B2B-6386-FD855A127219}"/>
            </a:ext>
          </a:extLst>
        </xdr:cNvPr>
        <xdr:cNvPicPr>
          <a:picLocks noChangeAspect="1"/>
        </xdr:cNvPicPr>
      </xdr:nvPicPr>
      <xdr:blipFill>
        <a:blip xmlns:r="http://schemas.openxmlformats.org/officeDocument/2006/relationships" r:embed="rId1"/>
        <a:stretch>
          <a:fillRect/>
        </a:stretch>
      </xdr:blipFill>
      <xdr:spPr>
        <a:xfrm>
          <a:off x="664027" y="3287486"/>
          <a:ext cx="3483430" cy="7198183"/>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304801</xdr:colOff>
      <xdr:row>10</xdr:row>
      <xdr:rowOff>0</xdr:rowOff>
    </xdr:from>
    <xdr:to>
      <xdr:col>2</xdr:col>
      <xdr:colOff>3670301</xdr:colOff>
      <xdr:row>29</xdr:row>
      <xdr:rowOff>152400</xdr:rowOff>
    </xdr:to>
    <xdr:pic>
      <xdr:nvPicPr>
        <xdr:cNvPr id="3" name="Imagen 2">
          <a:extLst>
            <a:ext uri="{FF2B5EF4-FFF2-40B4-BE49-F238E27FC236}">
              <a16:creationId xmlns:a16="http://schemas.microsoft.com/office/drawing/2014/main" id="{26B70383-D841-8373-61B1-9A60B0EE607D}"/>
            </a:ext>
          </a:extLst>
        </xdr:cNvPr>
        <xdr:cNvPicPr>
          <a:picLocks noChangeAspect="1"/>
        </xdr:cNvPicPr>
      </xdr:nvPicPr>
      <xdr:blipFill>
        <a:blip xmlns:r="http://schemas.openxmlformats.org/officeDocument/2006/relationships" r:embed="rId1"/>
        <a:stretch>
          <a:fillRect/>
        </a:stretch>
      </xdr:blipFill>
      <xdr:spPr>
        <a:xfrm>
          <a:off x="304801" y="4178300"/>
          <a:ext cx="4940300" cy="449580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419100</xdr:colOff>
      <xdr:row>6</xdr:row>
      <xdr:rowOff>114300</xdr:rowOff>
    </xdr:from>
    <xdr:to>
      <xdr:col>2</xdr:col>
      <xdr:colOff>901700</xdr:colOff>
      <xdr:row>31</xdr:row>
      <xdr:rowOff>140199</xdr:rowOff>
    </xdr:to>
    <xdr:pic>
      <xdr:nvPicPr>
        <xdr:cNvPr id="2" name="Imagen 1">
          <a:extLst>
            <a:ext uri="{FF2B5EF4-FFF2-40B4-BE49-F238E27FC236}">
              <a16:creationId xmlns:a16="http://schemas.microsoft.com/office/drawing/2014/main" id="{8D6F3EA7-598E-9515-37AB-5E0C66925C93}"/>
            </a:ext>
          </a:extLst>
        </xdr:cNvPr>
        <xdr:cNvPicPr>
          <a:picLocks noChangeAspect="1"/>
        </xdr:cNvPicPr>
      </xdr:nvPicPr>
      <xdr:blipFill>
        <a:blip xmlns:r="http://schemas.openxmlformats.org/officeDocument/2006/relationships" r:embed="rId1"/>
        <a:stretch>
          <a:fillRect/>
        </a:stretch>
      </xdr:blipFill>
      <xdr:spPr>
        <a:xfrm>
          <a:off x="419100" y="3365500"/>
          <a:ext cx="2057400" cy="5753599"/>
        </a:xfrm>
        <a:prstGeom prst="rect">
          <a:avLst/>
        </a:prstGeom>
      </xdr:spPr>
    </xdr:pic>
    <xdr:clientData/>
  </xdr:twoCellAnchor>
  <xdr:twoCellAnchor editAs="oneCell">
    <xdr:from>
      <xdr:col>2</xdr:col>
      <xdr:colOff>1004373</xdr:colOff>
      <xdr:row>11</xdr:row>
      <xdr:rowOff>101600</xdr:rowOff>
    </xdr:from>
    <xdr:to>
      <xdr:col>2</xdr:col>
      <xdr:colOff>3899416</xdr:colOff>
      <xdr:row>29</xdr:row>
      <xdr:rowOff>190500</xdr:rowOff>
    </xdr:to>
    <xdr:pic>
      <xdr:nvPicPr>
        <xdr:cNvPr id="4" name="Imagen 3">
          <a:extLst>
            <a:ext uri="{FF2B5EF4-FFF2-40B4-BE49-F238E27FC236}">
              <a16:creationId xmlns:a16="http://schemas.microsoft.com/office/drawing/2014/main" id="{A9546C73-7820-E7E6-2D14-8A09AF7C9EC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579173" y="4508500"/>
          <a:ext cx="2895043" cy="4203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469900</xdr:colOff>
      <xdr:row>7</xdr:row>
      <xdr:rowOff>177799</xdr:rowOff>
    </xdr:from>
    <xdr:to>
      <xdr:col>2</xdr:col>
      <xdr:colOff>3416300</xdr:colOff>
      <xdr:row>42</xdr:row>
      <xdr:rowOff>200694</xdr:rowOff>
    </xdr:to>
    <xdr:pic>
      <xdr:nvPicPr>
        <xdr:cNvPr id="2" name="Imagen 1">
          <a:extLst>
            <a:ext uri="{FF2B5EF4-FFF2-40B4-BE49-F238E27FC236}">
              <a16:creationId xmlns:a16="http://schemas.microsoft.com/office/drawing/2014/main" id="{48F13FFC-85A7-6758-0D34-E88A5347BCEC}"/>
            </a:ext>
          </a:extLst>
        </xdr:cNvPr>
        <xdr:cNvPicPr>
          <a:picLocks noChangeAspect="1"/>
        </xdr:cNvPicPr>
      </xdr:nvPicPr>
      <xdr:blipFill>
        <a:blip xmlns:r="http://schemas.openxmlformats.org/officeDocument/2006/relationships" r:embed="rId1"/>
        <a:stretch>
          <a:fillRect/>
        </a:stretch>
      </xdr:blipFill>
      <xdr:spPr>
        <a:xfrm>
          <a:off x="469900" y="3670299"/>
          <a:ext cx="4521200" cy="8023895"/>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11</xdr:col>
      <xdr:colOff>203200</xdr:colOff>
      <xdr:row>3</xdr:row>
      <xdr:rowOff>368300</xdr:rowOff>
    </xdr:from>
    <xdr:to>
      <xdr:col>18</xdr:col>
      <xdr:colOff>342900</xdr:colOff>
      <xdr:row>27</xdr:row>
      <xdr:rowOff>123496</xdr:rowOff>
    </xdr:to>
    <xdr:pic>
      <xdr:nvPicPr>
        <xdr:cNvPr id="3" name="Imagen 2">
          <a:extLst>
            <a:ext uri="{FF2B5EF4-FFF2-40B4-BE49-F238E27FC236}">
              <a16:creationId xmlns:a16="http://schemas.microsoft.com/office/drawing/2014/main" id="{00AA43CE-5BB6-687B-0F52-A605F9954D80}"/>
            </a:ext>
          </a:extLst>
        </xdr:cNvPr>
        <xdr:cNvPicPr>
          <a:picLocks noChangeAspect="1"/>
        </xdr:cNvPicPr>
      </xdr:nvPicPr>
      <xdr:blipFill>
        <a:blip xmlns:r="http://schemas.openxmlformats.org/officeDocument/2006/relationships" r:embed="rId1"/>
        <a:stretch>
          <a:fillRect/>
        </a:stretch>
      </xdr:blipFill>
      <xdr:spPr>
        <a:xfrm>
          <a:off x="16306800" y="1562100"/>
          <a:ext cx="5651500" cy="6625896"/>
        </a:xfrm>
        <a:prstGeom prst="rect">
          <a:avLst/>
        </a:prstGeom>
      </xdr:spPr>
    </xdr:pic>
    <xdr:clientData/>
  </xdr:twoCellAnchor>
  <xdr:twoCellAnchor editAs="oneCell">
    <xdr:from>
      <xdr:col>0</xdr:col>
      <xdr:colOff>101600</xdr:colOff>
      <xdr:row>6</xdr:row>
      <xdr:rowOff>25400</xdr:rowOff>
    </xdr:from>
    <xdr:to>
      <xdr:col>2</xdr:col>
      <xdr:colOff>866343</xdr:colOff>
      <xdr:row>26</xdr:row>
      <xdr:rowOff>51200</xdr:rowOff>
    </xdr:to>
    <xdr:pic>
      <xdr:nvPicPr>
        <xdr:cNvPr id="4" name="Imagen 3">
          <a:extLst>
            <a:ext uri="{FF2B5EF4-FFF2-40B4-BE49-F238E27FC236}">
              <a16:creationId xmlns:a16="http://schemas.microsoft.com/office/drawing/2014/main" id="{CC1B17B0-458C-D8CB-6DFF-9D5E8879E701}"/>
            </a:ext>
          </a:extLst>
        </xdr:cNvPr>
        <xdr:cNvPicPr>
          <a:picLocks noChangeAspect="1"/>
        </xdr:cNvPicPr>
      </xdr:nvPicPr>
      <xdr:blipFill>
        <a:blip xmlns:r="http://schemas.openxmlformats.org/officeDocument/2006/relationships" r:embed="rId2"/>
        <a:stretch>
          <a:fillRect/>
        </a:stretch>
      </xdr:blipFill>
      <xdr:spPr>
        <a:xfrm>
          <a:off x="101600" y="3276600"/>
          <a:ext cx="2339543" cy="4610500"/>
        </a:xfrm>
        <a:prstGeom prst="rect">
          <a:avLst/>
        </a:prstGeom>
      </xdr:spPr>
    </xdr:pic>
    <xdr:clientData/>
  </xdr:twoCellAnchor>
  <xdr:twoCellAnchor editAs="oneCell">
    <xdr:from>
      <xdr:col>2</xdr:col>
      <xdr:colOff>990601</xdr:colOff>
      <xdr:row>6</xdr:row>
      <xdr:rowOff>63500</xdr:rowOff>
    </xdr:from>
    <xdr:to>
      <xdr:col>2</xdr:col>
      <xdr:colOff>3720031</xdr:colOff>
      <xdr:row>27</xdr:row>
      <xdr:rowOff>28404</xdr:rowOff>
    </xdr:to>
    <xdr:pic>
      <xdr:nvPicPr>
        <xdr:cNvPr id="5" name="Imagen 4">
          <a:extLst>
            <a:ext uri="{FF2B5EF4-FFF2-40B4-BE49-F238E27FC236}">
              <a16:creationId xmlns:a16="http://schemas.microsoft.com/office/drawing/2014/main" id="{5197950B-3A21-51FC-14A3-CB9BC6FE5F30}"/>
            </a:ext>
          </a:extLst>
        </xdr:cNvPr>
        <xdr:cNvPicPr>
          <a:picLocks noChangeAspect="1"/>
        </xdr:cNvPicPr>
      </xdr:nvPicPr>
      <xdr:blipFill>
        <a:blip xmlns:r="http://schemas.openxmlformats.org/officeDocument/2006/relationships" r:embed="rId3"/>
        <a:stretch>
          <a:fillRect/>
        </a:stretch>
      </xdr:blipFill>
      <xdr:spPr>
        <a:xfrm>
          <a:off x="2565401" y="3314700"/>
          <a:ext cx="2729430" cy="4778204"/>
        </a:xfrm>
        <a:prstGeom prst="rect">
          <a:avLst/>
        </a:prstGeom>
      </xdr:spPr>
    </xdr:pic>
    <xdr:clientData/>
  </xdr:twoCellAnchor>
  <xdr:twoCellAnchor editAs="oneCell">
    <xdr:from>
      <xdr:col>0</xdr:col>
      <xdr:colOff>88901</xdr:colOff>
      <xdr:row>28</xdr:row>
      <xdr:rowOff>190500</xdr:rowOff>
    </xdr:from>
    <xdr:to>
      <xdr:col>2</xdr:col>
      <xdr:colOff>965201</xdr:colOff>
      <xdr:row>46</xdr:row>
      <xdr:rowOff>241300</xdr:rowOff>
    </xdr:to>
    <xdr:pic>
      <xdr:nvPicPr>
        <xdr:cNvPr id="6" name="Imagen 5">
          <a:extLst>
            <a:ext uri="{FF2B5EF4-FFF2-40B4-BE49-F238E27FC236}">
              <a16:creationId xmlns:a16="http://schemas.microsoft.com/office/drawing/2014/main" id="{C4AED54F-937F-8DBB-63CC-6F2E57D35290}"/>
            </a:ext>
          </a:extLst>
        </xdr:cNvPr>
        <xdr:cNvPicPr>
          <a:picLocks noChangeAspect="1"/>
        </xdr:cNvPicPr>
      </xdr:nvPicPr>
      <xdr:blipFill>
        <a:blip xmlns:r="http://schemas.openxmlformats.org/officeDocument/2006/relationships" r:embed="rId4"/>
        <a:stretch>
          <a:fillRect/>
        </a:stretch>
      </xdr:blipFill>
      <xdr:spPr>
        <a:xfrm>
          <a:off x="88901" y="8483600"/>
          <a:ext cx="2451100" cy="4178300"/>
        </a:xfrm>
        <a:prstGeom prst="rect">
          <a:avLst/>
        </a:prstGeom>
      </xdr:spPr>
    </xdr:pic>
    <xdr:clientData/>
  </xdr:twoCellAnchor>
  <xdr:twoCellAnchor editAs="oneCell">
    <xdr:from>
      <xdr:col>2</xdr:col>
      <xdr:colOff>1206500</xdr:colOff>
      <xdr:row>29</xdr:row>
      <xdr:rowOff>0</xdr:rowOff>
    </xdr:from>
    <xdr:to>
      <xdr:col>2</xdr:col>
      <xdr:colOff>3733800</xdr:colOff>
      <xdr:row>46</xdr:row>
      <xdr:rowOff>241300</xdr:rowOff>
    </xdr:to>
    <xdr:pic>
      <xdr:nvPicPr>
        <xdr:cNvPr id="2" name="Imagen 1">
          <a:extLst>
            <a:ext uri="{FF2B5EF4-FFF2-40B4-BE49-F238E27FC236}">
              <a16:creationId xmlns:a16="http://schemas.microsoft.com/office/drawing/2014/main" id="{535734C6-C66A-70D0-2DF3-23361C1E52FC}"/>
            </a:ext>
          </a:extLst>
        </xdr:cNvPr>
        <xdr:cNvPicPr>
          <a:picLocks noChangeAspect="1"/>
        </xdr:cNvPicPr>
      </xdr:nvPicPr>
      <xdr:blipFill>
        <a:blip xmlns:r="http://schemas.openxmlformats.org/officeDocument/2006/relationships" r:embed="rId5"/>
        <a:stretch>
          <a:fillRect/>
        </a:stretch>
      </xdr:blipFill>
      <xdr:spPr>
        <a:xfrm>
          <a:off x="2781300" y="8521700"/>
          <a:ext cx="2527300" cy="414020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195943</xdr:colOff>
      <xdr:row>6</xdr:row>
      <xdr:rowOff>185058</xdr:rowOff>
    </xdr:from>
    <xdr:to>
      <xdr:col>2</xdr:col>
      <xdr:colOff>3546929</xdr:colOff>
      <xdr:row>26</xdr:row>
      <xdr:rowOff>97972</xdr:rowOff>
    </xdr:to>
    <xdr:pic>
      <xdr:nvPicPr>
        <xdr:cNvPr id="3" name="Imagen 2">
          <a:extLst>
            <a:ext uri="{FF2B5EF4-FFF2-40B4-BE49-F238E27FC236}">
              <a16:creationId xmlns:a16="http://schemas.microsoft.com/office/drawing/2014/main" id="{569CBE9E-0C97-4BB4-BAC6-E7D1BBC2E836}"/>
            </a:ext>
          </a:extLst>
        </xdr:cNvPr>
        <xdr:cNvPicPr>
          <a:picLocks noChangeAspect="1"/>
        </xdr:cNvPicPr>
      </xdr:nvPicPr>
      <xdr:blipFill>
        <a:blip xmlns:r="http://schemas.openxmlformats.org/officeDocument/2006/relationships" r:embed="rId1"/>
        <a:stretch>
          <a:fillRect/>
        </a:stretch>
      </xdr:blipFill>
      <xdr:spPr>
        <a:xfrm>
          <a:off x="195943" y="3429001"/>
          <a:ext cx="4940300" cy="4495800"/>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424542</xdr:colOff>
      <xdr:row>6</xdr:row>
      <xdr:rowOff>119743</xdr:rowOff>
    </xdr:from>
    <xdr:to>
      <xdr:col>2</xdr:col>
      <xdr:colOff>2383972</xdr:colOff>
      <xdr:row>33</xdr:row>
      <xdr:rowOff>10885</xdr:rowOff>
    </xdr:to>
    <xdr:pic>
      <xdr:nvPicPr>
        <xdr:cNvPr id="3" name="Imagen 2">
          <a:extLst>
            <a:ext uri="{FF2B5EF4-FFF2-40B4-BE49-F238E27FC236}">
              <a16:creationId xmlns:a16="http://schemas.microsoft.com/office/drawing/2014/main" id="{810C5952-7053-C2A2-890C-E2778B1D5E5F}"/>
            </a:ext>
          </a:extLst>
        </xdr:cNvPr>
        <xdr:cNvPicPr>
          <a:picLocks noChangeAspect="1"/>
        </xdr:cNvPicPr>
      </xdr:nvPicPr>
      <xdr:blipFill>
        <a:blip xmlns:r="http://schemas.openxmlformats.org/officeDocument/2006/relationships" r:embed="rId1"/>
        <a:stretch>
          <a:fillRect/>
        </a:stretch>
      </xdr:blipFill>
      <xdr:spPr>
        <a:xfrm>
          <a:off x="424542" y="3363686"/>
          <a:ext cx="3548744" cy="6074228"/>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12700</xdr:colOff>
      <xdr:row>6</xdr:row>
      <xdr:rowOff>152400</xdr:rowOff>
    </xdr:from>
    <xdr:to>
      <xdr:col>2</xdr:col>
      <xdr:colOff>2759530</xdr:colOff>
      <xdr:row>33</xdr:row>
      <xdr:rowOff>43542</xdr:rowOff>
    </xdr:to>
    <xdr:pic>
      <xdr:nvPicPr>
        <xdr:cNvPr id="3" name="Imagen 2">
          <a:extLst>
            <a:ext uri="{FF2B5EF4-FFF2-40B4-BE49-F238E27FC236}">
              <a16:creationId xmlns:a16="http://schemas.microsoft.com/office/drawing/2014/main" id="{668AE9F1-EA5B-465E-AC35-5390FADFB4C4}"/>
            </a:ext>
          </a:extLst>
        </xdr:cNvPr>
        <xdr:cNvPicPr>
          <a:picLocks noChangeAspect="1"/>
        </xdr:cNvPicPr>
      </xdr:nvPicPr>
      <xdr:blipFill>
        <a:blip xmlns:r="http://schemas.openxmlformats.org/officeDocument/2006/relationships" r:embed="rId1"/>
        <a:stretch>
          <a:fillRect/>
        </a:stretch>
      </xdr:blipFill>
      <xdr:spPr>
        <a:xfrm>
          <a:off x="800100" y="3403600"/>
          <a:ext cx="3534230" cy="6076042"/>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165101</xdr:colOff>
      <xdr:row>6</xdr:row>
      <xdr:rowOff>190500</xdr:rowOff>
    </xdr:from>
    <xdr:to>
      <xdr:col>2</xdr:col>
      <xdr:colOff>3505201</xdr:colOff>
      <xdr:row>20</xdr:row>
      <xdr:rowOff>40905</xdr:rowOff>
    </xdr:to>
    <xdr:pic>
      <xdr:nvPicPr>
        <xdr:cNvPr id="3" name="Imagen 2">
          <a:extLst>
            <a:ext uri="{FF2B5EF4-FFF2-40B4-BE49-F238E27FC236}">
              <a16:creationId xmlns:a16="http://schemas.microsoft.com/office/drawing/2014/main" id="{009455DA-A19D-8998-CA35-1621B4427074}"/>
            </a:ext>
          </a:extLst>
        </xdr:cNvPr>
        <xdr:cNvPicPr>
          <a:picLocks noChangeAspect="1"/>
        </xdr:cNvPicPr>
      </xdr:nvPicPr>
      <xdr:blipFill>
        <a:blip xmlns:r="http://schemas.openxmlformats.org/officeDocument/2006/relationships" r:embed="rId1"/>
        <a:stretch>
          <a:fillRect/>
        </a:stretch>
      </xdr:blipFill>
      <xdr:spPr>
        <a:xfrm>
          <a:off x="165101" y="3441700"/>
          <a:ext cx="4914900" cy="3063505"/>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0</xdr:col>
      <xdr:colOff>609600</xdr:colOff>
      <xdr:row>5</xdr:row>
      <xdr:rowOff>152400</xdr:rowOff>
    </xdr:from>
    <xdr:to>
      <xdr:col>2</xdr:col>
      <xdr:colOff>2554516</xdr:colOff>
      <xdr:row>32</xdr:row>
      <xdr:rowOff>45356</xdr:rowOff>
    </xdr:to>
    <xdr:pic>
      <xdr:nvPicPr>
        <xdr:cNvPr id="2" name="Imagen 1">
          <a:extLst>
            <a:ext uri="{FF2B5EF4-FFF2-40B4-BE49-F238E27FC236}">
              <a16:creationId xmlns:a16="http://schemas.microsoft.com/office/drawing/2014/main" id="{33412CF7-7AC0-4698-B6AD-8D3D0CF3422A}"/>
            </a:ext>
          </a:extLst>
        </xdr:cNvPr>
        <xdr:cNvPicPr>
          <a:picLocks noChangeAspect="1"/>
        </xdr:cNvPicPr>
      </xdr:nvPicPr>
      <xdr:blipFill>
        <a:blip xmlns:r="http://schemas.openxmlformats.org/officeDocument/2006/relationships" r:embed="rId1"/>
        <a:stretch>
          <a:fillRect/>
        </a:stretch>
      </xdr:blipFill>
      <xdr:spPr>
        <a:xfrm>
          <a:off x="609600" y="3169920"/>
          <a:ext cx="3529876" cy="6072776"/>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609600</xdr:colOff>
      <xdr:row>5</xdr:row>
      <xdr:rowOff>152400</xdr:rowOff>
    </xdr:from>
    <xdr:to>
      <xdr:col>2</xdr:col>
      <xdr:colOff>2554516</xdr:colOff>
      <xdr:row>32</xdr:row>
      <xdr:rowOff>45356</xdr:rowOff>
    </xdr:to>
    <xdr:pic>
      <xdr:nvPicPr>
        <xdr:cNvPr id="3" name="Imagen 2">
          <a:extLst>
            <a:ext uri="{FF2B5EF4-FFF2-40B4-BE49-F238E27FC236}">
              <a16:creationId xmlns:a16="http://schemas.microsoft.com/office/drawing/2014/main" id="{1779064F-9084-42DA-A2B7-2E6403AB489C}"/>
            </a:ext>
          </a:extLst>
        </xdr:cNvPr>
        <xdr:cNvPicPr>
          <a:picLocks noChangeAspect="1"/>
        </xdr:cNvPicPr>
      </xdr:nvPicPr>
      <xdr:blipFill>
        <a:blip xmlns:r="http://schemas.openxmlformats.org/officeDocument/2006/relationships" r:embed="rId1"/>
        <a:stretch>
          <a:fillRect/>
        </a:stretch>
      </xdr:blipFill>
      <xdr:spPr>
        <a:xfrm>
          <a:off x="609600" y="3167743"/>
          <a:ext cx="3534230" cy="6076042"/>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0</xdr:colOff>
      <xdr:row>6</xdr:row>
      <xdr:rowOff>108857</xdr:rowOff>
    </xdr:from>
    <xdr:to>
      <xdr:col>2</xdr:col>
      <xdr:colOff>2725059</xdr:colOff>
      <xdr:row>33</xdr:row>
      <xdr:rowOff>3627</xdr:rowOff>
    </xdr:to>
    <xdr:pic>
      <xdr:nvPicPr>
        <xdr:cNvPr id="2" name="Imagen 1">
          <a:extLst>
            <a:ext uri="{FF2B5EF4-FFF2-40B4-BE49-F238E27FC236}">
              <a16:creationId xmlns:a16="http://schemas.microsoft.com/office/drawing/2014/main" id="{5996059F-74A6-4CF2-BC5A-22535075EB29}"/>
            </a:ext>
          </a:extLst>
        </xdr:cNvPr>
        <xdr:cNvPicPr>
          <a:picLocks noChangeAspect="1"/>
        </xdr:cNvPicPr>
      </xdr:nvPicPr>
      <xdr:blipFill>
        <a:blip xmlns:r="http://schemas.openxmlformats.org/officeDocument/2006/relationships" r:embed="rId1"/>
        <a:stretch>
          <a:fillRect/>
        </a:stretch>
      </xdr:blipFill>
      <xdr:spPr>
        <a:xfrm>
          <a:off x="794657" y="3352800"/>
          <a:ext cx="3519716" cy="6077856"/>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0</xdr:col>
      <xdr:colOff>533400</xdr:colOff>
      <xdr:row>6</xdr:row>
      <xdr:rowOff>63500</xdr:rowOff>
    </xdr:from>
    <xdr:to>
      <xdr:col>2</xdr:col>
      <xdr:colOff>2471059</xdr:colOff>
      <xdr:row>32</xdr:row>
      <xdr:rowOff>186870</xdr:rowOff>
    </xdr:to>
    <xdr:pic>
      <xdr:nvPicPr>
        <xdr:cNvPr id="5" name="Imagen 4">
          <a:extLst>
            <a:ext uri="{FF2B5EF4-FFF2-40B4-BE49-F238E27FC236}">
              <a16:creationId xmlns:a16="http://schemas.microsoft.com/office/drawing/2014/main" id="{291EC5F4-BABE-48F8-8CED-2E84F5441E99}"/>
            </a:ext>
          </a:extLst>
        </xdr:cNvPr>
        <xdr:cNvPicPr>
          <a:picLocks noChangeAspect="1"/>
        </xdr:cNvPicPr>
      </xdr:nvPicPr>
      <xdr:blipFill>
        <a:blip xmlns:r="http://schemas.openxmlformats.org/officeDocument/2006/relationships" r:embed="rId1"/>
        <a:stretch>
          <a:fillRect/>
        </a:stretch>
      </xdr:blipFill>
      <xdr:spPr>
        <a:xfrm>
          <a:off x="533400" y="3314700"/>
          <a:ext cx="3512459" cy="6079670"/>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0</xdr:col>
      <xdr:colOff>635000</xdr:colOff>
      <xdr:row>7</xdr:row>
      <xdr:rowOff>12700</xdr:rowOff>
    </xdr:from>
    <xdr:to>
      <xdr:col>2</xdr:col>
      <xdr:colOff>2572659</xdr:colOff>
      <xdr:row>33</xdr:row>
      <xdr:rowOff>148770</xdr:rowOff>
    </xdr:to>
    <xdr:pic>
      <xdr:nvPicPr>
        <xdr:cNvPr id="3" name="Imagen 2">
          <a:extLst>
            <a:ext uri="{FF2B5EF4-FFF2-40B4-BE49-F238E27FC236}">
              <a16:creationId xmlns:a16="http://schemas.microsoft.com/office/drawing/2014/main" id="{C6947E28-1193-42D7-B4DA-B374AD252610}"/>
            </a:ext>
          </a:extLst>
        </xdr:cNvPr>
        <xdr:cNvPicPr>
          <a:picLocks noChangeAspect="1"/>
        </xdr:cNvPicPr>
      </xdr:nvPicPr>
      <xdr:blipFill>
        <a:blip xmlns:r="http://schemas.openxmlformats.org/officeDocument/2006/relationships" r:embed="rId1"/>
        <a:stretch>
          <a:fillRect/>
        </a:stretch>
      </xdr:blipFill>
      <xdr:spPr>
        <a:xfrm>
          <a:off x="635000" y="3505200"/>
          <a:ext cx="3512459" cy="6079670"/>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0</xdr:col>
      <xdr:colOff>713014</xdr:colOff>
      <xdr:row>5</xdr:row>
      <xdr:rowOff>210457</xdr:rowOff>
    </xdr:from>
    <xdr:to>
      <xdr:col>2</xdr:col>
      <xdr:colOff>3214233</xdr:colOff>
      <xdr:row>19</xdr:row>
      <xdr:rowOff>58057</xdr:rowOff>
    </xdr:to>
    <xdr:pic>
      <xdr:nvPicPr>
        <xdr:cNvPr id="4" name="Imagen 3">
          <a:extLst>
            <a:ext uri="{FF2B5EF4-FFF2-40B4-BE49-F238E27FC236}">
              <a16:creationId xmlns:a16="http://schemas.microsoft.com/office/drawing/2014/main" id="{47F4CB44-1D11-C55E-D3F7-701E3866AF50}"/>
            </a:ext>
          </a:extLst>
        </xdr:cNvPr>
        <xdr:cNvPicPr>
          <a:picLocks noChangeAspect="1"/>
        </xdr:cNvPicPr>
      </xdr:nvPicPr>
      <xdr:blipFill>
        <a:blip xmlns:r="http://schemas.openxmlformats.org/officeDocument/2006/relationships" r:embed="rId1"/>
        <a:stretch>
          <a:fillRect/>
        </a:stretch>
      </xdr:blipFill>
      <xdr:spPr>
        <a:xfrm>
          <a:off x="713014" y="3225800"/>
          <a:ext cx="4090533" cy="3058886"/>
        </a:xfrm>
        <a:prstGeom prst="rect">
          <a:avLst/>
        </a:prstGeom>
      </xdr:spPr>
    </xdr:pic>
    <xdr:clientData/>
  </xdr:twoCellAnchor>
  <xdr:twoCellAnchor editAs="oneCell">
    <xdr:from>
      <xdr:col>1</xdr:col>
      <xdr:colOff>163286</xdr:colOff>
      <xdr:row>18</xdr:row>
      <xdr:rowOff>125186</xdr:rowOff>
    </xdr:from>
    <xdr:to>
      <xdr:col>2</xdr:col>
      <xdr:colOff>3004458</xdr:colOff>
      <xdr:row>32</xdr:row>
      <xdr:rowOff>201386</xdr:rowOff>
    </xdr:to>
    <xdr:pic>
      <xdr:nvPicPr>
        <xdr:cNvPr id="5" name="Imagen 4">
          <a:extLst>
            <a:ext uri="{FF2B5EF4-FFF2-40B4-BE49-F238E27FC236}">
              <a16:creationId xmlns:a16="http://schemas.microsoft.com/office/drawing/2014/main" id="{496F40A5-1013-1FC2-4BD9-41637D14C19E}"/>
            </a:ext>
          </a:extLst>
        </xdr:cNvPr>
        <xdr:cNvPicPr>
          <a:picLocks noChangeAspect="1"/>
        </xdr:cNvPicPr>
      </xdr:nvPicPr>
      <xdr:blipFill>
        <a:blip xmlns:r="http://schemas.openxmlformats.org/officeDocument/2006/relationships" r:embed="rId2"/>
        <a:stretch>
          <a:fillRect/>
        </a:stretch>
      </xdr:blipFill>
      <xdr:spPr>
        <a:xfrm>
          <a:off x="957943" y="6123215"/>
          <a:ext cx="3635829" cy="3276600"/>
        </a:xfrm>
        <a:prstGeom prst="rect">
          <a:avLst/>
        </a:prstGeom>
      </xdr:spPr>
    </xdr:pic>
    <xdr:clientData/>
  </xdr:twoCellAnchor>
  <xdr:twoCellAnchor editAs="oneCell">
    <xdr:from>
      <xdr:col>10</xdr:col>
      <xdr:colOff>468086</xdr:colOff>
      <xdr:row>4</xdr:row>
      <xdr:rowOff>1132115</xdr:rowOff>
    </xdr:from>
    <xdr:to>
      <xdr:col>19</xdr:col>
      <xdr:colOff>613672</xdr:colOff>
      <xdr:row>21</xdr:row>
      <xdr:rowOff>23586</xdr:rowOff>
    </xdr:to>
    <xdr:pic>
      <xdr:nvPicPr>
        <xdr:cNvPr id="6" name="Imagen 5">
          <a:extLst>
            <a:ext uri="{FF2B5EF4-FFF2-40B4-BE49-F238E27FC236}">
              <a16:creationId xmlns:a16="http://schemas.microsoft.com/office/drawing/2014/main" id="{FBC98627-5609-4F32-96E1-A7FBDF2A2269}"/>
            </a:ext>
          </a:extLst>
        </xdr:cNvPr>
        <xdr:cNvPicPr>
          <a:picLocks noChangeAspect="1"/>
        </xdr:cNvPicPr>
      </xdr:nvPicPr>
      <xdr:blipFill>
        <a:blip xmlns:r="http://schemas.openxmlformats.org/officeDocument/2006/relationships" r:embed="rId3"/>
        <a:stretch>
          <a:fillRect/>
        </a:stretch>
      </xdr:blipFill>
      <xdr:spPr>
        <a:xfrm>
          <a:off x="15816943" y="2808515"/>
          <a:ext cx="7297500" cy="3898900"/>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0</xdr:col>
      <xdr:colOff>673100</xdr:colOff>
      <xdr:row>7</xdr:row>
      <xdr:rowOff>88900</xdr:rowOff>
    </xdr:from>
    <xdr:to>
      <xdr:col>2</xdr:col>
      <xdr:colOff>3009900</xdr:colOff>
      <xdr:row>27</xdr:row>
      <xdr:rowOff>14278</xdr:rowOff>
    </xdr:to>
    <xdr:pic>
      <xdr:nvPicPr>
        <xdr:cNvPr id="4" name="Imagen 3">
          <a:extLst>
            <a:ext uri="{FF2B5EF4-FFF2-40B4-BE49-F238E27FC236}">
              <a16:creationId xmlns:a16="http://schemas.microsoft.com/office/drawing/2014/main" id="{3EA67AAD-6FE6-4416-874A-E492C160203A}"/>
            </a:ext>
          </a:extLst>
        </xdr:cNvPr>
        <xdr:cNvPicPr>
          <a:picLocks noChangeAspect="1"/>
        </xdr:cNvPicPr>
      </xdr:nvPicPr>
      <xdr:blipFill>
        <a:blip xmlns:r="http://schemas.openxmlformats.org/officeDocument/2006/relationships" r:embed="rId1"/>
        <a:stretch>
          <a:fillRect/>
        </a:stretch>
      </xdr:blipFill>
      <xdr:spPr>
        <a:xfrm>
          <a:off x="673100" y="3581400"/>
          <a:ext cx="3911600" cy="4497378"/>
        </a:xfrm>
        <a:prstGeom prst="rect">
          <a:avLst/>
        </a:prstGeom>
      </xdr:spPr>
    </xdr:pic>
    <xdr:clientData/>
  </xdr:twoCellAnchor>
  <xdr:twoCellAnchor editAs="oneCell">
    <xdr:from>
      <xdr:col>1</xdr:col>
      <xdr:colOff>76199</xdr:colOff>
      <xdr:row>19</xdr:row>
      <xdr:rowOff>201385</xdr:rowOff>
    </xdr:from>
    <xdr:to>
      <xdr:col>2</xdr:col>
      <xdr:colOff>2765586</xdr:colOff>
      <xdr:row>40</xdr:row>
      <xdr:rowOff>218262</xdr:rowOff>
    </xdr:to>
    <xdr:pic>
      <xdr:nvPicPr>
        <xdr:cNvPr id="5" name="Imagen 4">
          <a:extLst>
            <a:ext uri="{FF2B5EF4-FFF2-40B4-BE49-F238E27FC236}">
              <a16:creationId xmlns:a16="http://schemas.microsoft.com/office/drawing/2014/main" id="{5B836B36-BA33-48B6-AC25-D32EC01F7BBE}"/>
            </a:ext>
          </a:extLst>
        </xdr:cNvPr>
        <xdr:cNvPicPr>
          <a:picLocks noChangeAspect="1"/>
        </xdr:cNvPicPr>
      </xdr:nvPicPr>
      <xdr:blipFill>
        <a:blip xmlns:r="http://schemas.openxmlformats.org/officeDocument/2006/relationships" r:embed="rId2"/>
        <a:stretch>
          <a:fillRect/>
        </a:stretch>
      </xdr:blipFill>
      <xdr:spPr>
        <a:xfrm>
          <a:off x="863599" y="6437085"/>
          <a:ext cx="3476787" cy="4817477"/>
        </a:xfrm>
        <a:prstGeom prst="rect">
          <a:avLst/>
        </a:prstGeom>
      </xdr:spPr>
    </xdr:pic>
    <xdr:clientData/>
  </xdr:twoCellAnchor>
  <xdr:twoCellAnchor editAs="oneCell">
    <xdr:from>
      <xdr:col>10</xdr:col>
      <xdr:colOff>482600</xdr:colOff>
      <xdr:row>4</xdr:row>
      <xdr:rowOff>1155700</xdr:rowOff>
    </xdr:from>
    <xdr:to>
      <xdr:col>19</xdr:col>
      <xdr:colOff>693500</xdr:colOff>
      <xdr:row>21</xdr:row>
      <xdr:rowOff>38100</xdr:rowOff>
    </xdr:to>
    <xdr:pic>
      <xdr:nvPicPr>
        <xdr:cNvPr id="6" name="Imagen 5">
          <a:extLst>
            <a:ext uri="{FF2B5EF4-FFF2-40B4-BE49-F238E27FC236}">
              <a16:creationId xmlns:a16="http://schemas.microsoft.com/office/drawing/2014/main" id="{A3C65F06-A673-C71F-CEF9-3F19FD172205}"/>
            </a:ext>
          </a:extLst>
        </xdr:cNvPr>
        <xdr:cNvPicPr>
          <a:picLocks noChangeAspect="1"/>
        </xdr:cNvPicPr>
      </xdr:nvPicPr>
      <xdr:blipFill>
        <a:blip xmlns:r="http://schemas.openxmlformats.org/officeDocument/2006/relationships" r:embed="rId3"/>
        <a:stretch>
          <a:fillRect/>
        </a:stretch>
      </xdr:blipFill>
      <xdr:spPr>
        <a:xfrm>
          <a:off x="15798800" y="2832100"/>
          <a:ext cx="7297500" cy="3898900"/>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0</xdr:col>
      <xdr:colOff>774700</xdr:colOff>
      <xdr:row>7</xdr:row>
      <xdr:rowOff>76200</xdr:rowOff>
    </xdr:from>
    <xdr:to>
      <xdr:col>2</xdr:col>
      <xdr:colOff>3111500</xdr:colOff>
      <xdr:row>27</xdr:row>
      <xdr:rowOff>1578</xdr:rowOff>
    </xdr:to>
    <xdr:pic>
      <xdr:nvPicPr>
        <xdr:cNvPr id="4" name="Imagen 3">
          <a:extLst>
            <a:ext uri="{FF2B5EF4-FFF2-40B4-BE49-F238E27FC236}">
              <a16:creationId xmlns:a16="http://schemas.microsoft.com/office/drawing/2014/main" id="{56969465-607F-4FB8-BEFC-410E8B029447}"/>
            </a:ext>
          </a:extLst>
        </xdr:cNvPr>
        <xdr:cNvPicPr>
          <a:picLocks noChangeAspect="1"/>
        </xdr:cNvPicPr>
      </xdr:nvPicPr>
      <xdr:blipFill>
        <a:blip xmlns:r="http://schemas.openxmlformats.org/officeDocument/2006/relationships" r:embed="rId1"/>
        <a:stretch>
          <a:fillRect/>
        </a:stretch>
      </xdr:blipFill>
      <xdr:spPr>
        <a:xfrm>
          <a:off x="774700" y="3568700"/>
          <a:ext cx="3911600" cy="4497378"/>
        </a:xfrm>
        <a:prstGeom prst="rect">
          <a:avLst/>
        </a:prstGeom>
      </xdr:spPr>
    </xdr:pic>
    <xdr:clientData/>
  </xdr:twoCellAnchor>
  <xdr:twoCellAnchor editAs="oneCell">
    <xdr:from>
      <xdr:col>1</xdr:col>
      <xdr:colOff>215899</xdr:colOff>
      <xdr:row>20</xdr:row>
      <xdr:rowOff>10885</xdr:rowOff>
    </xdr:from>
    <xdr:to>
      <xdr:col>2</xdr:col>
      <xdr:colOff>2905286</xdr:colOff>
      <xdr:row>41</xdr:row>
      <xdr:rowOff>27762</xdr:rowOff>
    </xdr:to>
    <xdr:pic>
      <xdr:nvPicPr>
        <xdr:cNvPr id="5" name="Imagen 4">
          <a:extLst>
            <a:ext uri="{FF2B5EF4-FFF2-40B4-BE49-F238E27FC236}">
              <a16:creationId xmlns:a16="http://schemas.microsoft.com/office/drawing/2014/main" id="{D05B0C65-BAFD-4B19-858D-F630CFCEB74C}"/>
            </a:ext>
          </a:extLst>
        </xdr:cNvPr>
        <xdr:cNvPicPr>
          <a:picLocks noChangeAspect="1"/>
        </xdr:cNvPicPr>
      </xdr:nvPicPr>
      <xdr:blipFill>
        <a:blip xmlns:r="http://schemas.openxmlformats.org/officeDocument/2006/relationships" r:embed="rId2"/>
        <a:stretch>
          <a:fillRect/>
        </a:stretch>
      </xdr:blipFill>
      <xdr:spPr>
        <a:xfrm>
          <a:off x="1003299" y="6475185"/>
          <a:ext cx="3476787" cy="4817477"/>
        </a:xfrm>
        <a:prstGeom prst="rect">
          <a:avLst/>
        </a:prstGeom>
      </xdr:spPr>
    </xdr:pic>
    <xdr:clientData/>
  </xdr:twoCellAnchor>
  <xdr:twoCellAnchor editAs="oneCell">
    <xdr:from>
      <xdr:col>10</xdr:col>
      <xdr:colOff>609600</xdr:colOff>
      <xdr:row>4</xdr:row>
      <xdr:rowOff>584200</xdr:rowOff>
    </xdr:from>
    <xdr:to>
      <xdr:col>20</xdr:col>
      <xdr:colOff>33100</xdr:colOff>
      <xdr:row>18</xdr:row>
      <xdr:rowOff>152400</xdr:rowOff>
    </xdr:to>
    <xdr:pic>
      <xdr:nvPicPr>
        <xdr:cNvPr id="6" name="Imagen 5">
          <a:extLst>
            <a:ext uri="{FF2B5EF4-FFF2-40B4-BE49-F238E27FC236}">
              <a16:creationId xmlns:a16="http://schemas.microsoft.com/office/drawing/2014/main" id="{F4FBB4FA-F655-44E4-96CC-C59227259ACC}"/>
            </a:ext>
          </a:extLst>
        </xdr:cNvPr>
        <xdr:cNvPicPr>
          <a:picLocks noChangeAspect="1"/>
        </xdr:cNvPicPr>
      </xdr:nvPicPr>
      <xdr:blipFill>
        <a:blip xmlns:r="http://schemas.openxmlformats.org/officeDocument/2006/relationships" r:embed="rId3"/>
        <a:stretch>
          <a:fillRect/>
        </a:stretch>
      </xdr:blipFill>
      <xdr:spPr>
        <a:xfrm>
          <a:off x="15925800" y="2260600"/>
          <a:ext cx="7297500" cy="3898900"/>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0</xdr:col>
      <xdr:colOff>622300</xdr:colOff>
      <xdr:row>6</xdr:row>
      <xdr:rowOff>215900</xdr:rowOff>
    </xdr:from>
    <xdr:to>
      <xdr:col>2</xdr:col>
      <xdr:colOff>2959100</xdr:colOff>
      <xdr:row>26</xdr:row>
      <xdr:rowOff>128578</xdr:rowOff>
    </xdr:to>
    <xdr:pic>
      <xdr:nvPicPr>
        <xdr:cNvPr id="3" name="Imagen 2">
          <a:extLst>
            <a:ext uri="{FF2B5EF4-FFF2-40B4-BE49-F238E27FC236}">
              <a16:creationId xmlns:a16="http://schemas.microsoft.com/office/drawing/2014/main" id="{CA5081E9-4CF0-46B2-A188-F69187C48636}"/>
            </a:ext>
          </a:extLst>
        </xdr:cNvPr>
        <xdr:cNvPicPr>
          <a:picLocks noChangeAspect="1"/>
        </xdr:cNvPicPr>
      </xdr:nvPicPr>
      <xdr:blipFill>
        <a:blip xmlns:r="http://schemas.openxmlformats.org/officeDocument/2006/relationships" r:embed="rId1"/>
        <a:stretch>
          <a:fillRect/>
        </a:stretch>
      </xdr:blipFill>
      <xdr:spPr>
        <a:xfrm>
          <a:off x="622300" y="3467100"/>
          <a:ext cx="3911600" cy="4497378"/>
        </a:xfrm>
        <a:prstGeom prst="rect">
          <a:avLst/>
        </a:prstGeom>
      </xdr:spPr>
    </xdr:pic>
    <xdr:clientData/>
  </xdr:twoCellAnchor>
  <xdr:twoCellAnchor editAs="oneCell">
    <xdr:from>
      <xdr:col>1</xdr:col>
      <xdr:colOff>63499</xdr:colOff>
      <xdr:row>19</xdr:row>
      <xdr:rowOff>137885</xdr:rowOff>
    </xdr:from>
    <xdr:to>
      <xdr:col>2</xdr:col>
      <xdr:colOff>2752886</xdr:colOff>
      <xdr:row>40</xdr:row>
      <xdr:rowOff>154762</xdr:rowOff>
    </xdr:to>
    <xdr:pic>
      <xdr:nvPicPr>
        <xdr:cNvPr id="4" name="Imagen 3">
          <a:extLst>
            <a:ext uri="{FF2B5EF4-FFF2-40B4-BE49-F238E27FC236}">
              <a16:creationId xmlns:a16="http://schemas.microsoft.com/office/drawing/2014/main" id="{AE790395-A697-4D68-BCE9-39286E6ABB87}"/>
            </a:ext>
          </a:extLst>
        </xdr:cNvPr>
        <xdr:cNvPicPr>
          <a:picLocks noChangeAspect="1"/>
        </xdr:cNvPicPr>
      </xdr:nvPicPr>
      <xdr:blipFill>
        <a:blip xmlns:r="http://schemas.openxmlformats.org/officeDocument/2006/relationships" r:embed="rId2"/>
        <a:stretch>
          <a:fillRect/>
        </a:stretch>
      </xdr:blipFill>
      <xdr:spPr>
        <a:xfrm>
          <a:off x="850899" y="6373585"/>
          <a:ext cx="3476787" cy="4817477"/>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1</xdr:col>
      <xdr:colOff>101600</xdr:colOff>
      <xdr:row>6</xdr:row>
      <xdr:rowOff>190500</xdr:rowOff>
    </xdr:from>
    <xdr:to>
      <xdr:col>2</xdr:col>
      <xdr:colOff>2844799</xdr:colOff>
      <xdr:row>24</xdr:row>
      <xdr:rowOff>162281</xdr:rowOff>
    </xdr:to>
    <xdr:pic>
      <xdr:nvPicPr>
        <xdr:cNvPr id="5" name="Imagen 4">
          <a:extLst>
            <a:ext uri="{FF2B5EF4-FFF2-40B4-BE49-F238E27FC236}">
              <a16:creationId xmlns:a16="http://schemas.microsoft.com/office/drawing/2014/main" id="{28A5D601-38D6-12B7-76B7-4C9CDDC9821A}"/>
            </a:ext>
          </a:extLst>
        </xdr:cNvPr>
        <xdr:cNvPicPr>
          <a:picLocks noChangeAspect="1"/>
        </xdr:cNvPicPr>
      </xdr:nvPicPr>
      <xdr:blipFill>
        <a:blip xmlns:r="http://schemas.openxmlformats.org/officeDocument/2006/relationships" r:embed="rId1"/>
        <a:stretch>
          <a:fillRect/>
        </a:stretch>
      </xdr:blipFill>
      <xdr:spPr>
        <a:xfrm>
          <a:off x="889000" y="3441700"/>
          <a:ext cx="3530599" cy="4099281"/>
        </a:xfrm>
        <a:prstGeom prst="rect">
          <a:avLst/>
        </a:prstGeom>
      </xdr:spPr>
    </xdr:pic>
    <xdr:clientData/>
  </xdr:twoCellAnchor>
  <xdr:twoCellAnchor editAs="oneCell">
    <xdr:from>
      <xdr:col>1</xdr:col>
      <xdr:colOff>355600</xdr:colOff>
      <xdr:row>24</xdr:row>
      <xdr:rowOff>146730</xdr:rowOff>
    </xdr:from>
    <xdr:to>
      <xdr:col>2</xdr:col>
      <xdr:colOff>2781300</xdr:colOff>
      <xdr:row>41</xdr:row>
      <xdr:rowOff>12700</xdr:rowOff>
    </xdr:to>
    <xdr:pic>
      <xdr:nvPicPr>
        <xdr:cNvPr id="6" name="Imagen 5">
          <a:extLst>
            <a:ext uri="{FF2B5EF4-FFF2-40B4-BE49-F238E27FC236}">
              <a16:creationId xmlns:a16="http://schemas.microsoft.com/office/drawing/2014/main" id="{DB5EB37E-DCB0-6F81-5B59-215B3D3DC5F2}"/>
            </a:ext>
          </a:extLst>
        </xdr:cNvPr>
        <xdr:cNvPicPr>
          <a:picLocks noChangeAspect="1"/>
        </xdr:cNvPicPr>
      </xdr:nvPicPr>
      <xdr:blipFill>
        <a:blip xmlns:r="http://schemas.openxmlformats.org/officeDocument/2006/relationships" r:embed="rId2"/>
        <a:stretch>
          <a:fillRect/>
        </a:stretch>
      </xdr:blipFill>
      <xdr:spPr>
        <a:xfrm>
          <a:off x="1143000" y="7525430"/>
          <a:ext cx="3213100" cy="3802970"/>
        </a:xfrm>
        <a:prstGeom prst="rect">
          <a:avLst/>
        </a:prstGeom>
      </xdr:spPr>
    </xdr:pic>
    <xdr:clientData/>
  </xdr:twoCellAnchor>
  <xdr:twoCellAnchor editAs="oneCell">
    <xdr:from>
      <xdr:col>1</xdr:col>
      <xdr:colOff>63500</xdr:colOff>
      <xdr:row>6</xdr:row>
      <xdr:rowOff>203200</xdr:rowOff>
    </xdr:from>
    <xdr:to>
      <xdr:col>2</xdr:col>
      <xdr:colOff>2806699</xdr:colOff>
      <xdr:row>24</xdr:row>
      <xdr:rowOff>174981</xdr:rowOff>
    </xdr:to>
    <xdr:pic>
      <xdr:nvPicPr>
        <xdr:cNvPr id="2" name="Imagen 1">
          <a:extLst>
            <a:ext uri="{FF2B5EF4-FFF2-40B4-BE49-F238E27FC236}">
              <a16:creationId xmlns:a16="http://schemas.microsoft.com/office/drawing/2014/main" id="{9B6041AD-9A09-7444-1B76-C53D09FD3047}"/>
            </a:ext>
          </a:extLst>
        </xdr:cNvPr>
        <xdr:cNvPicPr>
          <a:picLocks noChangeAspect="1"/>
        </xdr:cNvPicPr>
      </xdr:nvPicPr>
      <xdr:blipFill>
        <a:blip xmlns:r="http://schemas.openxmlformats.org/officeDocument/2006/relationships" r:embed="rId1"/>
        <a:stretch>
          <a:fillRect/>
        </a:stretch>
      </xdr:blipFill>
      <xdr:spPr>
        <a:xfrm>
          <a:off x="850900" y="3454400"/>
          <a:ext cx="3530599" cy="4099281"/>
        </a:xfrm>
        <a:prstGeom prst="rect">
          <a:avLst/>
        </a:prstGeom>
      </xdr:spPr>
    </xdr:pic>
    <xdr:clientData/>
  </xdr:twoCellAnchor>
  <xdr:twoCellAnchor editAs="oneCell">
    <xdr:from>
      <xdr:col>1</xdr:col>
      <xdr:colOff>317500</xdr:colOff>
      <xdr:row>24</xdr:row>
      <xdr:rowOff>159430</xdr:rowOff>
    </xdr:from>
    <xdr:to>
      <xdr:col>2</xdr:col>
      <xdr:colOff>2743200</xdr:colOff>
      <xdr:row>41</xdr:row>
      <xdr:rowOff>25400</xdr:rowOff>
    </xdr:to>
    <xdr:pic>
      <xdr:nvPicPr>
        <xdr:cNvPr id="3" name="Imagen 2">
          <a:extLst>
            <a:ext uri="{FF2B5EF4-FFF2-40B4-BE49-F238E27FC236}">
              <a16:creationId xmlns:a16="http://schemas.microsoft.com/office/drawing/2014/main" id="{8D87487A-C66A-177D-589E-006E98C6882A}"/>
            </a:ext>
          </a:extLst>
        </xdr:cNvPr>
        <xdr:cNvPicPr>
          <a:picLocks noChangeAspect="1"/>
        </xdr:cNvPicPr>
      </xdr:nvPicPr>
      <xdr:blipFill>
        <a:blip xmlns:r="http://schemas.openxmlformats.org/officeDocument/2006/relationships" r:embed="rId2"/>
        <a:stretch>
          <a:fillRect/>
        </a:stretch>
      </xdr:blipFill>
      <xdr:spPr>
        <a:xfrm>
          <a:off x="1104900" y="7538130"/>
          <a:ext cx="3213100" cy="3802970"/>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0</xdr:col>
      <xdr:colOff>520700</xdr:colOff>
      <xdr:row>7</xdr:row>
      <xdr:rowOff>12700</xdr:rowOff>
    </xdr:from>
    <xdr:to>
      <xdr:col>2</xdr:col>
      <xdr:colOff>2476499</xdr:colOff>
      <xdr:row>24</xdr:row>
      <xdr:rowOff>225781</xdr:rowOff>
    </xdr:to>
    <xdr:pic>
      <xdr:nvPicPr>
        <xdr:cNvPr id="2" name="Imagen 1">
          <a:extLst>
            <a:ext uri="{FF2B5EF4-FFF2-40B4-BE49-F238E27FC236}">
              <a16:creationId xmlns:a16="http://schemas.microsoft.com/office/drawing/2014/main" id="{FE4EED63-C83E-400D-82B3-403887B1D5D1}"/>
            </a:ext>
          </a:extLst>
        </xdr:cNvPr>
        <xdr:cNvPicPr>
          <a:picLocks noChangeAspect="1"/>
        </xdr:cNvPicPr>
      </xdr:nvPicPr>
      <xdr:blipFill>
        <a:blip xmlns:r="http://schemas.openxmlformats.org/officeDocument/2006/relationships" r:embed="rId1"/>
        <a:stretch>
          <a:fillRect/>
        </a:stretch>
      </xdr:blipFill>
      <xdr:spPr>
        <a:xfrm>
          <a:off x="520700" y="3505200"/>
          <a:ext cx="3530599" cy="4099281"/>
        </a:xfrm>
        <a:prstGeom prst="rect">
          <a:avLst/>
        </a:prstGeom>
      </xdr:spPr>
    </xdr:pic>
    <xdr:clientData/>
  </xdr:twoCellAnchor>
  <xdr:twoCellAnchor editAs="oneCell">
    <xdr:from>
      <xdr:col>0</xdr:col>
      <xdr:colOff>774700</xdr:colOff>
      <xdr:row>24</xdr:row>
      <xdr:rowOff>210230</xdr:rowOff>
    </xdr:from>
    <xdr:to>
      <xdr:col>2</xdr:col>
      <xdr:colOff>2413000</xdr:colOff>
      <xdr:row>41</xdr:row>
      <xdr:rowOff>127000</xdr:rowOff>
    </xdr:to>
    <xdr:pic>
      <xdr:nvPicPr>
        <xdr:cNvPr id="3" name="Imagen 2">
          <a:extLst>
            <a:ext uri="{FF2B5EF4-FFF2-40B4-BE49-F238E27FC236}">
              <a16:creationId xmlns:a16="http://schemas.microsoft.com/office/drawing/2014/main" id="{FB366B88-FD9A-4998-BFCD-7BABB11B03CF}"/>
            </a:ext>
          </a:extLst>
        </xdr:cNvPr>
        <xdr:cNvPicPr>
          <a:picLocks noChangeAspect="1"/>
        </xdr:cNvPicPr>
      </xdr:nvPicPr>
      <xdr:blipFill>
        <a:blip xmlns:r="http://schemas.openxmlformats.org/officeDocument/2006/relationships" r:embed="rId2"/>
        <a:stretch>
          <a:fillRect/>
        </a:stretch>
      </xdr:blipFill>
      <xdr:spPr>
        <a:xfrm>
          <a:off x="774700" y="7588930"/>
          <a:ext cx="3213100" cy="3802970"/>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0</xdr:col>
      <xdr:colOff>635000</xdr:colOff>
      <xdr:row>6</xdr:row>
      <xdr:rowOff>190500</xdr:rowOff>
    </xdr:from>
    <xdr:to>
      <xdr:col>2</xdr:col>
      <xdr:colOff>2590799</xdr:colOff>
      <xdr:row>24</xdr:row>
      <xdr:rowOff>162281</xdr:rowOff>
    </xdr:to>
    <xdr:pic>
      <xdr:nvPicPr>
        <xdr:cNvPr id="2" name="Imagen 1">
          <a:extLst>
            <a:ext uri="{FF2B5EF4-FFF2-40B4-BE49-F238E27FC236}">
              <a16:creationId xmlns:a16="http://schemas.microsoft.com/office/drawing/2014/main" id="{40EB107D-7E7D-47FF-8370-2A40A72E39DC}"/>
            </a:ext>
          </a:extLst>
        </xdr:cNvPr>
        <xdr:cNvPicPr>
          <a:picLocks noChangeAspect="1"/>
        </xdr:cNvPicPr>
      </xdr:nvPicPr>
      <xdr:blipFill>
        <a:blip xmlns:r="http://schemas.openxmlformats.org/officeDocument/2006/relationships" r:embed="rId1"/>
        <a:stretch>
          <a:fillRect/>
        </a:stretch>
      </xdr:blipFill>
      <xdr:spPr>
        <a:xfrm>
          <a:off x="635000" y="3441700"/>
          <a:ext cx="3530599" cy="4099281"/>
        </a:xfrm>
        <a:prstGeom prst="rect">
          <a:avLst/>
        </a:prstGeom>
      </xdr:spPr>
    </xdr:pic>
    <xdr:clientData/>
  </xdr:twoCellAnchor>
  <xdr:twoCellAnchor editAs="oneCell">
    <xdr:from>
      <xdr:col>1</xdr:col>
      <xdr:colOff>101600</xdr:colOff>
      <xdr:row>24</xdr:row>
      <xdr:rowOff>146730</xdr:rowOff>
    </xdr:from>
    <xdr:to>
      <xdr:col>2</xdr:col>
      <xdr:colOff>2527300</xdr:colOff>
      <xdr:row>41</xdr:row>
      <xdr:rowOff>63500</xdr:rowOff>
    </xdr:to>
    <xdr:pic>
      <xdr:nvPicPr>
        <xdr:cNvPr id="3" name="Imagen 2">
          <a:extLst>
            <a:ext uri="{FF2B5EF4-FFF2-40B4-BE49-F238E27FC236}">
              <a16:creationId xmlns:a16="http://schemas.microsoft.com/office/drawing/2014/main" id="{1DED8D33-A905-47AB-A5D5-84A893F086E4}"/>
            </a:ext>
          </a:extLst>
        </xdr:cNvPr>
        <xdr:cNvPicPr>
          <a:picLocks noChangeAspect="1"/>
        </xdr:cNvPicPr>
      </xdr:nvPicPr>
      <xdr:blipFill>
        <a:blip xmlns:r="http://schemas.openxmlformats.org/officeDocument/2006/relationships" r:embed="rId2"/>
        <a:stretch>
          <a:fillRect/>
        </a:stretch>
      </xdr:blipFill>
      <xdr:spPr>
        <a:xfrm>
          <a:off x="889000" y="7525430"/>
          <a:ext cx="3213100" cy="3802970"/>
        </a:xfrm>
        <a:prstGeom prst="rect">
          <a:avLst/>
        </a:prstGeom>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0</xdr:col>
      <xdr:colOff>647700</xdr:colOff>
      <xdr:row>6</xdr:row>
      <xdr:rowOff>50800</xdr:rowOff>
    </xdr:from>
    <xdr:to>
      <xdr:col>2</xdr:col>
      <xdr:colOff>2603499</xdr:colOff>
      <xdr:row>24</xdr:row>
      <xdr:rowOff>22581</xdr:rowOff>
    </xdr:to>
    <xdr:pic>
      <xdr:nvPicPr>
        <xdr:cNvPr id="2" name="Imagen 1">
          <a:extLst>
            <a:ext uri="{FF2B5EF4-FFF2-40B4-BE49-F238E27FC236}">
              <a16:creationId xmlns:a16="http://schemas.microsoft.com/office/drawing/2014/main" id="{F32EC4C4-AC01-467F-A2FC-ED74836FC1E8}"/>
            </a:ext>
          </a:extLst>
        </xdr:cNvPr>
        <xdr:cNvPicPr>
          <a:picLocks noChangeAspect="1"/>
        </xdr:cNvPicPr>
      </xdr:nvPicPr>
      <xdr:blipFill>
        <a:blip xmlns:r="http://schemas.openxmlformats.org/officeDocument/2006/relationships" r:embed="rId1"/>
        <a:stretch>
          <a:fillRect/>
        </a:stretch>
      </xdr:blipFill>
      <xdr:spPr>
        <a:xfrm>
          <a:off x="647700" y="3302000"/>
          <a:ext cx="3530599" cy="4099281"/>
        </a:xfrm>
        <a:prstGeom prst="rect">
          <a:avLst/>
        </a:prstGeom>
      </xdr:spPr>
    </xdr:pic>
    <xdr:clientData/>
  </xdr:twoCellAnchor>
  <xdr:twoCellAnchor editAs="oneCell">
    <xdr:from>
      <xdr:col>1</xdr:col>
      <xdr:colOff>114300</xdr:colOff>
      <xdr:row>24</xdr:row>
      <xdr:rowOff>7030</xdr:rowOff>
    </xdr:from>
    <xdr:to>
      <xdr:col>2</xdr:col>
      <xdr:colOff>2540000</xdr:colOff>
      <xdr:row>40</xdr:row>
      <xdr:rowOff>152400</xdr:rowOff>
    </xdr:to>
    <xdr:pic>
      <xdr:nvPicPr>
        <xdr:cNvPr id="3" name="Imagen 2">
          <a:extLst>
            <a:ext uri="{FF2B5EF4-FFF2-40B4-BE49-F238E27FC236}">
              <a16:creationId xmlns:a16="http://schemas.microsoft.com/office/drawing/2014/main" id="{EA88722C-FC82-4BC8-BAF7-E0DA0CA57238}"/>
            </a:ext>
          </a:extLst>
        </xdr:cNvPr>
        <xdr:cNvPicPr>
          <a:picLocks noChangeAspect="1"/>
        </xdr:cNvPicPr>
      </xdr:nvPicPr>
      <xdr:blipFill>
        <a:blip xmlns:r="http://schemas.openxmlformats.org/officeDocument/2006/relationships" r:embed="rId2"/>
        <a:stretch>
          <a:fillRect/>
        </a:stretch>
      </xdr:blipFill>
      <xdr:spPr>
        <a:xfrm>
          <a:off x="901700" y="7385730"/>
          <a:ext cx="3213100" cy="3802970"/>
        </a:xfrm>
        <a:prstGeom prst="rect">
          <a:avLst/>
        </a:prstGeom>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0</xdr:col>
      <xdr:colOff>508000</xdr:colOff>
      <xdr:row>7</xdr:row>
      <xdr:rowOff>215900</xdr:rowOff>
    </xdr:from>
    <xdr:to>
      <xdr:col>2</xdr:col>
      <xdr:colOff>3254114</xdr:colOff>
      <xdr:row>20</xdr:row>
      <xdr:rowOff>216177</xdr:rowOff>
    </xdr:to>
    <xdr:pic>
      <xdr:nvPicPr>
        <xdr:cNvPr id="2" name="Imagen 1">
          <a:extLst>
            <a:ext uri="{FF2B5EF4-FFF2-40B4-BE49-F238E27FC236}">
              <a16:creationId xmlns:a16="http://schemas.microsoft.com/office/drawing/2014/main" id="{308857A7-AD65-F0BF-4197-DBA6649E3C9D}"/>
            </a:ext>
          </a:extLst>
        </xdr:cNvPr>
        <xdr:cNvPicPr>
          <a:picLocks noChangeAspect="1"/>
        </xdr:cNvPicPr>
      </xdr:nvPicPr>
      <xdr:blipFill>
        <a:blip xmlns:r="http://schemas.openxmlformats.org/officeDocument/2006/relationships" r:embed="rId1"/>
        <a:stretch>
          <a:fillRect/>
        </a:stretch>
      </xdr:blipFill>
      <xdr:spPr>
        <a:xfrm>
          <a:off x="508000" y="3708400"/>
          <a:ext cx="4320914" cy="3200677"/>
        </a:xfrm>
        <a:prstGeom prst="rect">
          <a:avLst/>
        </a:prstGeom>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1</xdr:col>
      <xdr:colOff>76200</xdr:colOff>
      <xdr:row>7</xdr:row>
      <xdr:rowOff>38100</xdr:rowOff>
    </xdr:from>
    <xdr:to>
      <xdr:col>2</xdr:col>
      <xdr:colOff>2755900</xdr:colOff>
      <xdr:row>21</xdr:row>
      <xdr:rowOff>195497</xdr:rowOff>
    </xdr:to>
    <xdr:pic>
      <xdr:nvPicPr>
        <xdr:cNvPr id="2" name="Imagen 1">
          <a:extLst>
            <a:ext uri="{FF2B5EF4-FFF2-40B4-BE49-F238E27FC236}">
              <a16:creationId xmlns:a16="http://schemas.microsoft.com/office/drawing/2014/main" id="{E732F2C7-F54B-4E20-9BF0-9B5E1B97A588}"/>
            </a:ext>
          </a:extLst>
        </xdr:cNvPr>
        <xdr:cNvPicPr>
          <a:picLocks noChangeAspect="1"/>
        </xdr:cNvPicPr>
      </xdr:nvPicPr>
      <xdr:blipFill>
        <a:blip xmlns:r="http://schemas.openxmlformats.org/officeDocument/2006/relationships" r:embed="rId1"/>
        <a:stretch>
          <a:fillRect/>
        </a:stretch>
      </xdr:blipFill>
      <xdr:spPr>
        <a:xfrm>
          <a:off x="868680" y="3520440"/>
          <a:ext cx="3472180" cy="3357797"/>
        </a:xfrm>
        <a:prstGeom prst="rect">
          <a:avLst/>
        </a:prstGeom>
      </xdr:spPr>
    </xdr:pic>
    <xdr:clientData/>
  </xdr:twoCellAnchor>
  <xdr:twoCellAnchor editAs="oneCell">
    <xdr:from>
      <xdr:col>1</xdr:col>
      <xdr:colOff>12700</xdr:colOff>
      <xdr:row>21</xdr:row>
      <xdr:rowOff>151226</xdr:rowOff>
    </xdr:from>
    <xdr:to>
      <xdr:col>2</xdr:col>
      <xdr:colOff>2628899</xdr:colOff>
      <xdr:row>37</xdr:row>
      <xdr:rowOff>180839</xdr:rowOff>
    </xdr:to>
    <xdr:pic>
      <xdr:nvPicPr>
        <xdr:cNvPr id="3" name="Imagen 2">
          <a:extLst>
            <a:ext uri="{FF2B5EF4-FFF2-40B4-BE49-F238E27FC236}">
              <a16:creationId xmlns:a16="http://schemas.microsoft.com/office/drawing/2014/main" id="{2948045B-092E-4888-87C8-99653BA24A99}"/>
            </a:ext>
          </a:extLst>
        </xdr:cNvPr>
        <xdr:cNvPicPr>
          <a:picLocks noChangeAspect="1"/>
        </xdr:cNvPicPr>
      </xdr:nvPicPr>
      <xdr:blipFill>
        <a:blip xmlns:r="http://schemas.openxmlformats.org/officeDocument/2006/relationships" r:embed="rId2"/>
        <a:stretch>
          <a:fillRect/>
        </a:stretch>
      </xdr:blipFill>
      <xdr:spPr>
        <a:xfrm>
          <a:off x="805180" y="6833966"/>
          <a:ext cx="3408679" cy="3687213"/>
        </a:xfrm>
        <a:prstGeom prst="rect">
          <a:avLst/>
        </a:prstGeom>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1</xdr:col>
      <xdr:colOff>76200</xdr:colOff>
      <xdr:row>7</xdr:row>
      <xdr:rowOff>38100</xdr:rowOff>
    </xdr:from>
    <xdr:to>
      <xdr:col>2</xdr:col>
      <xdr:colOff>2755900</xdr:colOff>
      <xdr:row>21</xdr:row>
      <xdr:rowOff>195497</xdr:rowOff>
    </xdr:to>
    <xdr:pic>
      <xdr:nvPicPr>
        <xdr:cNvPr id="2" name="Imagen 1">
          <a:extLst>
            <a:ext uri="{FF2B5EF4-FFF2-40B4-BE49-F238E27FC236}">
              <a16:creationId xmlns:a16="http://schemas.microsoft.com/office/drawing/2014/main" id="{E7638529-3CE6-4C66-917A-19F7273D0B17}"/>
            </a:ext>
          </a:extLst>
        </xdr:cNvPr>
        <xdr:cNvPicPr>
          <a:picLocks noChangeAspect="1"/>
        </xdr:cNvPicPr>
      </xdr:nvPicPr>
      <xdr:blipFill>
        <a:blip xmlns:r="http://schemas.openxmlformats.org/officeDocument/2006/relationships" r:embed="rId1"/>
        <a:stretch>
          <a:fillRect/>
        </a:stretch>
      </xdr:blipFill>
      <xdr:spPr>
        <a:xfrm>
          <a:off x="868680" y="3520440"/>
          <a:ext cx="3472180" cy="3357797"/>
        </a:xfrm>
        <a:prstGeom prst="rect">
          <a:avLst/>
        </a:prstGeom>
      </xdr:spPr>
    </xdr:pic>
    <xdr:clientData/>
  </xdr:twoCellAnchor>
  <xdr:twoCellAnchor editAs="oneCell">
    <xdr:from>
      <xdr:col>1</xdr:col>
      <xdr:colOff>12700</xdr:colOff>
      <xdr:row>21</xdr:row>
      <xdr:rowOff>151226</xdr:rowOff>
    </xdr:from>
    <xdr:to>
      <xdr:col>2</xdr:col>
      <xdr:colOff>2628899</xdr:colOff>
      <xdr:row>37</xdr:row>
      <xdr:rowOff>180839</xdr:rowOff>
    </xdr:to>
    <xdr:pic>
      <xdr:nvPicPr>
        <xdr:cNvPr id="3" name="Imagen 2">
          <a:extLst>
            <a:ext uri="{FF2B5EF4-FFF2-40B4-BE49-F238E27FC236}">
              <a16:creationId xmlns:a16="http://schemas.microsoft.com/office/drawing/2014/main" id="{917F020E-83FD-4B28-831D-74BB5CE84FFB}"/>
            </a:ext>
          </a:extLst>
        </xdr:cNvPr>
        <xdr:cNvPicPr>
          <a:picLocks noChangeAspect="1"/>
        </xdr:cNvPicPr>
      </xdr:nvPicPr>
      <xdr:blipFill>
        <a:blip xmlns:r="http://schemas.openxmlformats.org/officeDocument/2006/relationships" r:embed="rId2"/>
        <a:stretch>
          <a:fillRect/>
        </a:stretch>
      </xdr:blipFill>
      <xdr:spPr>
        <a:xfrm>
          <a:off x="805180" y="6833966"/>
          <a:ext cx="3408679" cy="3687213"/>
        </a:xfrm>
        <a:prstGeom prst="rect">
          <a:avLst/>
        </a:prstGeom>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1</xdr:col>
      <xdr:colOff>76200</xdr:colOff>
      <xdr:row>7</xdr:row>
      <xdr:rowOff>38100</xdr:rowOff>
    </xdr:from>
    <xdr:to>
      <xdr:col>2</xdr:col>
      <xdr:colOff>2755900</xdr:colOff>
      <xdr:row>21</xdr:row>
      <xdr:rowOff>195497</xdr:rowOff>
    </xdr:to>
    <xdr:pic>
      <xdr:nvPicPr>
        <xdr:cNvPr id="2" name="Imagen 1">
          <a:extLst>
            <a:ext uri="{FF2B5EF4-FFF2-40B4-BE49-F238E27FC236}">
              <a16:creationId xmlns:a16="http://schemas.microsoft.com/office/drawing/2014/main" id="{104FC267-362C-445E-9D10-1B94A772B0F9}"/>
            </a:ext>
          </a:extLst>
        </xdr:cNvPr>
        <xdr:cNvPicPr>
          <a:picLocks noChangeAspect="1"/>
        </xdr:cNvPicPr>
      </xdr:nvPicPr>
      <xdr:blipFill>
        <a:blip xmlns:r="http://schemas.openxmlformats.org/officeDocument/2006/relationships" r:embed="rId1"/>
        <a:stretch>
          <a:fillRect/>
        </a:stretch>
      </xdr:blipFill>
      <xdr:spPr>
        <a:xfrm>
          <a:off x="868680" y="3520440"/>
          <a:ext cx="3472180" cy="3357797"/>
        </a:xfrm>
        <a:prstGeom prst="rect">
          <a:avLst/>
        </a:prstGeom>
      </xdr:spPr>
    </xdr:pic>
    <xdr:clientData/>
  </xdr:twoCellAnchor>
  <xdr:twoCellAnchor editAs="oneCell">
    <xdr:from>
      <xdr:col>1</xdr:col>
      <xdr:colOff>12700</xdr:colOff>
      <xdr:row>21</xdr:row>
      <xdr:rowOff>151226</xdr:rowOff>
    </xdr:from>
    <xdr:to>
      <xdr:col>2</xdr:col>
      <xdr:colOff>2628899</xdr:colOff>
      <xdr:row>37</xdr:row>
      <xdr:rowOff>180839</xdr:rowOff>
    </xdr:to>
    <xdr:pic>
      <xdr:nvPicPr>
        <xdr:cNvPr id="3" name="Imagen 2">
          <a:extLst>
            <a:ext uri="{FF2B5EF4-FFF2-40B4-BE49-F238E27FC236}">
              <a16:creationId xmlns:a16="http://schemas.microsoft.com/office/drawing/2014/main" id="{A8A7F595-9DFB-431E-B157-4C6807776D37}"/>
            </a:ext>
          </a:extLst>
        </xdr:cNvPr>
        <xdr:cNvPicPr>
          <a:picLocks noChangeAspect="1"/>
        </xdr:cNvPicPr>
      </xdr:nvPicPr>
      <xdr:blipFill>
        <a:blip xmlns:r="http://schemas.openxmlformats.org/officeDocument/2006/relationships" r:embed="rId2"/>
        <a:stretch>
          <a:fillRect/>
        </a:stretch>
      </xdr:blipFill>
      <xdr:spPr>
        <a:xfrm>
          <a:off x="805180" y="6833966"/>
          <a:ext cx="3408679" cy="3687213"/>
        </a:xfrm>
        <a:prstGeom prst="rect">
          <a:avLst/>
        </a:prstGeom>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2</xdr:col>
      <xdr:colOff>0</xdr:colOff>
      <xdr:row>14</xdr:row>
      <xdr:rowOff>0</xdr:rowOff>
    </xdr:from>
    <xdr:to>
      <xdr:col>2</xdr:col>
      <xdr:colOff>3292125</xdr:colOff>
      <xdr:row>40</xdr:row>
      <xdr:rowOff>117366</xdr:rowOff>
    </xdr:to>
    <xdr:pic>
      <xdr:nvPicPr>
        <xdr:cNvPr id="4" name="Imagen 3">
          <a:extLst>
            <a:ext uri="{FF2B5EF4-FFF2-40B4-BE49-F238E27FC236}">
              <a16:creationId xmlns:a16="http://schemas.microsoft.com/office/drawing/2014/main" id="{946115B7-51FA-2AB5-7BAB-CFA3F876317C}"/>
            </a:ext>
          </a:extLst>
        </xdr:cNvPr>
        <xdr:cNvPicPr>
          <a:picLocks noChangeAspect="1"/>
        </xdr:cNvPicPr>
      </xdr:nvPicPr>
      <xdr:blipFill>
        <a:blip xmlns:r="http://schemas.openxmlformats.org/officeDocument/2006/relationships" r:embed="rId1"/>
        <a:stretch>
          <a:fillRect/>
        </a:stretch>
      </xdr:blipFill>
      <xdr:spPr>
        <a:xfrm>
          <a:off x="1574800" y="5092700"/>
          <a:ext cx="3292125" cy="6073666"/>
        </a:xfrm>
        <a:prstGeom prst="rect">
          <a:avLst/>
        </a:prstGeom>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0</xdr:col>
      <xdr:colOff>0</xdr:colOff>
      <xdr:row>6</xdr:row>
      <xdr:rowOff>70792</xdr:rowOff>
    </xdr:from>
    <xdr:to>
      <xdr:col>2</xdr:col>
      <xdr:colOff>3911600</xdr:colOff>
      <xdr:row>20</xdr:row>
      <xdr:rowOff>79194</xdr:rowOff>
    </xdr:to>
    <xdr:pic>
      <xdr:nvPicPr>
        <xdr:cNvPr id="3" name="Imagen 2">
          <a:extLst>
            <a:ext uri="{FF2B5EF4-FFF2-40B4-BE49-F238E27FC236}">
              <a16:creationId xmlns:a16="http://schemas.microsoft.com/office/drawing/2014/main" id="{3EF098C6-5ED3-C60D-E7E0-C293A7B42F06}"/>
            </a:ext>
          </a:extLst>
        </xdr:cNvPr>
        <xdr:cNvPicPr>
          <a:picLocks noChangeAspect="1"/>
        </xdr:cNvPicPr>
      </xdr:nvPicPr>
      <xdr:blipFill>
        <a:blip xmlns:r="http://schemas.openxmlformats.org/officeDocument/2006/relationships" r:embed="rId1"/>
        <a:stretch>
          <a:fillRect/>
        </a:stretch>
      </xdr:blipFill>
      <xdr:spPr>
        <a:xfrm>
          <a:off x="0" y="3321992"/>
          <a:ext cx="5486400" cy="3221502"/>
        </a:xfrm>
        <a:prstGeom prst="rect">
          <a:avLst/>
        </a:prstGeom>
      </xdr:spPr>
    </xdr:pic>
    <xdr:clientData/>
  </xdr:twoCellAnchor>
  <xdr:twoCellAnchor editAs="oneCell">
    <xdr:from>
      <xdr:col>0</xdr:col>
      <xdr:colOff>317500</xdr:colOff>
      <xdr:row>22</xdr:row>
      <xdr:rowOff>127000</xdr:rowOff>
    </xdr:from>
    <xdr:to>
      <xdr:col>2</xdr:col>
      <xdr:colOff>3551337</xdr:colOff>
      <xdr:row>31</xdr:row>
      <xdr:rowOff>142420</xdr:rowOff>
    </xdr:to>
    <xdr:pic>
      <xdr:nvPicPr>
        <xdr:cNvPr id="4" name="Imagen 3">
          <a:extLst>
            <a:ext uri="{FF2B5EF4-FFF2-40B4-BE49-F238E27FC236}">
              <a16:creationId xmlns:a16="http://schemas.microsoft.com/office/drawing/2014/main" id="{807243FE-4188-F673-DCDA-00F649080FE6}"/>
            </a:ext>
          </a:extLst>
        </xdr:cNvPr>
        <xdr:cNvPicPr>
          <a:picLocks noChangeAspect="1"/>
        </xdr:cNvPicPr>
      </xdr:nvPicPr>
      <xdr:blipFill>
        <a:blip xmlns:r="http://schemas.openxmlformats.org/officeDocument/2006/relationships" r:embed="rId2"/>
        <a:stretch>
          <a:fillRect/>
        </a:stretch>
      </xdr:blipFill>
      <xdr:spPr>
        <a:xfrm>
          <a:off x="317500" y="7048500"/>
          <a:ext cx="4808637" cy="2072820"/>
        </a:xfrm>
        <a:prstGeom prst="rect">
          <a:avLst/>
        </a:prstGeom>
      </xdr:spPr>
    </xdr:pic>
    <xdr:clientData/>
  </xdr:twoCellAnchor>
  <xdr:twoCellAnchor editAs="oneCell">
    <xdr:from>
      <xdr:col>0</xdr:col>
      <xdr:colOff>393700</xdr:colOff>
      <xdr:row>31</xdr:row>
      <xdr:rowOff>190500</xdr:rowOff>
    </xdr:from>
    <xdr:to>
      <xdr:col>2</xdr:col>
      <xdr:colOff>3101711</xdr:colOff>
      <xdr:row>40</xdr:row>
      <xdr:rowOff>78910</xdr:rowOff>
    </xdr:to>
    <xdr:pic>
      <xdr:nvPicPr>
        <xdr:cNvPr id="5" name="Imagen 4">
          <a:extLst>
            <a:ext uri="{FF2B5EF4-FFF2-40B4-BE49-F238E27FC236}">
              <a16:creationId xmlns:a16="http://schemas.microsoft.com/office/drawing/2014/main" id="{D85399F5-F761-47A5-3384-8B75F6D67E4F}"/>
            </a:ext>
          </a:extLst>
        </xdr:cNvPr>
        <xdr:cNvPicPr>
          <a:picLocks noChangeAspect="1"/>
        </xdr:cNvPicPr>
      </xdr:nvPicPr>
      <xdr:blipFill>
        <a:blip xmlns:r="http://schemas.openxmlformats.org/officeDocument/2006/relationships" r:embed="rId3"/>
        <a:stretch>
          <a:fillRect/>
        </a:stretch>
      </xdr:blipFill>
      <xdr:spPr>
        <a:xfrm>
          <a:off x="393700" y="9169400"/>
          <a:ext cx="4282811" cy="1958510"/>
        </a:xfrm>
        <a:prstGeom prst="rect">
          <a:avLst/>
        </a:prstGeom>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1</xdr:col>
      <xdr:colOff>139700</xdr:colOff>
      <xdr:row>7</xdr:row>
      <xdr:rowOff>88900</xdr:rowOff>
    </xdr:from>
    <xdr:to>
      <xdr:col>2</xdr:col>
      <xdr:colOff>2438400</xdr:colOff>
      <xdr:row>46</xdr:row>
      <xdr:rowOff>165928</xdr:rowOff>
    </xdr:to>
    <xdr:pic>
      <xdr:nvPicPr>
        <xdr:cNvPr id="5" name="Imagen 4">
          <a:extLst>
            <a:ext uri="{FF2B5EF4-FFF2-40B4-BE49-F238E27FC236}">
              <a16:creationId xmlns:a16="http://schemas.microsoft.com/office/drawing/2014/main" id="{895A34BC-6664-AACD-AFC6-90B1C08B5D2F}"/>
            </a:ext>
          </a:extLst>
        </xdr:cNvPr>
        <xdr:cNvPicPr>
          <a:picLocks noChangeAspect="1"/>
        </xdr:cNvPicPr>
      </xdr:nvPicPr>
      <xdr:blipFill>
        <a:blip xmlns:r="http://schemas.openxmlformats.org/officeDocument/2006/relationships" r:embed="rId1"/>
        <a:stretch>
          <a:fillRect/>
        </a:stretch>
      </xdr:blipFill>
      <xdr:spPr>
        <a:xfrm>
          <a:off x="927100" y="3581400"/>
          <a:ext cx="3086100" cy="9157528"/>
        </a:xfrm>
        <a:prstGeom prst="rect">
          <a:avLst/>
        </a:prstGeom>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1</xdr:col>
      <xdr:colOff>152400</xdr:colOff>
      <xdr:row>6</xdr:row>
      <xdr:rowOff>0</xdr:rowOff>
    </xdr:from>
    <xdr:to>
      <xdr:col>2</xdr:col>
      <xdr:colOff>2921000</xdr:colOff>
      <xdr:row>44</xdr:row>
      <xdr:rowOff>211256</xdr:rowOff>
    </xdr:to>
    <xdr:pic>
      <xdr:nvPicPr>
        <xdr:cNvPr id="3" name="Imagen 2">
          <a:extLst>
            <a:ext uri="{FF2B5EF4-FFF2-40B4-BE49-F238E27FC236}">
              <a16:creationId xmlns:a16="http://schemas.microsoft.com/office/drawing/2014/main" id="{072AFB8C-7E93-083E-6B38-CD74D3E36C80}"/>
            </a:ext>
          </a:extLst>
        </xdr:cNvPr>
        <xdr:cNvPicPr>
          <a:picLocks noChangeAspect="1"/>
        </xdr:cNvPicPr>
      </xdr:nvPicPr>
      <xdr:blipFill>
        <a:blip xmlns:r="http://schemas.openxmlformats.org/officeDocument/2006/relationships" r:embed="rId1"/>
        <a:stretch>
          <a:fillRect/>
        </a:stretch>
      </xdr:blipFill>
      <xdr:spPr>
        <a:xfrm>
          <a:off x="939800" y="3251200"/>
          <a:ext cx="3556000" cy="8999656"/>
        </a:xfrm>
        <a:prstGeom prst="rect">
          <a:avLst/>
        </a:prstGeom>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0</xdr:col>
      <xdr:colOff>533400</xdr:colOff>
      <xdr:row>6</xdr:row>
      <xdr:rowOff>101600</xdr:rowOff>
    </xdr:from>
    <xdr:to>
      <xdr:col>2</xdr:col>
      <xdr:colOff>3543300</xdr:colOff>
      <xdr:row>37</xdr:row>
      <xdr:rowOff>50800</xdr:rowOff>
    </xdr:to>
    <xdr:pic>
      <xdr:nvPicPr>
        <xdr:cNvPr id="3" name="Imagen 2">
          <a:extLst>
            <a:ext uri="{FF2B5EF4-FFF2-40B4-BE49-F238E27FC236}">
              <a16:creationId xmlns:a16="http://schemas.microsoft.com/office/drawing/2014/main" id="{D7825E24-7F51-DE8A-C5AE-401CAD794652}"/>
            </a:ext>
          </a:extLst>
        </xdr:cNvPr>
        <xdr:cNvPicPr>
          <a:picLocks noChangeAspect="1"/>
        </xdr:cNvPicPr>
      </xdr:nvPicPr>
      <xdr:blipFill rotWithShape="1">
        <a:blip xmlns:r="http://schemas.openxmlformats.org/officeDocument/2006/relationships" r:embed="rId1"/>
        <a:srcRect r="6959"/>
        <a:stretch>
          <a:fillRect/>
        </a:stretch>
      </xdr:blipFill>
      <xdr:spPr>
        <a:xfrm>
          <a:off x="533400" y="3352800"/>
          <a:ext cx="4584700" cy="7048500"/>
        </a:xfrm>
        <a:prstGeom prst="rect">
          <a:avLst/>
        </a:prstGeom>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1</xdr:col>
      <xdr:colOff>76200</xdr:colOff>
      <xdr:row>7</xdr:row>
      <xdr:rowOff>11758</xdr:rowOff>
    </xdr:from>
    <xdr:to>
      <xdr:col>2</xdr:col>
      <xdr:colOff>3225800</xdr:colOff>
      <xdr:row>38</xdr:row>
      <xdr:rowOff>50800</xdr:rowOff>
    </xdr:to>
    <xdr:pic>
      <xdr:nvPicPr>
        <xdr:cNvPr id="3" name="Imagen 2">
          <a:extLst>
            <a:ext uri="{FF2B5EF4-FFF2-40B4-BE49-F238E27FC236}">
              <a16:creationId xmlns:a16="http://schemas.microsoft.com/office/drawing/2014/main" id="{9307D832-B0BB-B7EB-3E37-4BBB6FF6804E}"/>
            </a:ext>
          </a:extLst>
        </xdr:cNvPr>
        <xdr:cNvPicPr>
          <a:picLocks noChangeAspect="1"/>
        </xdr:cNvPicPr>
      </xdr:nvPicPr>
      <xdr:blipFill>
        <a:blip xmlns:r="http://schemas.openxmlformats.org/officeDocument/2006/relationships" r:embed="rId1"/>
        <a:stretch>
          <a:fillRect/>
        </a:stretch>
      </xdr:blipFill>
      <xdr:spPr>
        <a:xfrm>
          <a:off x="863600" y="3504258"/>
          <a:ext cx="3937000" cy="7125642"/>
        </a:xfrm>
        <a:prstGeom prst="rect">
          <a:avLst/>
        </a:prstGeom>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0</xdr:col>
      <xdr:colOff>457200</xdr:colOff>
      <xdr:row>7</xdr:row>
      <xdr:rowOff>50800</xdr:rowOff>
    </xdr:from>
    <xdr:to>
      <xdr:col>2</xdr:col>
      <xdr:colOff>2819400</xdr:colOff>
      <xdr:row>38</xdr:row>
      <xdr:rowOff>89842</xdr:rowOff>
    </xdr:to>
    <xdr:pic>
      <xdr:nvPicPr>
        <xdr:cNvPr id="2" name="Imagen 1">
          <a:extLst>
            <a:ext uri="{FF2B5EF4-FFF2-40B4-BE49-F238E27FC236}">
              <a16:creationId xmlns:a16="http://schemas.microsoft.com/office/drawing/2014/main" id="{F3D66A00-8C1F-409E-8465-95DC11222851}"/>
            </a:ext>
          </a:extLst>
        </xdr:cNvPr>
        <xdr:cNvPicPr>
          <a:picLocks noChangeAspect="1"/>
        </xdr:cNvPicPr>
      </xdr:nvPicPr>
      <xdr:blipFill>
        <a:blip xmlns:r="http://schemas.openxmlformats.org/officeDocument/2006/relationships" r:embed="rId1"/>
        <a:stretch>
          <a:fillRect/>
        </a:stretch>
      </xdr:blipFill>
      <xdr:spPr>
        <a:xfrm>
          <a:off x="457200" y="3543300"/>
          <a:ext cx="3937000" cy="7125642"/>
        </a:xfrm>
        <a:prstGeom prst="rect">
          <a:avLst/>
        </a:prstGeom>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0</xdr:col>
      <xdr:colOff>635000</xdr:colOff>
      <xdr:row>6</xdr:row>
      <xdr:rowOff>165100</xdr:rowOff>
    </xdr:from>
    <xdr:to>
      <xdr:col>2</xdr:col>
      <xdr:colOff>3162300</xdr:colOff>
      <xdr:row>48</xdr:row>
      <xdr:rowOff>103098</xdr:rowOff>
    </xdr:to>
    <xdr:pic>
      <xdr:nvPicPr>
        <xdr:cNvPr id="3" name="Imagen 2">
          <a:extLst>
            <a:ext uri="{FF2B5EF4-FFF2-40B4-BE49-F238E27FC236}">
              <a16:creationId xmlns:a16="http://schemas.microsoft.com/office/drawing/2014/main" id="{6D0C4CA5-ACDB-A704-B99A-ED38B6E99FDC}"/>
            </a:ext>
          </a:extLst>
        </xdr:cNvPr>
        <xdr:cNvPicPr>
          <a:picLocks noChangeAspect="1"/>
        </xdr:cNvPicPr>
      </xdr:nvPicPr>
      <xdr:blipFill>
        <a:blip xmlns:r="http://schemas.openxmlformats.org/officeDocument/2006/relationships" r:embed="rId1"/>
        <a:stretch>
          <a:fillRect/>
        </a:stretch>
      </xdr:blipFill>
      <xdr:spPr>
        <a:xfrm>
          <a:off x="635000" y="3416300"/>
          <a:ext cx="4102100" cy="9640798"/>
        </a:xfrm>
        <a:prstGeom prst="rect">
          <a:avLst/>
        </a:prstGeom>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1</xdr:col>
      <xdr:colOff>76200</xdr:colOff>
      <xdr:row>7</xdr:row>
      <xdr:rowOff>203200</xdr:rowOff>
    </xdr:from>
    <xdr:to>
      <xdr:col>2</xdr:col>
      <xdr:colOff>3225800</xdr:colOff>
      <xdr:row>62</xdr:row>
      <xdr:rowOff>171724</xdr:rowOff>
    </xdr:to>
    <xdr:pic>
      <xdr:nvPicPr>
        <xdr:cNvPr id="3" name="Imagen 2">
          <a:extLst>
            <a:ext uri="{FF2B5EF4-FFF2-40B4-BE49-F238E27FC236}">
              <a16:creationId xmlns:a16="http://schemas.microsoft.com/office/drawing/2014/main" id="{6C97A075-8487-6ACE-62F8-E1DCDDDCBCFE}"/>
            </a:ext>
          </a:extLst>
        </xdr:cNvPr>
        <xdr:cNvPicPr>
          <a:picLocks noChangeAspect="1"/>
        </xdr:cNvPicPr>
      </xdr:nvPicPr>
      <xdr:blipFill rotWithShape="1">
        <a:blip xmlns:r="http://schemas.openxmlformats.org/officeDocument/2006/relationships" r:embed="rId1"/>
        <a:srcRect t="1899"/>
        <a:stretch>
          <a:fillRect/>
        </a:stretch>
      </xdr:blipFill>
      <xdr:spPr>
        <a:xfrm>
          <a:off x="863600" y="3695700"/>
          <a:ext cx="3937000" cy="12465324"/>
        </a:xfrm>
        <a:prstGeom prst="rect">
          <a:avLst/>
        </a:prstGeom>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1</xdr:col>
      <xdr:colOff>76200</xdr:colOff>
      <xdr:row>7</xdr:row>
      <xdr:rowOff>203200</xdr:rowOff>
    </xdr:from>
    <xdr:to>
      <xdr:col>2</xdr:col>
      <xdr:colOff>3225800</xdr:colOff>
      <xdr:row>62</xdr:row>
      <xdr:rowOff>171724</xdr:rowOff>
    </xdr:to>
    <xdr:pic>
      <xdr:nvPicPr>
        <xdr:cNvPr id="2" name="Imagen 1">
          <a:extLst>
            <a:ext uri="{FF2B5EF4-FFF2-40B4-BE49-F238E27FC236}">
              <a16:creationId xmlns:a16="http://schemas.microsoft.com/office/drawing/2014/main" id="{F2B9C33A-5CE4-47CB-AB28-BC6E0EDA815D}"/>
            </a:ext>
          </a:extLst>
        </xdr:cNvPr>
        <xdr:cNvPicPr>
          <a:picLocks noChangeAspect="1"/>
        </xdr:cNvPicPr>
      </xdr:nvPicPr>
      <xdr:blipFill rotWithShape="1">
        <a:blip xmlns:r="http://schemas.openxmlformats.org/officeDocument/2006/relationships" r:embed="rId1"/>
        <a:srcRect t="1899"/>
        <a:stretch>
          <a:fillRect/>
        </a:stretch>
      </xdr:blipFill>
      <xdr:spPr>
        <a:xfrm>
          <a:off x="868680" y="3685540"/>
          <a:ext cx="3942080" cy="12503424"/>
        </a:xfrm>
        <a:prstGeom prst="rect">
          <a:avLst/>
        </a:prstGeom>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0</xdr:col>
      <xdr:colOff>393700</xdr:colOff>
      <xdr:row>7</xdr:row>
      <xdr:rowOff>139700</xdr:rowOff>
    </xdr:from>
    <xdr:to>
      <xdr:col>2</xdr:col>
      <xdr:colOff>3327838</xdr:colOff>
      <xdr:row>22</xdr:row>
      <xdr:rowOff>63500</xdr:rowOff>
    </xdr:to>
    <xdr:pic>
      <xdr:nvPicPr>
        <xdr:cNvPr id="3" name="Imagen 2">
          <a:extLst>
            <a:ext uri="{FF2B5EF4-FFF2-40B4-BE49-F238E27FC236}">
              <a16:creationId xmlns:a16="http://schemas.microsoft.com/office/drawing/2014/main" id="{0D361BE9-3965-468A-2C99-75311D7914F0}"/>
            </a:ext>
          </a:extLst>
        </xdr:cNvPr>
        <xdr:cNvPicPr>
          <a:picLocks noChangeAspect="1"/>
        </xdr:cNvPicPr>
      </xdr:nvPicPr>
      <xdr:blipFill>
        <a:blip xmlns:r="http://schemas.openxmlformats.org/officeDocument/2006/relationships" r:embed="rId1"/>
        <a:stretch>
          <a:fillRect/>
        </a:stretch>
      </xdr:blipFill>
      <xdr:spPr>
        <a:xfrm>
          <a:off x="393700" y="3632200"/>
          <a:ext cx="4508938" cy="3352800"/>
        </a:xfrm>
        <a:prstGeom prst="rect">
          <a:avLst/>
        </a:prstGeom>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0</xdr:col>
      <xdr:colOff>520700</xdr:colOff>
      <xdr:row>6</xdr:row>
      <xdr:rowOff>152400</xdr:rowOff>
    </xdr:from>
    <xdr:to>
      <xdr:col>2</xdr:col>
      <xdr:colOff>3048000</xdr:colOff>
      <xdr:row>48</xdr:row>
      <xdr:rowOff>90398</xdr:rowOff>
    </xdr:to>
    <xdr:pic>
      <xdr:nvPicPr>
        <xdr:cNvPr id="3" name="Imagen 2">
          <a:extLst>
            <a:ext uri="{FF2B5EF4-FFF2-40B4-BE49-F238E27FC236}">
              <a16:creationId xmlns:a16="http://schemas.microsoft.com/office/drawing/2014/main" id="{4C70B0B0-6664-4E59-B3C6-8720DE9E3C47}"/>
            </a:ext>
          </a:extLst>
        </xdr:cNvPr>
        <xdr:cNvPicPr>
          <a:picLocks noChangeAspect="1"/>
        </xdr:cNvPicPr>
      </xdr:nvPicPr>
      <xdr:blipFill>
        <a:blip xmlns:r="http://schemas.openxmlformats.org/officeDocument/2006/relationships" r:embed="rId1"/>
        <a:stretch>
          <a:fillRect/>
        </a:stretch>
      </xdr:blipFill>
      <xdr:spPr>
        <a:xfrm>
          <a:off x="520700" y="3403600"/>
          <a:ext cx="4102100" cy="9640798"/>
        </a:xfrm>
        <a:prstGeom prst="rect">
          <a:avLst/>
        </a:prstGeom>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0</xdr:col>
      <xdr:colOff>520700</xdr:colOff>
      <xdr:row>6</xdr:row>
      <xdr:rowOff>152400</xdr:rowOff>
    </xdr:from>
    <xdr:to>
      <xdr:col>2</xdr:col>
      <xdr:colOff>3048000</xdr:colOff>
      <xdr:row>48</xdr:row>
      <xdr:rowOff>90398</xdr:rowOff>
    </xdr:to>
    <xdr:pic>
      <xdr:nvPicPr>
        <xdr:cNvPr id="2" name="Imagen 1">
          <a:extLst>
            <a:ext uri="{FF2B5EF4-FFF2-40B4-BE49-F238E27FC236}">
              <a16:creationId xmlns:a16="http://schemas.microsoft.com/office/drawing/2014/main" id="{BC60248C-451B-49DF-A281-DBB5075EC0CB}"/>
            </a:ext>
          </a:extLst>
        </xdr:cNvPr>
        <xdr:cNvPicPr>
          <a:picLocks noChangeAspect="1"/>
        </xdr:cNvPicPr>
      </xdr:nvPicPr>
      <xdr:blipFill>
        <a:blip xmlns:r="http://schemas.openxmlformats.org/officeDocument/2006/relationships" r:embed="rId1"/>
        <a:stretch>
          <a:fillRect/>
        </a:stretch>
      </xdr:blipFill>
      <xdr:spPr>
        <a:xfrm>
          <a:off x="520700" y="3398520"/>
          <a:ext cx="4112260" cy="9630638"/>
        </a:xfrm>
        <a:prstGeom prst="rect">
          <a:avLst/>
        </a:prstGeom>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0</xdr:col>
      <xdr:colOff>76201</xdr:colOff>
      <xdr:row>7</xdr:row>
      <xdr:rowOff>76200</xdr:rowOff>
    </xdr:from>
    <xdr:to>
      <xdr:col>2</xdr:col>
      <xdr:colOff>3455071</xdr:colOff>
      <xdr:row>29</xdr:row>
      <xdr:rowOff>66543</xdr:rowOff>
    </xdr:to>
    <xdr:pic>
      <xdr:nvPicPr>
        <xdr:cNvPr id="3" name="Imagen 2">
          <a:extLst>
            <a:ext uri="{FF2B5EF4-FFF2-40B4-BE49-F238E27FC236}">
              <a16:creationId xmlns:a16="http://schemas.microsoft.com/office/drawing/2014/main" id="{F2203F5B-FC3E-576B-5E2F-57BE6FC917FF}"/>
            </a:ext>
          </a:extLst>
        </xdr:cNvPr>
        <xdr:cNvPicPr>
          <a:picLocks noChangeAspect="1"/>
        </xdr:cNvPicPr>
      </xdr:nvPicPr>
      <xdr:blipFill>
        <a:blip xmlns:r="http://schemas.openxmlformats.org/officeDocument/2006/relationships" r:embed="rId1"/>
        <a:stretch>
          <a:fillRect/>
        </a:stretch>
      </xdr:blipFill>
      <xdr:spPr>
        <a:xfrm>
          <a:off x="76201" y="3568700"/>
          <a:ext cx="4953670" cy="5019543"/>
        </a:xfrm>
        <a:prstGeom prst="rect">
          <a:avLst/>
        </a:prstGeom>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0</xdr:col>
      <xdr:colOff>533400</xdr:colOff>
      <xdr:row>7</xdr:row>
      <xdr:rowOff>63500</xdr:rowOff>
    </xdr:from>
    <xdr:to>
      <xdr:col>2</xdr:col>
      <xdr:colOff>3165205</xdr:colOff>
      <xdr:row>21</xdr:row>
      <xdr:rowOff>193269</xdr:rowOff>
    </xdr:to>
    <xdr:pic>
      <xdr:nvPicPr>
        <xdr:cNvPr id="2" name="Imagen 1">
          <a:extLst>
            <a:ext uri="{FF2B5EF4-FFF2-40B4-BE49-F238E27FC236}">
              <a16:creationId xmlns:a16="http://schemas.microsoft.com/office/drawing/2014/main" id="{4152D52C-E190-6632-A781-E696B96AD459}"/>
            </a:ext>
          </a:extLst>
        </xdr:cNvPr>
        <xdr:cNvPicPr>
          <a:picLocks noChangeAspect="1"/>
        </xdr:cNvPicPr>
      </xdr:nvPicPr>
      <xdr:blipFill>
        <a:blip xmlns:r="http://schemas.openxmlformats.org/officeDocument/2006/relationships" r:embed="rId1"/>
        <a:stretch>
          <a:fillRect/>
        </a:stretch>
      </xdr:blipFill>
      <xdr:spPr>
        <a:xfrm>
          <a:off x="533400" y="3556000"/>
          <a:ext cx="4206605" cy="2644369"/>
        </a:xfrm>
        <a:prstGeom prst="rect">
          <a:avLst/>
        </a:prstGeom>
      </xdr:spPr>
    </xdr:pic>
    <xdr:clientData/>
  </xdr:twoCellAnchor>
  <xdr:twoCellAnchor editAs="oneCell">
    <xdr:from>
      <xdr:col>0</xdr:col>
      <xdr:colOff>431800</xdr:colOff>
      <xdr:row>25</xdr:row>
      <xdr:rowOff>177800</xdr:rowOff>
    </xdr:from>
    <xdr:to>
      <xdr:col>2</xdr:col>
      <xdr:colOff>3330328</xdr:colOff>
      <xdr:row>34</xdr:row>
      <xdr:rowOff>177978</xdr:rowOff>
    </xdr:to>
    <xdr:pic>
      <xdr:nvPicPr>
        <xdr:cNvPr id="5" name="Imagen 4">
          <a:extLst>
            <a:ext uri="{FF2B5EF4-FFF2-40B4-BE49-F238E27FC236}">
              <a16:creationId xmlns:a16="http://schemas.microsoft.com/office/drawing/2014/main" id="{D71D417D-FC0F-DC3B-4BB2-35BC14D928E5}"/>
            </a:ext>
          </a:extLst>
        </xdr:cNvPr>
        <xdr:cNvPicPr>
          <a:picLocks noChangeAspect="1"/>
        </xdr:cNvPicPr>
      </xdr:nvPicPr>
      <xdr:blipFill>
        <a:blip xmlns:r="http://schemas.openxmlformats.org/officeDocument/2006/relationships" r:embed="rId2"/>
        <a:stretch>
          <a:fillRect/>
        </a:stretch>
      </xdr:blipFill>
      <xdr:spPr>
        <a:xfrm>
          <a:off x="431800" y="6642100"/>
          <a:ext cx="4473328" cy="2057578"/>
        </a:xfrm>
        <a:prstGeom prst="rect">
          <a:avLst/>
        </a:prstGeom>
      </xdr:spPr>
    </xdr:pic>
    <xdr:clientData/>
  </xdr:twoCellAnchor>
  <xdr:twoCellAnchor editAs="oneCell">
    <xdr:from>
      <xdr:col>0</xdr:col>
      <xdr:colOff>304801</xdr:colOff>
      <xdr:row>36</xdr:row>
      <xdr:rowOff>139700</xdr:rowOff>
    </xdr:from>
    <xdr:to>
      <xdr:col>2</xdr:col>
      <xdr:colOff>3650663</xdr:colOff>
      <xdr:row>44</xdr:row>
      <xdr:rowOff>139700</xdr:rowOff>
    </xdr:to>
    <xdr:pic>
      <xdr:nvPicPr>
        <xdr:cNvPr id="6" name="Imagen 5">
          <a:extLst>
            <a:ext uri="{FF2B5EF4-FFF2-40B4-BE49-F238E27FC236}">
              <a16:creationId xmlns:a16="http://schemas.microsoft.com/office/drawing/2014/main" id="{80F3EE69-1CF7-5C51-5F91-1D24D1EB9336}"/>
            </a:ext>
          </a:extLst>
        </xdr:cNvPr>
        <xdr:cNvPicPr>
          <a:picLocks noChangeAspect="1"/>
        </xdr:cNvPicPr>
      </xdr:nvPicPr>
      <xdr:blipFill>
        <a:blip xmlns:r="http://schemas.openxmlformats.org/officeDocument/2006/relationships" r:embed="rId3"/>
        <a:stretch>
          <a:fillRect/>
        </a:stretch>
      </xdr:blipFill>
      <xdr:spPr>
        <a:xfrm>
          <a:off x="304801" y="9118600"/>
          <a:ext cx="4920662" cy="1828800"/>
        </a:xfrm>
        <a:prstGeom prst="rect">
          <a:avLst/>
        </a:prstGeom>
      </xdr:spPr>
    </xdr:pic>
    <xdr:clientData/>
  </xdr:twoCellAnchor>
  <xdr:twoCellAnchor editAs="oneCell">
    <xdr:from>
      <xdr:col>0</xdr:col>
      <xdr:colOff>266700</xdr:colOff>
      <xdr:row>45</xdr:row>
      <xdr:rowOff>88900</xdr:rowOff>
    </xdr:from>
    <xdr:to>
      <xdr:col>2</xdr:col>
      <xdr:colOff>3872717</xdr:colOff>
      <xdr:row>51</xdr:row>
      <xdr:rowOff>257174</xdr:rowOff>
    </xdr:to>
    <xdr:pic>
      <xdr:nvPicPr>
        <xdr:cNvPr id="7" name="Imagen 6">
          <a:extLst>
            <a:ext uri="{FF2B5EF4-FFF2-40B4-BE49-F238E27FC236}">
              <a16:creationId xmlns:a16="http://schemas.microsoft.com/office/drawing/2014/main" id="{AA181A92-7B16-2256-6204-97560924DCB1}"/>
            </a:ext>
          </a:extLst>
        </xdr:cNvPr>
        <xdr:cNvPicPr>
          <a:picLocks noChangeAspect="1"/>
        </xdr:cNvPicPr>
      </xdr:nvPicPr>
      <xdr:blipFill>
        <a:blip xmlns:r="http://schemas.openxmlformats.org/officeDocument/2006/relationships" r:embed="rId4"/>
        <a:stretch>
          <a:fillRect/>
        </a:stretch>
      </xdr:blipFill>
      <xdr:spPr>
        <a:xfrm>
          <a:off x="266700" y="11125200"/>
          <a:ext cx="5180817" cy="1562099"/>
        </a:xfrm>
        <a:prstGeom prst="rect">
          <a:avLst/>
        </a:prstGeom>
      </xdr:spPr>
    </xdr:pic>
    <xdr:clientData/>
  </xdr:twoCellAnchor>
  <xdr:twoCellAnchor editAs="oneCell">
    <xdr:from>
      <xdr:col>0</xdr:col>
      <xdr:colOff>596900</xdr:colOff>
      <xdr:row>7</xdr:row>
      <xdr:rowOff>88900</xdr:rowOff>
    </xdr:from>
    <xdr:to>
      <xdr:col>2</xdr:col>
      <xdr:colOff>3228705</xdr:colOff>
      <xdr:row>21</xdr:row>
      <xdr:rowOff>218669</xdr:rowOff>
    </xdr:to>
    <xdr:pic>
      <xdr:nvPicPr>
        <xdr:cNvPr id="8" name="Imagen 7">
          <a:extLst>
            <a:ext uri="{FF2B5EF4-FFF2-40B4-BE49-F238E27FC236}">
              <a16:creationId xmlns:a16="http://schemas.microsoft.com/office/drawing/2014/main" id="{456477EE-E76E-5A4B-2E07-5C67BD0DBC86}"/>
            </a:ext>
          </a:extLst>
        </xdr:cNvPr>
        <xdr:cNvPicPr>
          <a:picLocks noChangeAspect="1"/>
        </xdr:cNvPicPr>
      </xdr:nvPicPr>
      <xdr:blipFill>
        <a:blip xmlns:r="http://schemas.openxmlformats.org/officeDocument/2006/relationships" r:embed="rId1"/>
        <a:stretch>
          <a:fillRect/>
        </a:stretch>
      </xdr:blipFill>
      <xdr:spPr>
        <a:xfrm>
          <a:off x="596900" y="3581400"/>
          <a:ext cx="4206605" cy="2644369"/>
        </a:xfrm>
        <a:prstGeom prst="rect">
          <a:avLst/>
        </a:prstGeom>
      </xdr:spPr>
    </xdr:pic>
    <xdr:clientData/>
  </xdr:twoCellAnchor>
  <xdr:twoCellAnchor editAs="oneCell">
    <xdr:from>
      <xdr:col>0</xdr:col>
      <xdr:colOff>495300</xdr:colOff>
      <xdr:row>25</xdr:row>
      <xdr:rowOff>203200</xdr:rowOff>
    </xdr:from>
    <xdr:to>
      <xdr:col>2</xdr:col>
      <xdr:colOff>3393828</xdr:colOff>
      <xdr:row>34</xdr:row>
      <xdr:rowOff>203378</xdr:rowOff>
    </xdr:to>
    <xdr:pic>
      <xdr:nvPicPr>
        <xdr:cNvPr id="9" name="Imagen 8">
          <a:extLst>
            <a:ext uri="{FF2B5EF4-FFF2-40B4-BE49-F238E27FC236}">
              <a16:creationId xmlns:a16="http://schemas.microsoft.com/office/drawing/2014/main" id="{CE492FBA-D55C-6B1B-57FA-C02C8056A169}"/>
            </a:ext>
          </a:extLst>
        </xdr:cNvPr>
        <xdr:cNvPicPr>
          <a:picLocks noChangeAspect="1"/>
        </xdr:cNvPicPr>
      </xdr:nvPicPr>
      <xdr:blipFill>
        <a:blip xmlns:r="http://schemas.openxmlformats.org/officeDocument/2006/relationships" r:embed="rId2"/>
        <a:stretch>
          <a:fillRect/>
        </a:stretch>
      </xdr:blipFill>
      <xdr:spPr>
        <a:xfrm>
          <a:off x="495300" y="6667500"/>
          <a:ext cx="4473328" cy="2057578"/>
        </a:xfrm>
        <a:prstGeom prst="rect">
          <a:avLst/>
        </a:prstGeom>
      </xdr:spPr>
    </xdr:pic>
    <xdr:clientData/>
  </xdr:twoCellAnchor>
  <xdr:twoCellAnchor editAs="oneCell">
    <xdr:from>
      <xdr:col>0</xdr:col>
      <xdr:colOff>368301</xdr:colOff>
      <xdr:row>36</xdr:row>
      <xdr:rowOff>165100</xdr:rowOff>
    </xdr:from>
    <xdr:to>
      <xdr:col>2</xdr:col>
      <xdr:colOff>3714163</xdr:colOff>
      <xdr:row>44</xdr:row>
      <xdr:rowOff>165100</xdr:rowOff>
    </xdr:to>
    <xdr:pic>
      <xdr:nvPicPr>
        <xdr:cNvPr id="10" name="Imagen 9">
          <a:extLst>
            <a:ext uri="{FF2B5EF4-FFF2-40B4-BE49-F238E27FC236}">
              <a16:creationId xmlns:a16="http://schemas.microsoft.com/office/drawing/2014/main" id="{891F86DA-BF11-9621-7AAA-48383BD9321A}"/>
            </a:ext>
          </a:extLst>
        </xdr:cNvPr>
        <xdr:cNvPicPr>
          <a:picLocks noChangeAspect="1"/>
        </xdr:cNvPicPr>
      </xdr:nvPicPr>
      <xdr:blipFill>
        <a:blip xmlns:r="http://schemas.openxmlformats.org/officeDocument/2006/relationships" r:embed="rId3"/>
        <a:stretch>
          <a:fillRect/>
        </a:stretch>
      </xdr:blipFill>
      <xdr:spPr>
        <a:xfrm>
          <a:off x="368301" y="9144000"/>
          <a:ext cx="4920662" cy="1828800"/>
        </a:xfrm>
        <a:prstGeom prst="rect">
          <a:avLst/>
        </a:prstGeom>
      </xdr:spPr>
    </xdr:pic>
    <xdr:clientData/>
  </xdr:twoCellAnchor>
</xdr:wsDr>
</file>

<file path=xl/drawings/drawing54.xml><?xml version="1.0" encoding="utf-8"?>
<xdr:wsDr xmlns:xdr="http://schemas.openxmlformats.org/drawingml/2006/spreadsheetDrawing" xmlns:a="http://schemas.openxmlformats.org/drawingml/2006/main">
  <xdr:twoCellAnchor editAs="oneCell">
    <xdr:from>
      <xdr:col>0</xdr:col>
      <xdr:colOff>292100</xdr:colOff>
      <xdr:row>37</xdr:row>
      <xdr:rowOff>190500</xdr:rowOff>
    </xdr:from>
    <xdr:to>
      <xdr:col>2</xdr:col>
      <xdr:colOff>3898117</xdr:colOff>
      <xdr:row>44</xdr:row>
      <xdr:rowOff>139699</xdr:rowOff>
    </xdr:to>
    <xdr:pic>
      <xdr:nvPicPr>
        <xdr:cNvPr id="2" name="Imagen 1">
          <a:extLst>
            <a:ext uri="{FF2B5EF4-FFF2-40B4-BE49-F238E27FC236}">
              <a16:creationId xmlns:a16="http://schemas.microsoft.com/office/drawing/2014/main" id="{6CA1CA2E-BF89-47FA-BDFC-497FA633CC0D}"/>
            </a:ext>
          </a:extLst>
        </xdr:cNvPr>
        <xdr:cNvPicPr>
          <a:picLocks noChangeAspect="1"/>
        </xdr:cNvPicPr>
      </xdr:nvPicPr>
      <xdr:blipFill>
        <a:blip xmlns:r="http://schemas.openxmlformats.org/officeDocument/2006/relationships" r:embed="rId1"/>
        <a:stretch>
          <a:fillRect/>
        </a:stretch>
      </xdr:blipFill>
      <xdr:spPr>
        <a:xfrm>
          <a:off x="292100" y="11303000"/>
          <a:ext cx="5180817" cy="1562099"/>
        </a:xfrm>
        <a:prstGeom prst="rect">
          <a:avLst/>
        </a:prstGeom>
      </xdr:spPr>
    </xdr:pic>
    <xdr:clientData/>
  </xdr:twoCellAnchor>
  <xdr:twoCellAnchor editAs="oneCell">
    <xdr:from>
      <xdr:col>0</xdr:col>
      <xdr:colOff>622300</xdr:colOff>
      <xdr:row>6</xdr:row>
      <xdr:rowOff>203200</xdr:rowOff>
    </xdr:from>
    <xdr:to>
      <xdr:col>2</xdr:col>
      <xdr:colOff>3254105</xdr:colOff>
      <xdr:row>18</xdr:row>
      <xdr:rowOff>91669</xdr:rowOff>
    </xdr:to>
    <xdr:pic>
      <xdr:nvPicPr>
        <xdr:cNvPr id="3" name="Imagen 2">
          <a:extLst>
            <a:ext uri="{FF2B5EF4-FFF2-40B4-BE49-F238E27FC236}">
              <a16:creationId xmlns:a16="http://schemas.microsoft.com/office/drawing/2014/main" id="{53A2D8AE-139D-4B88-9B0F-E0ACF4EBC5B0}"/>
            </a:ext>
          </a:extLst>
        </xdr:cNvPr>
        <xdr:cNvPicPr>
          <a:picLocks noChangeAspect="1"/>
        </xdr:cNvPicPr>
      </xdr:nvPicPr>
      <xdr:blipFill>
        <a:blip xmlns:r="http://schemas.openxmlformats.org/officeDocument/2006/relationships" r:embed="rId2"/>
        <a:stretch>
          <a:fillRect/>
        </a:stretch>
      </xdr:blipFill>
      <xdr:spPr>
        <a:xfrm>
          <a:off x="622300" y="3759200"/>
          <a:ext cx="4206605" cy="2644369"/>
        </a:xfrm>
        <a:prstGeom prst="rect">
          <a:avLst/>
        </a:prstGeom>
      </xdr:spPr>
    </xdr:pic>
    <xdr:clientData/>
  </xdr:twoCellAnchor>
  <xdr:twoCellAnchor editAs="oneCell">
    <xdr:from>
      <xdr:col>0</xdr:col>
      <xdr:colOff>520700</xdr:colOff>
      <xdr:row>18</xdr:row>
      <xdr:rowOff>76200</xdr:rowOff>
    </xdr:from>
    <xdr:to>
      <xdr:col>2</xdr:col>
      <xdr:colOff>3419228</xdr:colOff>
      <xdr:row>27</xdr:row>
      <xdr:rowOff>76378</xdr:rowOff>
    </xdr:to>
    <xdr:pic>
      <xdr:nvPicPr>
        <xdr:cNvPr id="5" name="Imagen 4">
          <a:extLst>
            <a:ext uri="{FF2B5EF4-FFF2-40B4-BE49-F238E27FC236}">
              <a16:creationId xmlns:a16="http://schemas.microsoft.com/office/drawing/2014/main" id="{8083A47F-9DCE-4718-8960-D4C8EA25667A}"/>
            </a:ext>
          </a:extLst>
        </xdr:cNvPr>
        <xdr:cNvPicPr>
          <a:picLocks noChangeAspect="1"/>
        </xdr:cNvPicPr>
      </xdr:nvPicPr>
      <xdr:blipFill>
        <a:blip xmlns:r="http://schemas.openxmlformats.org/officeDocument/2006/relationships" r:embed="rId3"/>
        <a:stretch>
          <a:fillRect/>
        </a:stretch>
      </xdr:blipFill>
      <xdr:spPr>
        <a:xfrm>
          <a:off x="520700" y="6845300"/>
          <a:ext cx="4473328" cy="2057578"/>
        </a:xfrm>
        <a:prstGeom prst="rect">
          <a:avLst/>
        </a:prstGeom>
      </xdr:spPr>
    </xdr:pic>
    <xdr:clientData/>
  </xdr:twoCellAnchor>
  <xdr:twoCellAnchor editAs="oneCell">
    <xdr:from>
      <xdr:col>0</xdr:col>
      <xdr:colOff>393701</xdr:colOff>
      <xdr:row>29</xdr:row>
      <xdr:rowOff>38100</xdr:rowOff>
    </xdr:from>
    <xdr:to>
      <xdr:col>2</xdr:col>
      <xdr:colOff>3739563</xdr:colOff>
      <xdr:row>37</xdr:row>
      <xdr:rowOff>38100</xdr:rowOff>
    </xdr:to>
    <xdr:pic>
      <xdr:nvPicPr>
        <xdr:cNvPr id="6" name="Imagen 5">
          <a:extLst>
            <a:ext uri="{FF2B5EF4-FFF2-40B4-BE49-F238E27FC236}">
              <a16:creationId xmlns:a16="http://schemas.microsoft.com/office/drawing/2014/main" id="{B4364A47-2CA1-4D73-BC39-06F6A9ADBE66}"/>
            </a:ext>
          </a:extLst>
        </xdr:cNvPr>
        <xdr:cNvPicPr>
          <a:picLocks noChangeAspect="1"/>
        </xdr:cNvPicPr>
      </xdr:nvPicPr>
      <xdr:blipFill>
        <a:blip xmlns:r="http://schemas.openxmlformats.org/officeDocument/2006/relationships" r:embed="rId4"/>
        <a:stretch>
          <a:fillRect/>
        </a:stretch>
      </xdr:blipFill>
      <xdr:spPr>
        <a:xfrm>
          <a:off x="393701" y="9321800"/>
          <a:ext cx="4920662" cy="1828800"/>
        </a:xfrm>
        <a:prstGeom prst="rect">
          <a:avLst/>
        </a:prstGeom>
      </xdr:spPr>
    </xdr:pic>
    <xdr:clientData/>
  </xdr:twoCellAnchor>
</xdr:wsDr>
</file>

<file path=xl/drawings/drawing55.xml><?xml version="1.0" encoding="utf-8"?>
<xdr:wsDr xmlns:xdr="http://schemas.openxmlformats.org/drawingml/2006/spreadsheetDrawing" xmlns:a="http://schemas.openxmlformats.org/drawingml/2006/main">
  <xdr:twoCellAnchor editAs="oneCell">
    <xdr:from>
      <xdr:col>0</xdr:col>
      <xdr:colOff>292100</xdr:colOff>
      <xdr:row>37</xdr:row>
      <xdr:rowOff>190500</xdr:rowOff>
    </xdr:from>
    <xdr:to>
      <xdr:col>2</xdr:col>
      <xdr:colOff>3898117</xdr:colOff>
      <xdr:row>44</xdr:row>
      <xdr:rowOff>139699</xdr:rowOff>
    </xdr:to>
    <xdr:pic>
      <xdr:nvPicPr>
        <xdr:cNvPr id="2" name="Imagen 1">
          <a:extLst>
            <a:ext uri="{FF2B5EF4-FFF2-40B4-BE49-F238E27FC236}">
              <a16:creationId xmlns:a16="http://schemas.microsoft.com/office/drawing/2014/main" id="{F6A7D32D-86B6-4761-BEDF-04E7CD1A8DA6}"/>
            </a:ext>
          </a:extLst>
        </xdr:cNvPr>
        <xdr:cNvPicPr>
          <a:picLocks noChangeAspect="1"/>
        </xdr:cNvPicPr>
      </xdr:nvPicPr>
      <xdr:blipFill>
        <a:blip xmlns:r="http://schemas.openxmlformats.org/officeDocument/2006/relationships" r:embed="rId1"/>
        <a:stretch>
          <a:fillRect/>
        </a:stretch>
      </xdr:blipFill>
      <xdr:spPr>
        <a:xfrm>
          <a:off x="292100" y="10835640"/>
          <a:ext cx="5190977" cy="1557019"/>
        </a:xfrm>
        <a:prstGeom prst="rect">
          <a:avLst/>
        </a:prstGeom>
      </xdr:spPr>
    </xdr:pic>
    <xdr:clientData/>
  </xdr:twoCellAnchor>
  <xdr:twoCellAnchor editAs="oneCell">
    <xdr:from>
      <xdr:col>0</xdr:col>
      <xdr:colOff>622300</xdr:colOff>
      <xdr:row>6</xdr:row>
      <xdr:rowOff>203200</xdr:rowOff>
    </xdr:from>
    <xdr:to>
      <xdr:col>2</xdr:col>
      <xdr:colOff>3254105</xdr:colOff>
      <xdr:row>18</xdr:row>
      <xdr:rowOff>86589</xdr:rowOff>
    </xdr:to>
    <xdr:pic>
      <xdr:nvPicPr>
        <xdr:cNvPr id="3" name="Imagen 2">
          <a:extLst>
            <a:ext uri="{FF2B5EF4-FFF2-40B4-BE49-F238E27FC236}">
              <a16:creationId xmlns:a16="http://schemas.microsoft.com/office/drawing/2014/main" id="{1C29C2E0-DA0B-49FB-A378-1C137F0DA244}"/>
            </a:ext>
          </a:extLst>
        </xdr:cNvPr>
        <xdr:cNvPicPr>
          <a:picLocks noChangeAspect="1"/>
        </xdr:cNvPicPr>
      </xdr:nvPicPr>
      <xdr:blipFill>
        <a:blip xmlns:r="http://schemas.openxmlformats.org/officeDocument/2006/relationships" r:embed="rId2"/>
        <a:stretch>
          <a:fillRect/>
        </a:stretch>
      </xdr:blipFill>
      <xdr:spPr>
        <a:xfrm>
          <a:off x="622300" y="3754120"/>
          <a:ext cx="4216765" cy="2639289"/>
        </a:xfrm>
        <a:prstGeom prst="rect">
          <a:avLst/>
        </a:prstGeom>
      </xdr:spPr>
    </xdr:pic>
    <xdr:clientData/>
  </xdr:twoCellAnchor>
  <xdr:twoCellAnchor editAs="oneCell">
    <xdr:from>
      <xdr:col>0</xdr:col>
      <xdr:colOff>520700</xdr:colOff>
      <xdr:row>18</xdr:row>
      <xdr:rowOff>76200</xdr:rowOff>
    </xdr:from>
    <xdr:to>
      <xdr:col>2</xdr:col>
      <xdr:colOff>3419228</xdr:colOff>
      <xdr:row>27</xdr:row>
      <xdr:rowOff>76378</xdr:rowOff>
    </xdr:to>
    <xdr:pic>
      <xdr:nvPicPr>
        <xdr:cNvPr id="4" name="Imagen 3">
          <a:extLst>
            <a:ext uri="{FF2B5EF4-FFF2-40B4-BE49-F238E27FC236}">
              <a16:creationId xmlns:a16="http://schemas.microsoft.com/office/drawing/2014/main" id="{C3AB4CCA-0B19-427A-95F7-656C953B6F19}"/>
            </a:ext>
          </a:extLst>
        </xdr:cNvPr>
        <xdr:cNvPicPr>
          <a:picLocks noChangeAspect="1"/>
        </xdr:cNvPicPr>
      </xdr:nvPicPr>
      <xdr:blipFill>
        <a:blip xmlns:r="http://schemas.openxmlformats.org/officeDocument/2006/relationships" r:embed="rId3"/>
        <a:stretch>
          <a:fillRect/>
        </a:stretch>
      </xdr:blipFill>
      <xdr:spPr>
        <a:xfrm>
          <a:off x="520700" y="6377940"/>
          <a:ext cx="4483488" cy="2057578"/>
        </a:xfrm>
        <a:prstGeom prst="rect">
          <a:avLst/>
        </a:prstGeom>
      </xdr:spPr>
    </xdr:pic>
    <xdr:clientData/>
  </xdr:twoCellAnchor>
  <xdr:twoCellAnchor editAs="oneCell">
    <xdr:from>
      <xdr:col>0</xdr:col>
      <xdr:colOff>393701</xdr:colOff>
      <xdr:row>29</xdr:row>
      <xdr:rowOff>38100</xdr:rowOff>
    </xdr:from>
    <xdr:to>
      <xdr:col>2</xdr:col>
      <xdr:colOff>3739563</xdr:colOff>
      <xdr:row>37</xdr:row>
      <xdr:rowOff>38100</xdr:rowOff>
    </xdr:to>
    <xdr:pic>
      <xdr:nvPicPr>
        <xdr:cNvPr id="5" name="Imagen 4">
          <a:extLst>
            <a:ext uri="{FF2B5EF4-FFF2-40B4-BE49-F238E27FC236}">
              <a16:creationId xmlns:a16="http://schemas.microsoft.com/office/drawing/2014/main" id="{5EA23BBF-4544-4349-898B-A33E5CF84CC2}"/>
            </a:ext>
          </a:extLst>
        </xdr:cNvPr>
        <xdr:cNvPicPr>
          <a:picLocks noChangeAspect="1"/>
        </xdr:cNvPicPr>
      </xdr:nvPicPr>
      <xdr:blipFill>
        <a:blip xmlns:r="http://schemas.openxmlformats.org/officeDocument/2006/relationships" r:embed="rId4"/>
        <a:stretch>
          <a:fillRect/>
        </a:stretch>
      </xdr:blipFill>
      <xdr:spPr>
        <a:xfrm>
          <a:off x="393701" y="8854440"/>
          <a:ext cx="4930822" cy="1828800"/>
        </a:xfrm>
        <a:prstGeom prst="rect">
          <a:avLst/>
        </a:prstGeom>
      </xdr:spPr>
    </xdr:pic>
    <xdr:clientData/>
  </xdr:twoCellAnchor>
</xdr:wsDr>
</file>

<file path=xl/drawings/drawing56.xml><?xml version="1.0" encoding="utf-8"?>
<xdr:wsDr xmlns:xdr="http://schemas.openxmlformats.org/drawingml/2006/spreadsheetDrawing" xmlns:a="http://schemas.openxmlformats.org/drawingml/2006/main">
  <xdr:twoCellAnchor editAs="oneCell">
    <xdr:from>
      <xdr:col>0</xdr:col>
      <xdr:colOff>495300</xdr:colOff>
      <xdr:row>7</xdr:row>
      <xdr:rowOff>88900</xdr:rowOff>
    </xdr:from>
    <xdr:to>
      <xdr:col>2</xdr:col>
      <xdr:colOff>3441700</xdr:colOff>
      <xdr:row>27</xdr:row>
      <xdr:rowOff>58814</xdr:rowOff>
    </xdr:to>
    <xdr:pic>
      <xdr:nvPicPr>
        <xdr:cNvPr id="6" name="Imagen 5">
          <a:extLst>
            <a:ext uri="{FF2B5EF4-FFF2-40B4-BE49-F238E27FC236}">
              <a16:creationId xmlns:a16="http://schemas.microsoft.com/office/drawing/2014/main" id="{6F2F05D7-9721-68E6-28E2-5C50FC4CAA6F}"/>
            </a:ext>
          </a:extLst>
        </xdr:cNvPr>
        <xdr:cNvPicPr>
          <a:picLocks noChangeAspect="1"/>
        </xdr:cNvPicPr>
      </xdr:nvPicPr>
      <xdr:blipFill>
        <a:blip xmlns:r="http://schemas.openxmlformats.org/officeDocument/2006/relationships" r:embed="rId1"/>
        <a:stretch>
          <a:fillRect/>
        </a:stretch>
      </xdr:blipFill>
      <xdr:spPr>
        <a:xfrm>
          <a:off x="495300" y="3886200"/>
          <a:ext cx="4521200" cy="4541914"/>
        </a:xfrm>
        <a:prstGeom prst="rect">
          <a:avLst/>
        </a:prstGeom>
      </xdr:spPr>
    </xdr:pic>
    <xdr:clientData/>
  </xdr:twoCellAnchor>
</xdr:wsDr>
</file>

<file path=xl/drawings/drawing57.xml><?xml version="1.0" encoding="utf-8"?>
<xdr:wsDr xmlns:xdr="http://schemas.openxmlformats.org/drawingml/2006/spreadsheetDrawing" xmlns:a="http://schemas.openxmlformats.org/drawingml/2006/main">
  <xdr:twoCellAnchor editAs="oneCell">
    <xdr:from>
      <xdr:col>0</xdr:col>
      <xdr:colOff>495300</xdr:colOff>
      <xdr:row>7</xdr:row>
      <xdr:rowOff>88900</xdr:rowOff>
    </xdr:from>
    <xdr:to>
      <xdr:col>2</xdr:col>
      <xdr:colOff>3441700</xdr:colOff>
      <xdr:row>27</xdr:row>
      <xdr:rowOff>58814</xdr:rowOff>
    </xdr:to>
    <xdr:pic>
      <xdr:nvPicPr>
        <xdr:cNvPr id="2" name="Imagen 1">
          <a:extLst>
            <a:ext uri="{FF2B5EF4-FFF2-40B4-BE49-F238E27FC236}">
              <a16:creationId xmlns:a16="http://schemas.microsoft.com/office/drawing/2014/main" id="{8B67D5D0-A0AF-4E12-85D3-B277F827B004}"/>
            </a:ext>
          </a:extLst>
        </xdr:cNvPr>
        <xdr:cNvPicPr>
          <a:picLocks noChangeAspect="1"/>
        </xdr:cNvPicPr>
      </xdr:nvPicPr>
      <xdr:blipFill>
        <a:blip xmlns:r="http://schemas.openxmlformats.org/officeDocument/2006/relationships" r:embed="rId1"/>
        <a:stretch>
          <a:fillRect/>
        </a:stretch>
      </xdr:blipFill>
      <xdr:spPr>
        <a:xfrm>
          <a:off x="495300" y="3876040"/>
          <a:ext cx="4531360" cy="4541914"/>
        </a:xfrm>
        <a:prstGeom prst="rect">
          <a:avLst/>
        </a:prstGeom>
      </xdr:spPr>
    </xdr:pic>
    <xdr:clientData/>
  </xdr:twoCellAnchor>
</xdr:wsDr>
</file>

<file path=xl/drawings/drawing58.xml><?xml version="1.0" encoding="utf-8"?>
<xdr:wsDr xmlns:xdr="http://schemas.openxmlformats.org/drawingml/2006/spreadsheetDrawing" xmlns:a="http://schemas.openxmlformats.org/drawingml/2006/main">
  <xdr:twoCellAnchor editAs="oneCell">
    <xdr:from>
      <xdr:col>0</xdr:col>
      <xdr:colOff>609600</xdr:colOff>
      <xdr:row>6</xdr:row>
      <xdr:rowOff>190500</xdr:rowOff>
    </xdr:from>
    <xdr:to>
      <xdr:col>2</xdr:col>
      <xdr:colOff>3317611</xdr:colOff>
      <xdr:row>20</xdr:row>
      <xdr:rowOff>185698</xdr:rowOff>
    </xdr:to>
    <xdr:pic>
      <xdr:nvPicPr>
        <xdr:cNvPr id="6" name="Imagen 5">
          <a:extLst>
            <a:ext uri="{FF2B5EF4-FFF2-40B4-BE49-F238E27FC236}">
              <a16:creationId xmlns:a16="http://schemas.microsoft.com/office/drawing/2014/main" id="{D9FB1ECC-EF18-28A0-A3D0-28C31ADF2082}"/>
            </a:ext>
          </a:extLst>
        </xdr:cNvPr>
        <xdr:cNvPicPr>
          <a:picLocks noChangeAspect="1"/>
        </xdr:cNvPicPr>
      </xdr:nvPicPr>
      <xdr:blipFill>
        <a:blip xmlns:r="http://schemas.openxmlformats.org/officeDocument/2006/relationships" r:embed="rId1"/>
        <a:stretch>
          <a:fillRect/>
        </a:stretch>
      </xdr:blipFill>
      <xdr:spPr>
        <a:xfrm>
          <a:off x="609600" y="3746500"/>
          <a:ext cx="4282811" cy="3208298"/>
        </a:xfrm>
        <a:prstGeom prst="rect">
          <a:avLst/>
        </a:prstGeom>
      </xdr:spPr>
    </xdr:pic>
    <xdr:clientData/>
  </xdr:twoCellAnchor>
</xdr:wsDr>
</file>

<file path=xl/drawings/drawing59.xml><?xml version="1.0" encoding="utf-8"?>
<xdr:wsDr xmlns:xdr="http://schemas.openxmlformats.org/drawingml/2006/spreadsheetDrawing" xmlns:a="http://schemas.openxmlformats.org/drawingml/2006/main">
  <xdr:twoCellAnchor editAs="oneCell">
    <xdr:from>
      <xdr:col>1</xdr:col>
      <xdr:colOff>0</xdr:colOff>
      <xdr:row>6</xdr:row>
      <xdr:rowOff>88900</xdr:rowOff>
    </xdr:from>
    <xdr:to>
      <xdr:col>2</xdr:col>
      <xdr:colOff>2933700</xdr:colOff>
      <xdr:row>42</xdr:row>
      <xdr:rowOff>152400</xdr:rowOff>
    </xdr:to>
    <xdr:pic>
      <xdr:nvPicPr>
        <xdr:cNvPr id="2" name="Imagen 1">
          <a:extLst>
            <a:ext uri="{FF2B5EF4-FFF2-40B4-BE49-F238E27FC236}">
              <a16:creationId xmlns:a16="http://schemas.microsoft.com/office/drawing/2014/main" id="{55592717-A648-0D1D-5870-D67F52B09982}"/>
            </a:ext>
          </a:extLst>
        </xdr:cNvPr>
        <xdr:cNvPicPr>
          <a:picLocks noChangeAspect="1"/>
        </xdr:cNvPicPr>
      </xdr:nvPicPr>
      <xdr:blipFill>
        <a:blip xmlns:r="http://schemas.openxmlformats.org/officeDocument/2006/relationships" r:embed="rId1"/>
        <a:stretch>
          <a:fillRect/>
        </a:stretch>
      </xdr:blipFill>
      <xdr:spPr>
        <a:xfrm>
          <a:off x="787400" y="3644900"/>
          <a:ext cx="3721100" cy="8305800"/>
        </a:xfrm>
        <a:prstGeom prst="rect">
          <a:avLst/>
        </a:prstGeom>
      </xdr:spPr>
    </xdr:pic>
    <xdr:clientData/>
  </xdr:twoCellAnchor>
</xdr:wsDr>
</file>

<file path=xl/drawings/drawing60.xml><?xml version="1.0" encoding="utf-8"?>
<xdr:wsDr xmlns:xdr="http://schemas.openxmlformats.org/drawingml/2006/spreadsheetDrawing" xmlns:a="http://schemas.openxmlformats.org/drawingml/2006/main">
  <xdr:twoCellAnchor editAs="oneCell">
    <xdr:from>
      <xdr:col>0</xdr:col>
      <xdr:colOff>584200</xdr:colOff>
      <xdr:row>8</xdr:row>
      <xdr:rowOff>76200</xdr:rowOff>
    </xdr:from>
    <xdr:to>
      <xdr:col>2</xdr:col>
      <xdr:colOff>2552700</xdr:colOff>
      <xdr:row>37</xdr:row>
      <xdr:rowOff>139700</xdr:rowOff>
    </xdr:to>
    <xdr:pic>
      <xdr:nvPicPr>
        <xdr:cNvPr id="2" name="Imagen 1">
          <a:extLst>
            <a:ext uri="{FF2B5EF4-FFF2-40B4-BE49-F238E27FC236}">
              <a16:creationId xmlns:a16="http://schemas.microsoft.com/office/drawing/2014/main" id="{EAC5E8BE-9BFE-14BF-A718-289F774D942E}"/>
            </a:ext>
          </a:extLst>
        </xdr:cNvPr>
        <xdr:cNvPicPr>
          <a:picLocks noChangeAspect="1"/>
        </xdr:cNvPicPr>
      </xdr:nvPicPr>
      <xdr:blipFill>
        <a:blip xmlns:r="http://schemas.openxmlformats.org/officeDocument/2006/relationships" r:embed="rId1"/>
        <a:stretch>
          <a:fillRect/>
        </a:stretch>
      </xdr:blipFill>
      <xdr:spPr>
        <a:xfrm>
          <a:off x="584200" y="4102100"/>
          <a:ext cx="3543300" cy="6692900"/>
        </a:xfrm>
        <a:prstGeom prst="rect">
          <a:avLst/>
        </a:prstGeom>
      </xdr:spPr>
    </xdr:pic>
    <xdr:clientData/>
  </xdr:twoCellAnchor>
</xdr:wsDr>
</file>

<file path=xl/drawings/drawing61.xml><?xml version="1.0" encoding="utf-8"?>
<xdr:wsDr xmlns:xdr="http://schemas.openxmlformats.org/drawingml/2006/spreadsheetDrawing" xmlns:a="http://schemas.openxmlformats.org/drawingml/2006/main">
  <xdr:twoCellAnchor editAs="oneCell">
    <xdr:from>
      <xdr:col>0</xdr:col>
      <xdr:colOff>508000</xdr:colOff>
      <xdr:row>8</xdr:row>
      <xdr:rowOff>114300</xdr:rowOff>
    </xdr:from>
    <xdr:to>
      <xdr:col>2</xdr:col>
      <xdr:colOff>2882900</xdr:colOff>
      <xdr:row>36</xdr:row>
      <xdr:rowOff>130096</xdr:rowOff>
    </xdr:to>
    <xdr:pic>
      <xdr:nvPicPr>
        <xdr:cNvPr id="2" name="Imagen 1">
          <a:extLst>
            <a:ext uri="{FF2B5EF4-FFF2-40B4-BE49-F238E27FC236}">
              <a16:creationId xmlns:a16="http://schemas.microsoft.com/office/drawing/2014/main" id="{1BEF4173-8C0C-12D6-6E3E-C5382B85689C}"/>
            </a:ext>
          </a:extLst>
        </xdr:cNvPr>
        <xdr:cNvPicPr>
          <a:picLocks noChangeAspect="1"/>
        </xdr:cNvPicPr>
      </xdr:nvPicPr>
      <xdr:blipFill>
        <a:blip xmlns:r="http://schemas.openxmlformats.org/officeDocument/2006/relationships" r:embed="rId1"/>
        <a:stretch>
          <a:fillRect/>
        </a:stretch>
      </xdr:blipFill>
      <xdr:spPr>
        <a:xfrm>
          <a:off x="508000" y="4368800"/>
          <a:ext cx="3949700" cy="6416596"/>
        </a:xfrm>
        <a:prstGeom prst="rect">
          <a:avLst/>
        </a:prstGeom>
      </xdr:spPr>
    </xdr:pic>
    <xdr:clientData/>
  </xdr:twoCellAnchor>
</xdr:wsDr>
</file>

<file path=xl/drawings/drawing62.xml><?xml version="1.0" encoding="utf-8"?>
<xdr:wsDr xmlns:xdr="http://schemas.openxmlformats.org/drawingml/2006/spreadsheetDrawing" xmlns:a="http://schemas.openxmlformats.org/drawingml/2006/main">
  <xdr:twoCellAnchor editAs="oneCell">
    <xdr:from>
      <xdr:col>0</xdr:col>
      <xdr:colOff>495300</xdr:colOff>
      <xdr:row>7</xdr:row>
      <xdr:rowOff>76200</xdr:rowOff>
    </xdr:from>
    <xdr:to>
      <xdr:col>2</xdr:col>
      <xdr:colOff>2870200</xdr:colOff>
      <xdr:row>35</xdr:row>
      <xdr:rowOff>91996</xdr:rowOff>
    </xdr:to>
    <xdr:pic>
      <xdr:nvPicPr>
        <xdr:cNvPr id="2" name="Imagen 1">
          <a:extLst>
            <a:ext uri="{FF2B5EF4-FFF2-40B4-BE49-F238E27FC236}">
              <a16:creationId xmlns:a16="http://schemas.microsoft.com/office/drawing/2014/main" id="{2E27DB3C-ECA8-442A-8D8E-0048DAAE8B84}"/>
            </a:ext>
          </a:extLst>
        </xdr:cNvPr>
        <xdr:cNvPicPr>
          <a:picLocks noChangeAspect="1"/>
        </xdr:cNvPicPr>
      </xdr:nvPicPr>
      <xdr:blipFill>
        <a:blip xmlns:r="http://schemas.openxmlformats.org/officeDocument/2006/relationships" r:embed="rId1"/>
        <a:stretch>
          <a:fillRect/>
        </a:stretch>
      </xdr:blipFill>
      <xdr:spPr>
        <a:xfrm>
          <a:off x="495300" y="3873500"/>
          <a:ext cx="3949700" cy="6416596"/>
        </a:xfrm>
        <a:prstGeom prst="rect">
          <a:avLst/>
        </a:prstGeom>
      </xdr:spPr>
    </xdr:pic>
    <xdr:clientData/>
  </xdr:twoCellAnchor>
</xdr:wsDr>
</file>

<file path=xl/drawings/drawing63.xml><?xml version="1.0" encoding="utf-8"?>
<xdr:wsDr xmlns:xdr="http://schemas.openxmlformats.org/drawingml/2006/spreadsheetDrawing" xmlns:a="http://schemas.openxmlformats.org/drawingml/2006/main">
  <xdr:twoCellAnchor editAs="oneCell">
    <xdr:from>
      <xdr:col>0</xdr:col>
      <xdr:colOff>520700</xdr:colOff>
      <xdr:row>6</xdr:row>
      <xdr:rowOff>190500</xdr:rowOff>
    </xdr:from>
    <xdr:to>
      <xdr:col>2</xdr:col>
      <xdr:colOff>2806727</xdr:colOff>
      <xdr:row>30</xdr:row>
      <xdr:rowOff>190500</xdr:rowOff>
    </xdr:to>
    <xdr:pic>
      <xdr:nvPicPr>
        <xdr:cNvPr id="2" name="Imagen 1">
          <a:extLst>
            <a:ext uri="{FF2B5EF4-FFF2-40B4-BE49-F238E27FC236}">
              <a16:creationId xmlns:a16="http://schemas.microsoft.com/office/drawing/2014/main" id="{28ECFD14-53CC-4265-2E53-F383E0AB4BC7}"/>
            </a:ext>
          </a:extLst>
        </xdr:cNvPr>
        <xdr:cNvPicPr>
          <a:picLocks noChangeAspect="1"/>
        </xdr:cNvPicPr>
      </xdr:nvPicPr>
      <xdr:blipFill>
        <a:blip xmlns:r="http://schemas.openxmlformats.org/officeDocument/2006/relationships" r:embed="rId1"/>
        <a:stretch>
          <a:fillRect/>
        </a:stretch>
      </xdr:blipFill>
      <xdr:spPr>
        <a:xfrm>
          <a:off x="520700" y="3746500"/>
          <a:ext cx="3860827" cy="5499100"/>
        </a:xfrm>
        <a:prstGeom prst="rect">
          <a:avLst/>
        </a:prstGeom>
      </xdr:spPr>
    </xdr:pic>
    <xdr:clientData/>
  </xdr:twoCellAnchor>
</xdr:wsDr>
</file>

<file path=xl/drawings/drawing64.xml><?xml version="1.0" encoding="utf-8"?>
<xdr:wsDr xmlns:xdr="http://schemas.openxmlformats.org/drawingml/2006/spreadsheetDrawing" xmlns:a="http://schemas.openxmlformats.org/drawingml/2006/main">
  <xdr:twoCellAnchor editAs="oneCell">
    <xdr:from>
      <xdr:col>0</xdr:col>
      <xdr:colOff>508000</xdr:colOff>
      <xdr:row>9</xdr:row>
      <xdr:rowOff>114300</xdr:rowOff>
    </xdr:from>
    <xdr:to>
      <xdr:col>2</xdr:col>
      <xdr:colOff>2882900</xdr:colOff>
      <xdr:row>37</xdr:row>
      <xdr:rowOff>130096</xdr:rowOff>
    </xdr:to>
    <xdr:pic>
      <xdr:nvPicPr>
        <xdr:cNvPr id="2" name="Imagen 1">
          <a:extLst>
            <a:ext uri="{FF2B5EF4-FFF2-40B4-BE49-F238E27FC236}">
              <a16:creationId xmlns:a16="http://schemas.microsoft.com/office/drawing/2014/main" id="{3766320B-931E-4A51-8EA4-C9E4F0177C09}"/>
            </a:ext>
          </a:extLst>
        </xdr:cNvPr>
        <xdr:cNvPicPr>
          <a:picLocks noChangeAspect="1"/>
        </xdr:cNvPicPr>
      </xdr:nvPicPr>
      <xdr:blipFill>
        <a:blip xmlns:r="http://schemas.openxmlformats.org/officeDocument/2006/relationships" r:embed="rId1"/>
        <a:stretch>
          <a:fillRect/>
        </a:stretch>
      </xdr:blipFill>
      <xdr:spPr>
        <a:xfrm>
          <a:off x="508000" y="4358640"/>
          <a:ext cx="3959860" cy="6416596"/>
        </a:xfrm>
        <a:prstGeom prst="rect">
          <a:avLst/>
        </a:prstGeom>
      </xdr:spPr>
    </xdr:pic>
    <xdr:clientData/>
  </xdr:twoCellAnchor>
</xdr:wsDr>
</file>

<file path=xl/drawings/drawing65.xml><?xml version="1.0" encoding="utf-8"?>
<xdr:wsDr xmlns:xdr="http://schemas.openxmlformats.org/drawingml/2006/spreadsheetDrawing" xmlns:a="http://schemas.openxmlformats.org/drawingml/2006/main">
  <xdr:twoCellAnchor editAs="oneCell">
    <xdr:from>
      <xdr:col>0</xdr:col>
      <xdr:colOff>508000</xdr:colOff>
      <xdr:row>9</xdr:row>
      <xdr:rowOff>114300</xdr:rowOff>
    </xdr:from>
    <xdr:to>
      <xdr:col>2</xdr:col>
      <xdr:colOff>2882900</xdr:colOff>
      <xdr:row>37</xdr:row>
      <xdr:rowOff>130096</xdr:rowOff>
    </xdr:to>
    <xdr:pic>
      <xdr:nvPicPr>
        <xdr:cNvPr id="2" name="Imagen 1">
          <a:extLst>
            <a:ext uri="{FF2B5EF4-FFF2-40B4-BE49-F238E27FC236}">
              <a16:creationId xmlns:a16="http://schemas.microsoft.com/office/drawing/2014/main" id="{533E0911-FC55-40EF-8D54-FAAD3CE7E529}"/>
            </a:ext>
          </a:extLst>
        </xdr:cNvPr>
        <xdr:cNvPicPr>
          <a:picLocks noChangeAspect="1"/>
        </xdr:cNvPicPr>
      </xdr:nvPicPr>
      <xdr:blipFill>
        <a:blip xmlns:r="http://schemas.openxmlformats.org/officeDocument/2006/relationships" r:embed="rId1"/>
        <a:stretch>
          <a:fillRect/>
        </a:stretch>
      </xdr:blipFill>
      <xdr:spPr>
        <a:xfrm>
          <a:off x="508000" y="4358640"/>
          <a:ext cx="3959860" cy="6416596"/>
        </a:xfrm>
        <a:prstGeom prst="rect">
          <a:avLst/>
        </a:prstGeom>
      </xdr:spPr>
    </xdr:pic>
    <xdr:clientData/>
  </xdr:twoCellAnchor>
</xdr:wsDr>
</file>

<file path=xl/drawings/drawing66.xml><?xml version="1.0" encoding="utf-8"?>
<xdr:wsDr xmlns:xdr="http://schemas.openxmlformats.org/drawingml/2006/spreadsheetDrawing" xmlns:a="http://schemas.openxmlformats.org/drawingml/2006/main">
  <xdr:twoCellAnchor editAs="oneCell">
    <xdr:from>
      <xdr:col>0</xdr:col>
      <xdr:colOff>508000</xdr:colOff>
      <xdr:row>9</xdr:row>
      <xdr:rowOff>114300</xdr:rowOff>
    </xdr:from>
    <xdr:to>
      <xdr:col>2</xdr:col>
      <xdr:colOff>2882900</xdr:colOff>
      <xdr:row>37</xdr:row>
      <xdr:rowOff>130096</xdr:rowOff>
    </xdr:to>
    <xdr:pic>
      <xdr:nvPicPr>
        <xdr:cNvPr id="2" name="Imagen 1">
          <a:extLst>
            <a:ext uri="{FF2B5EF4-FFF2-40B4-BE49-F238E27FC236}">
              <a16:creationId xmlns:a16="http://schemas.microsoft.com/office/drawing/2014/main" id="{C5DFAE8A-E3F6-44E7-840C-D101EF235D8B}"/>
            </a:ext>
          </a:extLst>
        </xdr:cNvPr>
        <xdr:cNvPicPr>
          <a:picLocks noChangeAspect="1"/>
        </xdr:cNvPicPr>
      </xdr:nvPicPr>
      <xdr:blipFill>
        <a:blip xmlns:r="http://schemas.openxmlformats.org/officeDocument/2006/relationships" r:embed="rId1"/>
        <a:stretch>
          <a:fillRect/>
        </a:stretch>
      </xdr:blipFill>
      <xdr:spPr>
        <a:xfrm>
          <a:off x="508000" y="4358640"/>
          <a:ext cx="3959860" cy="6416596"/>
        </a:xfrm>
        <a:prstGeom prst="rect">
          <a:avLst/>
        </a:prstGeom>
      </xdr:spPr>
    </xdr:pic>
    <xdr:clientData/>
  </xdr:twoCellAnchor>
</xdr:wsDr>
</file>

<file path=xl/drawings/drawing67.xml><?xml version="1.0" encoding="utf-8"?>
<xdr:wsDr xmlns:xdr="http://schemas.openxmlformats.org/drawingml/2006/spreadsheetDrawing" xmlns:a="http://schemas.openxmlformats.org/drawingml/2006/main">
  <xdr:twoCellAnchor editAs="oneCell">
    <xdr:from>
      <xdr:col>0</xdr:col>
      <xdr:colOff>393700</xdr:colOff>
      <xdr:row>7</xdr:row>
      <xdr:rowOff>152399</xdr:rowOff>
    </xdr:from>
    <xdr:to>
      <xdr:col>2</xdr:col>
      <xdr:colOff>3403600</xdr:colOff>
      <xdr:row>31</xdr:row>
      <xdr:rowOff>115814</xdr:rowOff>
    </xdr:to>
    <xdr:pic>
      <xdr:nvPicPr>
        <xdr:cNvPr id="3" name="Imagen 2">
          <a:extLst>
            <a:ext uri="{FF2B5EF4-FFF2-40B4-BE49-F238E27FC236}">
              <a16:creationId xmlns:a16="http://schemas.microsoft.com/office/drawing/2014/main" id="{7C92AF83-AF79-A0C6-1EBD-6ED0FCD5C688}"/>
            </a:ext>
          </a:extLst>
        </xdr:cNvPr>
        <xdr:cNvPicPr>
          <a:picLocks noChangeAspect="1"/>
        </xdr:cNvPicPr>
      </xdr:nvPicPr>
      <xdr:blipFill>
        <a:blip xmlns:r="http://schemas.openxmlformats.org/officeDocument/2006/relationships" r:embed="rId1"/>
        <a:stretch>
          <a:fillRect/>
        </a:stretch>
      </xdr:blipFill>
      <xdr:spPr>
        <a:xfrm>
          <a:off x="393700" y="3949699"/>
          <a:ext cx="4584700" cy="5449815"/>
        </a:xfrm>
        <a:prstGeom prst="rect">
          <a:avLst/>
        </a:prstGeom>
      </xdr:spPr>
    </xdr:pic>
    <xdr:clientData/>
  </xdr:twoCellAnchor>
</xdr:wsDr>
</file>

<file path=xl/drawings/drawing68.xml><?xml version="1.0" encoding="utf-8"?>
<xdr:wsDr xmlns:xdr="http://schemas.openxmlformats.org/drawingml/2006/spreadsheetDrawing" xmlns:a="http://schemas.openxmlformats.org/drawingml/2006/main">
  <xdr:twoCellAnchor editAs="oneCell">
    <xdr:from>
      <xdr:col>0</xdr:col>
      <xdr:colOff>393700</xdr:colOff>
      <xdr:row>7</xdr:row>
      <xdr:rowOff>152399</xdr:rowOff>
    </xdr:from>
    <xdr:to>
      <xdr:col>2</xdr:col>
      <xdr:colOff>3403600</xdr:colOff>
      <xdr:row>31</xdr:row>
      <xdr:rowOff>115814</xdr:rowOff>
    </xdr:to>
    <xdr:pic>
      <xdr:nvPicPr>
        <xdr:cNvPr id="2" name="Imagen 1">
          <a:extLst>
            <a:ext uri="{FF2B5EF4-FFF2-40B4-BE49-F238E27FC236}">
              <a16:creationId xmlns:a16="http://schemas.microsoft.com/office/drawing/2014/main" id="{8DFEC91E-995F-4F58-BD02-9E3E7D72E4C5}"/>
            </a:ext>
          </a:extLst>
        </xdr:cNvPr>
        <xdr:cNvPicPr>
          <a:picLocks noChangeAspect="1"/>
        </xdr:cNvPicPr>
      </xdr:nvPicPr>
      <xdr:blipFill>
        <a:blip xmlns:r="http://schemas.openxmlformats.org/officeDocument/2006/relationships" r:embed="rId1"/>
        <a:stretch>
          <a:fillRect/>
        </a:stretch>
      </xdr:blipFill>
      <xdr:spPr>
        <a:xfrm>
          <a:off x="393700" y="3939539"/>
          <a:ext cx="4594860" cy="5449815"/>
        </a:xfrm>
        <a:prstGeom prst="rect">
          <a:avLst/>
        </a:prstGeom>
      </xdr:spPr>
    </xdr:pic>
    <xdr:clientData/>
  </xdr:twoCellAnchor>
</xdr:wsDr>
</file>

<file path=xl/drawings/drawing69.xml><?xml version="1.0" encoding="utf-8"?>
<xdr:wsDr xmlns:xdr="http://schemas.openxmlformats.org/drawingml/2006/spreadsheetDrawing" xmlns:a="http://schemas.openxmlformats.org/drawingml/2006/main">
  <xdr:twoCellAnchor editAs="oneCell">
    <xdr:from>
      <xdr:col>0</xdr:col>
      <xdr:colOff>393700</xdr:colOff>
      <xdr:row>7</xdr:row>
      <xdr:rowOff>152399</xdr:rowOff>
    </xdr:from>
    <xdr:to>
      <xdr:col>2</xdr:col>
      <xdr:colOff>3403600</xdr:colOff>
      <xdr:row>31</xdr:row>
      <xdr:rowOff>115814</xdr:rowOff>
    </xdr:to>
    <xdr:pic>
      <xdr:nvPicPr>
        <xdr:cNvPr id="2" name="Imagen 1">
          <a:extLst>
            <a:ext uri="{FF2B5EF4-FFF2-40B4-BE49-F238E27FC236}">
              <a16:creationId xmlns:a16="http://schemas.microsoft.com/office/drawing/2014/main" id="{70D9C311-C1D7-4E9E-B591-DFB77812E35D}"/>
            </a:ext>
          </a:extLst>
        </xdr:cNvPr>
        <xdr:cNvPicPr>
          <a:picLocks noChangeAspect="1"/>
        </xdr:cNvPicPr>
      </xdr:nvPicPr>
      <xdr:blipFill>
        <a:blip xmlns:r="http://schemas.openxmlformats.org/officeDocument/2006/relationships" r:embed="rId1"/>
        <a:stretch>
          <a:fillRect/>
        </a:stretch>
      </xdr:blipFill>
      <xdr:spPr>
        <a:xfrm>
          <a:off x="393700" y="3939539"/>
          <a:ext cx="4594860" cy="5449815"/>
        </a:xfrm>
        <a:prstGeom prst="rect">
          <a:avLst/>
        </a:prstGeom>
      </xdr:spPr>
    </xdr:pic>
    <xdr:clientData/>
  </xdr:twoCellAnchor>
</xdr:wsDr>
</file>

<file path=xl/drawings/drawing70.xml><?xml version="1.0" encoding="utf-8"?>
<xdr:wsDr xmlns:xdr="http://schemas.openxmlformats.org/drawingml/2006/spreadsheetDrawing" xmlns:a="http://schemas.openxmlformats.org/drawingml/2006/main">
  <xdr:twoCellAnchor editAs="oneCell">
    <xdr:from>
      <xdr:col>1</xdr:col>
      <xdr:colOff>38100</xdr:colOff>
      <xdr:row>7</xdr:row>
      <xdr:rowOff>0</xdr:rowOff>
    </xdr:from>
    <xdr:to>
      <xdr:col>2</xdr:col>
      <xdr:colOff>3276600</xdr:colOff>
      <xdr:row>32</xdr:row>
      <xdr:rowOff>206253</xdr:rowOff>
    </xdr:to>
    <xdr:pic>
      <xdr:nvPicPr>
        <xdr:cNvPr id="3" name="Imagen 2">
          <a:extLst>
            <a:ext uri="{FF2B5EF4-FFF2-40B4-BE49-F238E27FC236}">
              <a16:creationId xmlns:a16="http://schemas.microsoft.com/office/drawing/2014/main" id="{95CBEA55-2A87-6669-BE2B-F402C2133289}"/>
            </a:ext>
          </a:extLst>
        </xdr:cNvPr>
        <xdr:cNvPicPr>
          <a:picLocks noChangeAspect="1"/>
        </xdr:cNvPicPr>
      </xdr:nvPicPr>
      <xdr:blipFill>
        <a:blip xmlns:r="http://schemas.openxmlformats.org/officeDocument/2006/relationships" r:embed="rId1"/>
        <a:stretch>
          <a:fillRect/>
        </a:stretch>
      </xdr:blipFill>
      <xdr:spPr>
        <a:xfrm>
          <a:off x="825500" y="3797300"/>
          <a:ext cx="4025900" cy="5921253"/>
        </a:xfrm>
        <a:prstGeom prst="rect">
          <a:avLst/>
        </a:prstGeom>
      </xdr:spPr>
    </xdr:pic>
    <xdr:clientData/>
  </xdr:twoCellAnchor>
</xdr:wsDr>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8</v>
    <v>8</v>
    <v>22</v>
    <v>1</v>
  </rv>
</rvData>
</file>

<file path=xl/richData/rdrichvaluestructure.xml><?xml version="1.0" encoding="utf-8"?>
<rvStructures xmlns="http://schemas.microsoft.com/office/spreadsheetml/2017/richdata" count="1">
  <s t="_error">
    <k n="colOffset" t="i"/>
    <k n="errorType" t="i"/>
    <k n="rwOffset" t="i"/>
    <k n="subType" t="i"/>
  </s>
</rvStructures>
</file>

<file path=xl/theme/theme1.xml><?xml version="1.0" encoding="utf-8"?>
<a:theme xmlns:a="http://schemas.openxmlformats.org/drawingml/2006/main" name="Faceta">
  <a:themeElements>
    <a:clrScheme name="Faceta">
      <a:dk1>
        <a:sysClr val="windowText" lastClr="000000"/>
      </a:dk1>
      <a:lt1>
        <a:sysClr val="window" lastClr="FFFFFF"/>
      </a:lt1>
      <a:dk2>
        <a:srgbClr val="2C3C43"/>
      </a:dk2>
      <a:lt2>
        <a:srgbClr val="EBEBEB"/>
      </a:lt2>
      <a:accent1>
        <a:srgbClr val="90C226"/>
      </a:accent1>
      <a:accent2>
        <a:srgbClr val="54A021"/>
      </a:accent2>
      <a:accent3>
        <a:srgbClr val="E6B91E"/>
      </a:accent3>
      <a:accent4>
        <a:srgbClr val="E76618"/>
      </a:accent4>
      <a:accent5>
        <a:srgbClr val="C42F1A"/>
      </a:accent5>
      <a:accent6>
        <a:srgbClr val="918655"/>
      </a:accent6>
      <a:hlink>
        <a:srgbClr val="99CA3C"/>
      </a:hlink>
      <a:folHlink>
        <a:srgbClr val="B9D181"/>
      </a:folHlink>
    </a:clrScheme>
    <a:fontScheme name="Faceta">
      <a:majorFont>
        <a:latin typeface="Trebuchet MS" panose="020B0603020202020204"/>
        <a:ea typeface=""/>
        <a:cs typeface=""/>
        <a:font script="Jpan" typeface="メイリオ"/>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メイリオ"/>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Faceta">
      <a:fillStyleLst>
        <a:solidFill>
          <a:schemeClr val="phClr"/>
        </a:solidFill>
        <a:gradFill rotWithShape="1">
          <a:gsLst>
            <a:gs pos="0">
              <a:schemeClr val="phClr">
                <a:tint val="65000"/>
                <a:lumMod val="110000"/>
              </a:schemeClr>
            </a:gs>
            <a:gs pos="88000">
              <a:schemeClr val="phClr">
                <a:tint val="90000"/>
              </a:schemeClr>
            </a:gs>
          </a:gsLst>
          <a:lin ang="5400000" scaled="0"/>
        </a:gradFill>
        <a:gradFill rotWithShape="1">
          <a:gsLst>
            <a:gs pos="0">
              <a:schemeClr val="phClr">
                <a:tint val="96000"/>
                <a:lumMod val="100000"/>
              </a:schemeClr>
            </a:gs>
            <a:gs pos="78000">
              <a:schemeClr val="phClr">
                <a:shade val="94000"/>
                <a:lumMod val="94000"/>
              </a:schemeClr>
            </a:gs>
          </a:gsLst>
          <a:lin ang="5400000" scaled="0"/>
        </a:gradFill>
      </a:fillStyleLst>
      <a:lnStyleLst>
        <a:ln w="12700" cap="rnd" cmpd="sng" algn="ctr">
          <a:solidFill>
            <a:schemeClr val="phClr"/>
          </a:solidFill>
          <a:prstDash val="solid"/>
        </a:ln>
        <a:ln w="19050" cap="rnd" cmpd="sng" algn="ctr">
          <a:solidFill>
            <a:schemeClr val="phClr"/>
          </a:solidFill>
          <a:prstDash val="solid"/>
        </a:ln>
        <a:ln w="25400" cap="rnd" cmpd="sng" algn="ctr">
          <a:solidFill>
            <a:schemeClr val="phClr"/>
          </a:solidFill>
          <a:prstDash val="solid"/>
        </a:ln>
      </a:lnStyleLst>
      <a:effectStyleLst>
        <a:effectStyle>
          <a:effectLst/>
        </a:effectStyle>
        <a:effectStyle>
          <a:effectLst>
            <a:outerShdw blurRad="38100" dist="25400" dir="5400000" rotWithShape="0">
              <a:srgbClr val="000000">
                <a:alpha val="35000"/>
              </a:srgbClr>
            </a:outerShdw>
          </a:effectLst>
        </a:effectStyle>
        <a:effectStyle>
          <a:effectLst>
            <a:outerShdw blurRad="50800" dist="38100" dir="5400000" rotWithShape="0">
              <a:srgbClr val="000000">
                <a:alpha val="35000"/>
              </a:srgbClr>
            </a:outerShdw>
          </a:effectLst>
          <a:scene3d>
            <a:camera prst="orthographicFront">
              <a:rot lat="0" lon="0" rev="0"/>
            </a:camera>
            <a:lightRig rig="threePt" dir="tl"/>
          </a:scene3d>
          <a:sp3d prstMaterial="plastic">
            <a:bevelT w="0" h="0"/>
          </a:sp3d>
        </a:effectStyle>
      </a:effectStyleLst>
      <a:bgFillStyleLst>
        <a:solidFill>
          <a:schemeClr val="phClr"/>
        </a:solidFill>
        <a:gradFill rotWithShape="1">
          <a:gsLst>
            <a:gs pos="0">
              <a:schemeClr val="phClr">
                <a:tint val="90000"/>
                <a:lumMod val="104000"/>
              </a:schemeClr>
            </a:gs>
            <a:gs pos="94000">
              <a:schemeClr val="phClr">
                <a:shade val="96000"/>
                <a:lumMod val="82000"/>
              </a:schemeClr>
            </a:gs>
          </a:gsLst>
          <a:lin ang="5400000" scaled="0"/>
        </a:gradFill>
        <a:gradFill rotWithShape="1">
          <a:gsLst>
            <a:gs pos="0">
              <a:schemeClr val="phClr">
                <a:tint val="90000"/>
                <a:lumMod val="110000"/>
              </a:schemeClr>
            </a:gs>
            <a:gs pos="100000">
              <a:schemeClr val="phClr">
                <a:shade val="94000"/>
                <a:lumMod val="96000"/>
              </a:schemeClr>
            </a:gs>
          </a:gsLst>
          <a:path path="circle">
            <a:fillToRect l="50000" t="50000" r="100000" b="100000"/>
          </a:path>
        </a:gradFill>
      </a:bgFillStyleLst>
    </a:fmtScheme>
  </a:themeElements>
  <a:objectDefaults/>
  <a:extraClrSchemeLst/>
  <a:extLst>
    <a:ext uri="{05A4C25C-085E-4340-85A3-A5531E510DB2}">
      <thm15:themeFamily xmlns:thm15="http://schemas.microsoft.com/office/thememl/2012/main" name="Facet" id="{C0C680CD-088A-49FC-A102-D699147F32B2}" vid="{CFBC31BA-B70F-4F30-BCAA-4F3011E16C4D}"/>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planeacionsanrque@antioquia.gov.cocom" TargetMode="External"/></Relationships>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mailto:planeacionsanrque@antioquia.gov.cocom"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mailto:planeacionsanrque@antioquia.gov.cocom" TargetMode="Externa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mailto:planeacionsanrque@antioquia.gov.cocom" TargetMode="Externa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hyperlink" Target="mailto:planeacionsanrque@antioquia.gov.cocom" TargetMode="Externa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3.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4.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5.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6.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7.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8.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9.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30.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31.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32.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33.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34.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36.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37.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38.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39.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40.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41.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42.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43.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44.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45.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46.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47.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48.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49.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50.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51.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52.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53.bin"/></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54.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55.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56.bin"/></Relationships>
</file>

<file path=xl/worksheets/_rels/sheet59.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57.bin"/></Relationships>
</file>

<file path=xl/worksheets/_rels/sheet60.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58.bin"/></Relationships>
</file>

<file path=xl/worksheets/_rels/sheet61.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59.bin"/></Relationships>
</file>

<file path=xl/worksheets/_rels/sheet62.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60.bin"/></Relationships>
</file>

<file path=xl/worksheets/_rels/sheet63.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61.bin"/></Relationships>
</file>

<file path=xl/worksheets/_rels/sheet64.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62.bin"/></Relationships>
</file>

<file path=xl/worksheets/_rels/sheet65.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63.bin"/></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64.bin"/></Relationships>
</file>

<file path=xl/worksheets/_rels/sheet67.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65.bin"/></Relationships>
</file>

<file path=xl/worksheets/_rels/sheet68.xml.rels><?xml version="1.0" encoding="UTF-8" standalone="yes"?>
<Relationships xmlns="http://schemas.openxmlformats.org/package/2006/relationships"><Relationship Id="rId2" Type="http://schemas.openxmlformats.org/officeDocument/2006/relationships/drawing" Target="../drawings/drawing55.xml"/><Relationship Id="rId1" Type="http://schemas.openxmlformats.org/officeDocument/2006/relationships/printerSettings" Target="../printerSettings/printerSettings66.bin"/></Relationships>
</file>

<file path=xl/worksheets/_rels/sheet69.xml.rels><?xml version="1.0" encoding="UTF-8" standalone="yes"?>
<Relationships xmlns="http://schemas.openxmlformats.org/package/2006/relationships"><Relationship Id="rId2" Type="http://schemas.openxmlformats.org/officeDocument/2006/relationships/drawing" Target="../drawings/drawing56.xml"/><Relationship Id="rId1" Type="http://schemas.openxmlformats.org/officeDocument/2006/relationships/printerSettings" Target="../printerSettings/printerSettings67.bin"/></Relationships>
</file>

<file path=xl/worksheets/_rels/sheet70.xml.rels><?xml version="1.0" encoding="UTF-8" standalone="yes"?>
<Relationships xmlns="http://schemas.openxmlformats.org/package/2006/relationships"><Relationship Id="rId2" Type="http://schemas.openxmlformats.org/officeDocument/2006/relationships/drawing" Target="../drawings/drawing57.xml"/><Relationship Id="rId1" Type="http://schemas.openxmlformats.org/officeDocument/2006/relationships/printerSettings" Target="../printerSettings/printerSettings68.bin"/></Relationships>
</file>

<file path=xl/worksheets/_rels/sheet71.xml.rels><?xml version="1.0" encoding="UTF-8" standalone="yes"?>
<Relationships xmlns="http://schemas.openxmlformats.org/package/2006/relationships"><Relationship Id="rId2" Type="http://schemas.openxmlformats.org/officeDocument/2006/relationships/drawing" Target="../drawings/drawing58.xml"/><Relationship Id="rId1" Type="http://schemas.openxmlformats.org/officeDocument/2006/relationships/printerSettings" Target="../printerSettings/printerSettings69.bin"/></Relationships>
</file>

<file path=xl/worksheets/_rels/sheet72.xml.rels><?xml version="1.0" encoding="UTF-8" standalone="yes"?>
<Relationships xmlns="http://schemas.openxmlformats.org/package/2006/relationships"><Relationship Id="rId2" Type="http://schemas.openxmlformats.org/officeDocument/2006/relationships/drawing" Target="../drawings/drawing59.xml"/><Relationship Id="rId1" Type="http://schemas.openxmlformats.org/officeDocument/2006/relationships/printerSettings" Target="../printerSettings/printerSettings70.bin"/></Relationships>
</file>

<file path=xl/worksheets/_rels/sheet73.xml.rels><?xml version="1.0" encoding="UTF-8" standalone="yes"?>
<Relationships xmlns="http://schemas.openxmlformats.org/package/2006/relationships"><Relationship Id="rId2" Type="http://schemas.openxmlformats.org/officeDocument/2006/relationships/drawing" Target="../drawings/drawing60.xml"/><Relationship Id="rId1" Type="http://schemas.openxmlformats.org/officeDocument/2006/relationships/printerSettings" Target="../printerSettings/printerSettings71.bin"/></Relationships>
</file>

<file path=xl/worksheets/_rels/sheet74.xml.rels><?xml version="1.0" encoding="UTF-8" standalone="yes"?>
<Relationships xmlns="http://schemas.openxmlformats.org/package/2006/relationships"><Relationship Id="rId2" Type="http://schemas.openxmlformats.org/officeDocument/2006/relationships/drawing" Target="../drawings/drawing61.xml"/><Relationship Id="rId1" Type="http://schemas.openxmlformats.org/officeDocument/2006/relationships/printerSettings" Target="../printerSettings/printerSettings72.bin"/></Relationships>
</file>

<file path=xl/worksheets/_rels/sheet75.xml.rels><?xml version="1.0" encoding="UTF-8" standalone="yes"?>
<Relationships xmlns="http://schemas.openxmlformats.org/package/2006/relationships"><Relationship Id="rId2" Type="http://schemas.openxmlformats.org/officeDocument/2006/relationships/drawing" Target="../drawings/drawing62.xml"/><Relationship Id="rId1" Type="http://schemas.openxmlformats.org/officeDocument/2006/relationships/printerSettings" Target="../printerSettings/printerSettings73.bin"/></Relationships>
</file>

<file path=xl/worksheets/_rels/sheet76.xml.rels><?xml version="1.0" encoding="UTF-8" standalone="yes"?>
<Relationships xmlns="http://schemas.openxmlformats.org/package/2006/relationships"><Relationship Id="rId2" Type="http://schemas.openxmlformats.org/officeDocument/2006/relationships/drawing" Target="../drawings/drawing63.xml"/><Relationship Id="rId1" Type="http://schemas.openxmlformats.org/officeDocument/2006/relationships/printerSettings" Target="../printerSettings/printerSettings74.bin"/></Relationships>
</file>

<file path=xl/worksheets/_rels/sheet77.xml.rels><?xml version="1.0" encoding="UTF-8" standalone="yes"?>
<Relationships xmlns="http://schemas.openxmlformats.org/package/2006/relationships"><Relationship Id="rId2" Type="http://schemas.openxmlformats.org/officeDocument/2006/relationships/drawing" Target="../drawings/drawing64.xml"/><Relationship Id="rId1" Type="http://schemas.openxmlformats.org/officeDocument/2006/relationships/printerSettings" Target="../printerSettings/printerSettings75.bin"/></Relationships>
</file>

<file path=xl/worksheets/_rels/sheet78.xml.rels><?xml version="1.0" encoding="UTF-8" standalone="yes"?>
<Relationships xmlns="http://schemas.openxmlformats.org/package/2006/relationships"><Relationship Id="rId2" Type="http://schemas.openxmlformats.org/officeDocument/2006/relationships/drawing" Target="../drawings/drawing65.xml"/><Relationship Id="rId1" Type="http://schemas.openxmlformats.org/officeDocument/2006/relationships/printerSettings" Target="../printerSettings/printerSettings76.bin"/></Relationships>
</file>

<file path=xl/worksheets/_rels/sheet79.xml.rels><?xml version="1.0" encoding="UTF-8" standalone="yes"?>
<Relationships xmlns="http://schemas.openxmlformats.org/package/2006/relationships"><Relationship Id="rId2" Type="http://schemas.openxmlformats.org/officeDocument/2006/relationships/drawing" Target="../drawings/drawing66.xml"/><Relationship Id="rId1" Type="http://schemas.openxmlformats.org/officeDocument/2006/relationships/printerSettings" Target="../printerSettings/printerSettings77.bin"/></Relationships>
</file>

<file path=xl/worksheets/_rels/sheet80.xml.rels><?xml version="1.0" encoding="UTF-8" standalone="yes"?>
<Relationships xmlns="http://schemas.openxmlformats.org/package/2006/relationships"><Relationship Id="rId2" Type="http://schemas.openxmlformats.org/officeDocument/2006/relationships/drawing" Target="../drawings/drawing67.xml"/><Relationship Id="rId1" Type="http://schemas.openxmlformats.org/officeDocument/2006/relationships/printerSettings" Target="../printerSettings/printerSettings78.bin"/></Relationships>
</file>

<file path=xl/worksheets/_rels/sheet81.xml.rels><?xml version="1.0" encoding="UTF-8" standalone="yes"?>
<Relationships xmlns="http://schemas.openxmlformats.org/package/2006/relationships"><Relationship Id="rId2" Type="http://schemas.openxmlformats.org/officeDocument/2006/relationships/drawing" Target="../drawings/drawing68.xml"/><Relationship Id="rId1" Type="http://schemas.openxmlformats.org/officeDocument/2006/relationships/printerSettings" Target="../printerSettings/printerSettings79.bin"/></Relationships>
</file>

<file path=xl/worksheets/_rels/sheet82.xml.rels><?xml version="1.0" encoding="UTF-8" standalone="yes"?>
<Relationships xmlns="http://schemas.openxmlformats.org/package/2006/relationships"><Relationship Id="rId2" Type="http://schemas.openxmlformats.org/officeDocument/2006/relationships/drawing" Target="../drawings/drawing69.xml"/><Relationship Id="rId1" Type="http://schemas.openxmlformats.org/officeDocument/2006/relationships/printerSettings" Target="../printerSettings/printerSettings80.bin"/></Relationships>
</file>

<file path=xl/worksheets/_rels/sheet83.xml.rels><?xml version="1.0" encoding="UTF-8" standalone="yes"?>
<Relationships xmlns="http://schemas.openxmlformats.org/package/2006/relationships"><Relationship Id="rId2" Type="http://schemas.openxmlformats.org/officeDocument/2006/relationships/drawing" Target="../drawings/drawing70.xml"/><Relationship Id="rId1" Type="http://schemas.openxmlformats.org/officeDocument/2006/relationships/printerSettings" Target="../printerSettings/printerSettings8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rgb="FF00B050"/>
    <pageSetUpPr fitToPage="1"/>
  </sheetPr>
  <dimension ref="B1:I119"/>
  <sheetViews>
    <sheetView tabSelected="1" showOutlineSymbols="0" topLeftCell="A94" zoomScaleNormal="100" zoomScaleSheetLayoutView="40" workbookViewId="0">
      <selection activeCell="E117" sqref="E117"/>
    </sheetView>
  </sheetViews>
  <sheetFormatPr baseColWidth="10" defaultColWidth="11" defaultRowHeight="18" x14ac:dyDescent="0.3"/>
  <cols>
    <col min="1" max="1" width="11" style="125"/>
    <col min="2" max="2" width="13.375" style="232" customWidth="1"/>
    <col min="3" max="3" width="65.375" style="126" customWidth="1"/>
    <col min="4" max="4" width="13.375" style="125" customWidth="1"/>
    <col min="5" max="5" width="15.75" style="127" customWidth="1"/>
    <col min="6" max="6" width="20.375" style="739" customWidth="1"/>
    <col min="7" max="7" width="25.875" style="740" customWidth="1"/>
    <col min="8" max="8" width="25.625" style="125" hidden="1" customWidth="1"/>
    <col min="9" max="9" width="0" style="125" hidden="1" customWidth="1"/>
    <col min="10" max="16384" width="11" style="125"/>
  </cols>
  <sheetData>
    <row r="1" spans="2:8" ht="16.899999999999999" thickBot="1" x14ac:dyDescent="0.35"/>
    <row r="2" spans="2:8" s="129" customFormat="1" x14ac:dyDescent="0.3">
      <c r="B2" s="156"/>
      <c r="C2" s="766" t="s">
        <v>0</v>
      </c>
      <c r="D2" s="766"/>
      <c r="E2" s="766"/>
      <c r="F2" s="767"/>
      <c r="G2" s="741" t="s">
        <v>1</v>
      </c>
      <c r="H2" s="128"/>
    </row>
    <row r="3" spans="2:8" s="129" customFormat="1" x14ac:dyDescent="0.3">
      <c r="B3" s="406"/>
      <c r="C3" s="768" t="s">
        <v>2</v>
      </c>
      <c r="D3" s="769"/>
      <c r="E3" s="769"/>
      <c r="F3" s="770"/>
      <c r="G3" s="765" t="s">
        <v>3</v>
      </c>
      <c r="H3" s="128"/>
    </row>
    <row r="4" spans="2:8" s="129" customFormat="1" x14ac:dyDescent="0.3">
      <c r="B4" s="406"/>
      <c r="C4" s="406" t="s">
        <v>4</v>
      </c>
      <c r="D4" s="406"/>
      <c r="E4" s="406"/>
      <c r="F4" s="742"/>
      <c r="G4" s="765"/>
      <c r="H4" s="128"/>
    </row>
    <row r="6" spans="2:8" ht="28.9" x14ac:dyDescent="0.3">
      <c r="B6" s="516" t="s">
        <v>5</v>
      </c>
      <c r="C6" s="517" t="s">
        <v>6</v>
      </c>
      <c r="D6" s="516" t="s">
        <v>7</v>
      </c>
      <c r="E6" s="518" t="s">
        <v>8</v>
      </c>
      <c r="F6" s="743" t="s">
        <v>9</v>
      </c>
      <c r="G6" s="744" t="s">
        <v>10</v>
      </c>
    </row>
    <row r="7" spans="2:8" ht="16.149999999999999" hidden="1" x14ac:dyDescent="0.3">
      <c r="E7" s="130"/>
      <c r="F7" s="745"/>
      <c r="G7" s="746"/>
    </row>
    <row r="8" spans="2:8" ht="16.149999999999999" x14ac:dyDescent="0.3">
      <c r="B8" s="402">
        <v>1</v>
      </c>
      <c r="C8" s="403" t="s">
        <v>11</v>
      </c>
      <c r="D8" s="369"/>
      <c r="E8" s="370"/>
      <c r="F8" s="747"/>
      <c r="G8" s="748"/>
    </row>
    <row r="9" spans="2:8" ht="54" x14ac:dyDescent="0.3">
      <c r="B9" s="376">
        <v>1.1000000000000001</v>
      </c>
      <c r="C9" s="131" t="s">
        <v>12</v>
      </c>
      <c r="D9" s="132" t="s">
        <v>13</v>
      </c>
      <c r="E9" s="762">
        <f>'1.1'!J36</f>
        <v>3</v>
      </c>
      <c r="F9" s="749">
        <f>'APU''S'!G12</f>
        <v>583075</v>
      </c>
      <c r="G9" s="750">
        <f>E9*F9</f>
        <v>1749225</v>
      </c>
    </row>
    <row r="10" spans="2:8" ht="36" x14ac:dyDescent="0.3">
      <c r="B10" s="376">
        <v>1.2</v>
      </c>
      <c r="C10" s="131" t="s">
        <v>14</v>
      </c>
      <c r="D10" s="132" t="s">
        <v>15</v>
      </c>
      <c r="E10" s="762">
        <f>'1.2'!J36</f>
        <v>67.069999999999993</v>
      </c>
      <c r="F10" s="749">
        <f>'APU''S'!G29</f>
        <v>114541</v>
      </c>
      <c r="G10" s="750">
        <f t="shared" ref="G10:G11" si="0">E10*F10</f>
        <v>7682264.8699999992</v>
      </c>
    </row>
    <row r="11" spans="2:8" ht="90" x14ac:dyDescent="0.3">
      <c r="B11" s="376">
        <v>1.3</v>
      </c>
      <c r="C11" s="131" t="s">
        <v>16</v>
      </c>
      <c r="D11" s="132" t="s">
        <v>17</v>
      </c>
      <c r="E11" s="762">
        <f>'1.3'!J38</f>
        <v>168.07</v>
      </c>
      <c r="F11" s="749">
        <f>'APU''S'!G46</f>
        <v>37142</v>
      </c>
      <c r="G11" s="750">
        <f t="shared" si="0"/>
        <v>6242455.9399999995</v>
      </c>
    </row>
    <row r="12" spans="2:8" ht="16.149999999999999" x14ac:dyDescent="0.3">
      <c r="B12" s="402">
        <v>2</v>
      </c>
      <c r="C12" s="403" t="s">
        <v>18</v>
      </c>
      <c r="D12" s="369"/>
      <c r="E12" s="763"/>
      <c r="F12" s="748"/>
      <c r="G12" s="748"/>
    </row>
    <row r="13" spans="2:8" ht="54" x14ac:dyDescent="0.3">
      <c r="B13" s="376">
        <v>2.1</v>
      </c>
      <c r="C13" s="131" t="s">
        <v>19</v>
      </c>
      <c r="D13" s="132" t="s">
        <v>15</v>
      </c>
      <c r="E13" s="762">
        <f>'2.1'!J36</f>
        <v>124.67</v>
      </c>
      <c r="F13" s="749">
        <f>'APU''S'!G65</f>
        <v>73235</v>
      </c>
      <c r="G13" s="750">
        <f>E13*F13</f>
        <v>9130207.4499999993</v>
      </c>
    </row>
    <row r="14" spans="2:8" ht="90" x14ac:dyDescent="0.3">
      <c r="B14" s="376">
        <v>2.2000000000000002</v>
      </c>
      <c r="C14" s="131" t="s">
        <v>20</v>
      </c>
      <c r="D14" s="132" t="s">
        <v>15</v>
      </c>
      <c r="E14" s="762">
        <f>'2.2'!J36</f>
        <v>122.05</v>
      </c>
      <c r="F14" s="751">
        <f>'APU''S'!G82</f>
        <v>134804</v>
      </c>
      <c r="G14" s="750">
        <f>E14*F14</f>
        <v>16452828.199999999</v>
      </c>
    </row>
    <row r="15" spans="2:8" ht="16.149999999999999" x14ac:dyDescent="0.3">
      <c r="B15" s="402">
        <v>3</v>
      </c>
      <c r="C15" s="403" t="s">
        <v>21</v>
      </c>
      <c r="D15" s="369"/>
      <c r="E15" s="763"/>
      <c r="F15" s="748"/>
      <c r="G15" s="748"/>
    </row>
    <row r="16" spans="2:8" ht="16.149999999999999" x14ac:dyDescent="0.3">
      <c r="B16" s="378">
        <v>3.1</v>
      </c>
      <c r="C16" s="134" t="s">
        <v>22</v>
      </c>
      <c r="D16" s="404"/>
      <c r="E16" s="764" t="s">
        <v>23</v>
      </c>
      <c r="F16" s="752"/>
      <c r="G16" s="752"/>
    </row>
    <row r="17" spans="2:7" ht="72" x14ac:dyDescent="0.3">
      <c r="B17" s="376" t="s">
        <v>24</v>
      </c>
      <c r="C17" s="131" t="s">
        <v>25</v>
      </c>
      <c r="D17" s="132" t="s">
        <v>26</v>
      </c>
      <c r="E17" s="762">
        <f>'3.1.1'!J36</f>
        <v>82.98</v>
      </c>
      <c r="F17" s="749">
        <f>'APU''S'!G98</f>
        <v>57121</v>
      </c>
      <c r="G17" s="750">
        <f>E17*F17</f>
        <v>4739900.58</v>
      </c>
    </row>
    <row r="18" spans="2:7" ht="126" x14ac:dyDescent="0.3">
      <c r="B18" s="376" t="s">
        <v>27</v>
      </c>
      <c r="C18" s="131" t="s">
        <v>28</v>
      </c>
      <c r="D18" s="132" t="s">
        <v>26</v>
      </c>
      <c r="E18" s="762">
        <f>'3.1.2'!J36</f>
        <v>405.36</v>
      </c>
      <c r="F18" s="749">
        <f>'APU''S'!G118</f>
        <v>242084</v>
      </c>
      <c r="G18" s="750">
        <f>E18*F18</f>
        <v>98131170.24000001</v>
      </c>
    </row>
    <row r="19" spans="2:7" ht="54" x14ac:dyDescent="0.3">
      <c r="B19" s="376" t="s">
        <v>29</v>
      </c>
      <c r="C19" s="131" t="s">
        <v>30</v>
      </c>
      <c r="D19" s="133" t="s">
        <v>17</v>
      </c>
      <c r="E19" s="762">
        <f>'3.1.3'!J36</f>
        <v>183.25</v>
      </c>
      <c r="F19" s="749">
        <f>'APU''S'!G136</f>
        <v>108824</v>
      </c>
      <c r="G19" s="750">
        <f>E19*F19</f>
        <v>19941998</v>
      </c>
    </row>
    <row r="20" spans="2:7" ht="72" x14ac:dyDescent="0.3">
      <c r="B20" s="376" t="s">
        <v>31</v>
      </c>
      <c r="C20" s="131" t="s">
        <v>32</v>
      </c>
      <c r="D20" s="133" t="s">
        <v>15</v>
      </c>
      <c r="E20" s="762">
        <f>'3.1.4'!J36</f>
        <v>14.22</v>
      </c>
      <c r="F20" s="749">
        <f>'APU''S'!G154</f>
        <v>596612</v>
      </c>
      <c r="G20" s="750">
        <f>E20*F20</f>
        <v>8483822.6400000006</v>
      </c>
    </row>
    <row r="21" spans="2:7" ht="16.149999999999999" x14ac:dyDescent="0.3">
      <c r="B21" s="378">
        <v>3.2</v>
      </c>
      <c r="C21" s="134" t="s">
        <v>33</v>
      </c>
      <c r="D21" s="404"/>
      <c r="E21" s="764" t="s">
        <v>23</v>
      </c>
      <c r="F21" s="752"/>
      <c r="G21" s="752"/>
    </row>
    <row r="22" spans="2:7" ht="54" x14ac:dyDescent="0.3">
      <c r="B22" s="376" t="s">
        <v>34</v>
      </c>
      <c r="C22" s="131" t="s">
        <v>35</v>
      </c>
      <c r="D22" s="132" t="s">
        <v>17</v>
      </c>
      <c r="E22" s="762">
        <f>'3.2.1'!J8</f>
        <v>75.600000000000009</v>
      </c>
      <c r="F22" s="749">
        <f>'APU''S'!G173</f>
        <v>204169</v>
      </c>
      <c r="G22" s="750">
        <f>E22*F22</f>
        <v>15435176.400000002</v>
      </c>
    </row>
    <row r="23" spans="2:7" ht="54" x14ac:dyDescent="0.3">
      <c r="B23" s="376" t="s">
        <v>36</v>
      </c>
      <c r="C23" s="131" t="s">
        <v>37</v>
      </c>
      <c r="D23" s="132" t="s">
        <v>17</v>
      </c>
      <c r="E23" s="762">
        <f>'3.2.2'!J36</f>
        <v>183.25</v>
      </c>
      <c r="F23" s="749">
        <f>'APU''S'!G196</f>
        <v>227690</v>
      </c>
      <c r="G23" s="750">
        <f>E23*F23</f>
        <v>41724192.5</v>
      </c>
    </row>
    <row r="24" spans="2:7" ht="36" x14ac:dyDescent="0.3">
      <c r="B24" s="376" t="s">
        <v>38</v>
      </c>
      <c r="C24" s="131" t="s">
        <v>39</v>
      </c>
      <c r="D24" s="48" t="s">
        <v>17</v>
      </c>
      <c r="E24" s="762">
        <f>'3.2.3'!J47</f>
        <v>361.8</v>
      </c>
      <c r="F24" s="749">
        <f>'APU''S'!G214</f>
        <v>32266</v>
      </c>
      <c r="G24" s="750">
        <f>E24*F24</f>
        <v>11673838.800000001</v>
      </c>
    </row>
    <row r="25" spans="2:7" ht="16.149999999999999" x14ac:dyDescent="0.3">
      <c r="B25" s="378">
        <v>3.3</v>
      </c>
      <c r="C25" s="134" t="s">
        <v>40</v>
      </c>
      <c r="D25" s="404"/>
      <c r="E25" s="764" t="s">
        <v>23</v>
      </c>
      <c r="F25" s="752"/>
      <c r="G25" s="752"/>
    </row>
    <row r="26" spans="2:7" ht="126" x14ac:dyDescent="0.3">
      <c r="B26" s="376" t="s">
        <v>41</v>
      </c>
      <c r="C26" s="131" t="s">
        <v>42</v>
      </c>
      <c r="D26" s="132" t="s">
        <v>43</v>
      </c>
      <c r="E26" s="762">
        <f>'3.3.1'!J47</f>
        <v>6000.92</v>
      </c>
      <c r="F26" s="749">
        <f>'APU''S'!G235</f>
        <v>26995</v>
      </c>
      <c r="G26" s="750">
        <f>E26*F26</f>
        <v>161994835.40000001</v>
      </c>
    </row>
    <row r="27" spans="2:7" ht="72" x14ac:dyDescent="0.3">
      <c r="B27" s="376" t="s">
        <v>44</v>
      </c>
      <c r="C27" s="131" t="s">
        <v>45</v>
      </c>
      <c r="D27" s="132" t="s">
        <v>26</v>
      </c>
      <c r="E27" s="762">
        <f>'3.3.2'!J47</f>
        <v>444.48</v>
      </c>
      <c r="F27" s="749">
        <f>'APU''S'!G252</f>
        <v>111640</v>
      </c>
      <c r="G27" s="750">
        <f>E27*F27</f>
        <v>49621747.200000003</v>
      </c>
    </row>
    <row r="28" spans="2:7" ht="16.149999999999999" x14ac:dyDescent="0.3">
      <c r="B28" s="378">
        <v>3.4</v>
      </c>
      <c r="C28" s="134" t="s">
        <v>46</v>
      </c>
      <c r="D28" s="404"/>
      <c r="E28" s="764" t="s">
        <v>23</v>
      </c>
      <c r="F28" s="752"/>
      <c r="G28" s="752"/>
    </row>
    <row r="29" spans="2:7" ht="36" x14ac:dyDescent="0.3">
      <c r="B29" s="376" t="s">
        <v>47</v>
      </c>
      <c r="C29" s="131" t="s">
        <v>48</v>
      </c>
      <c r="D29" s="132" t="s">
        <v>43</v>
      </c>
      <c r="E29" s="762">
        <f>'3.4.1'!J47</f>
        <v>8091.81</v>
      </c>
      <c r="F29" s="749">
        <f>'APU''S'!G269</f>
        <v>12038</v>
      </c>
      <c r="G29" s="750">
        <f>E29*F29</f>
        <v>97409208.780000001</v>
      </c>
    </row>
    <row r="30" spans="2:7" ht="16.149999999999999" x14ac:dyDescent="0.3">
      <c r="B30" s="402">
        <v>4</v>
      </c>
      <c r="C30" s="403" t="s">
        <v>49</v>
      </c>
      <c r="D30" s="369"/>
      <c r="E30" s="763" t="s">
        <v>23</v>
      </c>
      <c r="F30" s="748"/>
      <c r="G30" s="748"/>
    </row>
    <row r="31" spans="2:7" ht="72" x14ac:dyDescent="0.3">
      <c r="B31" s="376">
        <v>4.0999999999999996</v>
      </c>
      <c r="C31" s="131" t="s">
        <v>50</v>
      </c>
      <c r="D31" s="405" t="s">
        <v>26</v>
      </c>
      <c r="E31" s="762">
        <f>'4.1'!J53</f>
        <v>485.46</v>
      </c>
      <c r="F31" s="749">
        <f>'APU''S'!G285</f>
        <v>187443</v>
      </c>
      <c r="G31" s="750">
        <f t="shared" ref="G31:G36" si="1">E31*F31</f>
        <v>90996078.780000001</v>
      </c>
    </row>
    <row r="32" spans="2:7" ht="72" x14ac:dyDescent="0.3">
      <c r="B32" s="376">
        <v>4.2</v>
      </c>
      <c r="C32" s="131" t="s">
        <v>51</v>
      </c>
      <c r="D32" s="48" t="s">
        <v>26</v>
      </c>
      <c r="E32" s="762">
        <f>'4.2'!J53</f>
        <v>287.68</v>
      </c>
      <c r="F32" s="749">
        <f>'APU''S'!G301</f>
        <v>59120</v>
      </c>
      <c r="G32" s="750">
        <f t="shared" si="1"/>
        <v>17007641.600000001</v>
      </c>
    </row>
    <row r="33" spans="2:7" ht="72" x14ac:dyDescent="0.3">
      <c r="B33" s="376">
        <v>4.3</v>
      </c>
      <c r="C33" s="131" t="s">
        <v>52</v>
      </c>
      <c r="D33" s="48" t="s">
        <v>26</v>
      </c>
      <c r="E33" s="762">
        <f>'4.3'!J53</f>
        <v>706.54</v>
      </c>
      <c r="F33" s="751">
        <f>'APU''S'!G334</f>
        <v>31990</v>
      </c>
      <c r="G33" s="750">
        <f t="shared" si="1"/>
        <v>22602214.599999998</v>
      </c>
    </row>
    <row r="34" spans="2:7" ht="108" x14ac:dyDescent="0.3">
      <c r="B34" s="376">
        <v>4.4000000000000004</v>
      </c>
      <c r="C34" s="131" t="s">
        <v>53</v>
      </c>
      <c r="D34" s="48" t="s">
        <v>26</v>
      </c>
      <c r="E34" s="762">
        <f>'4.4'!J53</f>
        <v>264.38</v>
      </c>
      <c r="F34" s="749">
        <f>'APU''S'!G316</f>
        <v>24661</v>
      </c>
      <c r="G34" s="750">
        <f t="shared" si="1"/>
        <v>6519875.1799999997</v>
      </c>
    </row>
    <row r="35" spans="2:7" ht="54" x14ac:dyDescent="0.3">
      <c r="B35" s="376">
        <v>4.5</v>
      </c>
      <c r="C35" s="131" t="s">
        <v>54</v>
      </c>
      <c r="D35" s="48" t="s">
        <v>26</v>
      </c>
      <c r="E35" s="762">
        <f>+'4.5'!J53</f>
        <v>706.54</v>
      </c>
      <c r="F35" s="749">
        <f>+'APU''S'!G351</f>
        <v>29511</v>
      </c>
      <c r="G35" s="750">
        <f t="shared" si="1"/>
        <v>20850701.939999998</v>
      </c>
    </row>
    <row r="36" spans="2:7" ht="54" x14ac:dyDescent="0.3">
      <c r="B36" s="376">
        <v>4.5999999999999996</v>
      </c>
      <c r="C36" s="131" t="s">
        <v>55</v>
      </c>
      <c r="D36" s="48" t="s">
        <v>26</v>
      </c>
      <c r="E36" s="762">
        <f>'4.6'!J53</f>
        <v>706.54</v>
      </c>
      <c r="F36" s="749">
        <f>'APU''S'!G369</f>
        <v>31431</v>
      </c>
      <c r="G36" s="750">
        <f t="shared" si="1"/>
        <v>22207258.739999998</v>
      </c>
    </row>
    <row r="37" spans="2:7" ht="16.149999999999999" x14ac:dyDescent="0.3">
      <c r="B37" s="402">
        <v>5</v>
      </c>
      <c r="C37" s="403" t="s">
        <v>56</v>
      </c>
      <c r="D37" s="369"/>
      <c r="E37" s="763" t="s">
        <v>23</v>
      </c>
      <c r="F37" s="748"/>
      <c r="G37" s="748"/>
    </row>
    <row r="38" spans="2:7" ht="36" x14ac:dyDescent="0.3">
      <c r="B38" s="376">
        <v>5.0999999999999996</v>
      </c>
      <c r="C38" s="131" t="s">
        <v>57</v>
      </c>
      <c r="D38" s="48" t="s">
        <v>26</v>
      </c>
      <c r="E38" s="762">
        <f>'5.1'!J47</f>
        <v>340.86</v>
      </c>
      <c r="F38" s="749">
        <f>'APU''S'!G388</f>
        <v>129661</v>
      </c>
      <c r="G38" s="750">
        <f>F38*E38</f>
        <v>44196248.460000001</v>
      </c>
    </row>
    <row r="39" spans="2:7" ht="36" x14ac:dyDescent="0.3">
      <c r="B39" s="376">
        <v>5.2</v>
      </c>
      <c r="C39" s="131" t="s">
        <v>58</v>
      </c>
      <c r="D39" s="48" t="s">
        <v>26</v>
      </c>
      <c r="E39" s="762">
        <f>'5.2'!J47</f>
        <v>216.44</v>
      </c>
      <c r="F39" s="749">
        <f>'APU''S'!G407</f>
        <v>97951</v>
      </c>
      <c r="G39" s="750">
        <f t="shared" ref="G39:G41" si="2">F39*E39</f>
        <v>21200514.440000001</v>
      </c>
    </row>
    <row r="40" spans="2:7" ht="32.450000000000003" x14ac:dyDescent="0.3">
      <c r="B40" s="376">
        <v>5.3</v>
      </c>
      <c r="C40" s="131" t="s">
        <v>59</v>
      </c>
      <c r="D40" s="48" t="s">
        <v>26</v>
      </c>
      <c r="E40" s="762">
        <f>'5.3'!J47</f>
        <v>265.38</v>
      </c>
      <c r="F40" s="749">
        <f>'APU''S'!G427</f>
        <v>103072.31486633158</v>
      </c>
      <c r="G40" s="750">
        <f t="shared" si="2"/>
        <v>27353330.919227075</v>
      </c>
    </row>
    <row r="41" spans="2:7" ht="54" x14ac:dyDescent="0.3">
      <c r="B41" s="376">
        <v>5.4</v>
      </c>
      <c r="C41" s="455" t="s">
        <v>60</v>
      </c>
      <c r="D41" s="48" t="s">
        <v>17</v>
      </c>
      <c r="E41" s="762">
        <f>'5.4'!J47</f>
        <v>152.72</v>
      </c>
      <c r="F41" s="749">
        <f>+'APU''S'!G446</f>
        <v>36912.314866331581</v>
      </c>
      <c r="G41" s="750">
        <f t="shared" si="2"/>
        <v>5637248.7263861587</v>
      </c>
    </row>
    <row r="42" spans="2:7" ht="16.149999999999999" x14ac:dyDescent="0.3">
      <c r="B42" s="402">
        <v>6</v>
      </c>
      <c r="C42" s="403" t="s">
        <v>61</v>
      </c>
      <c r="D42" s="369"/>
      <c r="E42" s="763" t="s">
        <v>23</v>
      </c>
      <c r="F42" s="748"/>
      <c r="G42" s="748"/>
    </row>
    <row r="43" spans="2:7" ht="72" x14ac:dyDescent="0.3">
      <c r="B43" s="376">
        <v>6.1</v>
      </c>
      <c r="C43" s="107" t="s">
        <v>62</v>
      </c>
      <c r="D43" s="48" t="s">
        <v>63</v>
      </c>
      <c r="E43" s="762">
        <f>'6.1'!J46</f>
        <v>23</v>
      </c>
      <c r="F43" s="749">
        <f>'APU''S'!G468</f>
        <v>96826.663682495622</v>
      </c>
      <c r="G43" s="750">
        <f>E43*F43</f>
        <v>2227013.2646973995</v>
      </c>
    </row>
    <row r="44" spans="2:7" ht="54" x14ac:dyDescent="0.3">
      <c r="B44" s="376">
        <v>6.2</v>
      </c>
      <c r="C44" s="107" t="s">
        <v>64</v>
      </c>
      <c r="D44" s="48" t="s">
        <v>63</v>
      </c>
      <c r="E44" s="762">
        <f>'6.2'!J47</f>
        <v>16</v>
      </c>
      <c r="F44" s="749">
        <f>'APU''S'!G489</f>
        <v>122826.66368249562</v>
      </c>
      <c r="G44" s="750">
        <f>E44*F44</f>
        <v>1965226.61891993</v>
      </c>
    </row>
    <row r="45" spans="2:7" ht="72" x14ac:dyDescent="0.3">
      <c r="B45" s="376">
        <v>6.3</v>
      </c>
      <c r="C45" s="107" t="s">
        <v>65</v>
      </c>
      <c r="D45" s="48" t="s">
        <v>63</v>
      </c>
      <c r="E45" s="762">
        <f>'6.3'!J47</f>
        <v>21</v>
      </c>
      <c r="F45" s="749">
        <f>'APU''S'!G510</f>
        <v>100826.66368249562</v>
      </c>
      <c r="G45" s="750">
        <f t="shared" ref="G45:G59" si="3">E45*F45</f>
        <v>2117359.937332408</v>
      </c>
    </row>
    <row r="46" spans="2:7" ht="72" x14ac:dyDescent="0.3">
      <c r="B46" s="376">
        <v>6.4</v>
      </c>
      <c r="C46" s="107" t="s">
        <v>66</v>
      </c>
      <c r="D46" s="48" t="s">
        <v>63</v>
      </c>
      <c r="E46" s="762">
        <f>'6.4'!J47</f>
        <v>9</v>
      </c>
      <c r="F46" s="749">
        <f>'APU''S'!G531</f>
        <v>115051.66368249562</v>
      </c>
      <c r="G46" s="750">
        <f t="shared" si="3"/>
        <v>1035464.9731424606</v>
      </c>
    </row>
    <row r="47" spans="2:7" ht="72" x14ac:dyDescent="0.3">
      <c r="B47" s="376">
        <v>6.5</v>
      </c>
      <c r="C47" s="107" t="s">
        <v>67</v>
      </c>
      <c r="D47" s="48" t="s">
        <v>63</v>
      </c>
      <c r="E47" s="762">
        <f>'6.5'!J41</f>
        <v>41</v>
      </c>
      <c r="F47" s="749">
        <f>'APU''S'!G550</f>
        <v>168778.78716582895</v>
      </c>
      <c r="G47" s="750">
        <f t="shared" si="3"/>
        <v>6919930.2737989873</v>
      </c>
    </row>
    <row r="48" spans="2:7" ht="90" x14ac:dyDescent="0.3">
      <c r="B48" s="468">
        <v>6.6</v>
      </c>
      <c r="C48" s="107" t="s">
        <v>68</v>
      </c>
      <c r="D48" s="48" t="s">
        <v>63</v>
      </c>
      <c r="E48" s="762">
        <f>'6.6'!J47</f>
        <v>23</v>
      </c>
      <c r="F48" s="749">
        <f>'APU''S'!G569</f>
        <v>91268.663682495622</v>
      </c>
      <c r="G48" s="750">
        <f t="shared" si="3"/>
        <v>2099179.2646973995</v>
      </c>
    </row>
    <row r="49" spans="2:7" ht="90" x14ac:dyDescent="0.3">
      <c r="B49" s="468">
        <v>6.7</v>
      </c>
      <c r="C49" s="107" t="s">
        <v>69</v>
      </c>
      <c r="D49" s="50" t="s">
        <v>63</v>
      </c>
      <c r="E49" s="762">
        <f>'6.7'!J47</f>
        <v>29</v>
      </c>
      <c r="F49" s="749">
        <f>'APU''S'!G588</f>
        <v>96268.663682495622</v>
      </c>
      <c r="G49" s="750">
        <f t="shared" si="3"/>
        <v>2791791.2467923732</v>
      </c>
    </row>
    <row r="50" spans="2:7" ht="54" x14ac:dyDescent="0.3">
      <c r="B50" s="468">
        <v>6.8</v>
      </c>
      <c r="C50" s="70" t="s">
        <v>70</v>
      </c>
      <c r="D50" s="50" t="s">
        <v>17</v>
      </c>
      <c r="E50" s="762">
        <f>'6.8'!J47</f>
        <v>187.53</v>
      </c>
      <c r="F50" s="749">
        <f>'APU''S'!G607</f>
        <v>52467.249552374342</v>
      </c>
      <c r="G50" s="750">
        <f t="shared" si="3"/>
        <v>9839183.3085567597</v>
      </c>
    </row>
    <row r="51" spans="2:7" ht="72" x14ac:dyDescent="0.3">
      <c r="B51" s="469">
        <v>6.9</v>
      </c>
      <c r="C51" s="466" t="s">
        <v>71</v>
      </c>
      <c r="D51" s="467" t="s">
        <v>63</v>
      </c>
      <c r="E51" s="762">
        <f>+'6.9'!J47</f>
        <v>1</v>
      </c>
      <c r="F51" s="749">
        <f>'APU''S'!G628</f>
        <v>1216174.1181118255</v>
      </c>
      <c r="G51" s="750">
        <f t="shared" si="3"/>
        <v>1216174.1181118255</v>
      </c>
    </row>
    <row r="52" spans="2:7" ht="144" x14ac:dyDescent="0.3">
      <c r="B52" s="407">
        <v>6.1</v>
      </c>
      <c r="C52" s="70" t="s">
        <v>72</v>
      </c>
      <c r="D52" s="467" t="s">
        <v>63</v>
      </c>
      <c r="E52" s="762">
        <f>+'6.10'!J41</f>
        <v>8</v>
      </c>
      <c r="F52" s="749">
        <f>+'APU''S'!G649</f>
        <v>38658.831841247811</v>
      </c>
      <c r="G52" s="750">
        <f t="shared" si="3"/>
        <v>309270.65472998249</v>
      </c>
    </row>
    <row r="53" spans="2:7" ht="144" x14ac:dyDescent="0.3">
      <c r="B53" s="376">
        <v>6.11</v>
      </c>
      <c r="C53" s="70" t="s">
        <v>73</v>
      </c>
      <c r="D53" s="467" t="s">
        <v>63</v>
      </c>
      <c r="E53" s="762">
        <f>+'6.11'!J41</f>
        <v>2</v>
      </c>
      <c r="F53" s="749">
        <f>+'APU''S'!G669</f>
        <v>49664.831841247811</v>
      </c>
      <c r="G53" s="750">
        <f t="shared" si="3"/>
        <v>99329.663682495622</v>
      </c>
    </row>
    <row r="54" spans="2:7" ht="144" x14ac:dyDescent="0.3">
      <c r="B54" s="407">
        <v>6.12</v>
      </c>
      <c r="C54" s="70" t="s">
        <v>74</v>
      </c>
      <c r="D54" s="467" t="s">
        <v>63</v>
      </c>
      <c r="E54" s="762">
        <f>+'6.12'!J41</f>
        <v>8</v>
      </c>
      <c r="F54" s="749">
        <f>+'APU''S'!G689</f>
        <v>53498.831841247811</v>
      </c>
      <c r="G54" s="750">
        <f t="shared" si="3"/>
        <v>427990.65472998249</v>
      </c>
    </row>
    <row r="55" spans="2:7" ht="54" x14ac:dyDescent="0.3">
      <c r="B55" s="407">
        <v>6.13</v>
      </c>
      <c r="C55" s="70" t="s">
        <v>75</v>
      </c>
      <c r="D55" s="50" t="s">
        <v>17</v>
      </c>
      <c r="E55" s="762">
        <f>+'6.13'!J41</f>
        <v>25</v>
      </c>
      <c r="F55" s="749">
        <f>+'APU''S'!G706</f>
        <v>65545.118111825461</v>
      </c>
      <c r="G55" s="750">
        <f t="shared" si="3"/>
        <v>1638627.9527956366</v>
      </c>
    </row>
    <row r="56" spans="2:7" ht="54" x14ac:dyDescent="0.3">
      <c r="B56" s="407">
        <v>6.14</v>
      </c>
      <c r="C56" s="70" t="s">
        <v>76</v>
      </c>
      <c r="D56" s="50" t="s">
        <v>77</v>
      </c>
      <c r="E56" s="762">
        <f>+'6.14'!J41</f>
        <v>1</v>
      </c>
      <c r="F56" s="749">
        <f>'APU''S'!G727</f>
        <v>3687678.9448946035</v>
      </c>
      <c r="G56" s="750">
        <f t="shared" si="3"/>
        <v>3687678.9448946035</v>
      </c>
    </row>
    <row r="57" spans="2:7" ht="72" x14ac:dyDescent="0.3">
      <c r="B57" s="407">
        <v>6.15</v>
      </c>
      <c r="C57" s="107" t="s">
        <v>78</v>
      </c>
      <c r="D57" s="50" t="s">
        <v>63</v>
      </c>
      <c r="E57" s="762">
        <f>+'6.15'!J43</f>
        <v>32</v>
      </c>
      <c r="F57" s="749">
        <f>+'APU''S'!G747</f>
        <v>196368.66368249562</v>
      </c>
      <c r="G57" s="750">
        <f t="shared" si="3"/>
        <v>6283797.2378398599</v>
      </c>
    </row>
    <row r="58" spans="2:7" x14ac:dyDescent="0.3">
      <c r="B58" s="407">
        <v>6.16</v>
      </c>
      <c r="C58" s="466" t="s">
        <v>79</v>
      </c>
      <c r="D58" s="50" t="s">
        <v>63</v>
      </c>
      <c r="E58" s="762">
        <v>1</v>
      </c>
      <c r="F58" s="749">
        <f>+'APU''S'!G768</f>
        <v>1788026.2973266316</v>
      </c>
      <c r="G58" s="750">
        <f t="shared" si="3"/>
        <v>1788026.2973266316</v>
      </c>
    </row>
    <row r="59" spans="2:7" x14ac:dyDescent="0.3">
      <c r="B59" s="407">
        <v>6.17</v>
      </c>
      <c r="C59" s="466" t="s">
        <v>80</v>
      </c>
      <c r="D59" s="50" t="s">
        <v>63</v>
      </c>
      <c r="E59" s="762">
        <f>+'6.17'!J43</f>
        <v>23</v>
      </c>
      <c r="F59" s="749">
        <f>+'APU''S'!G789</f>
        <v>153899.78716582895</v>
      </c>
      <c r="G59" s="750">
        <f t="shared" si="3"/>
        <v>3539695.1048140661</v>
      </c>
    </row>
    <row r="60" spans="2:7" ht="16.149999999999999" x14ac:dyDescent="0.3">
      <c r="B60" s="402">
        <v>7</v>
      </c>
      <c r="C60" s="403" t="s">
        <v>81</v>
      </c>
      <c r="D60" s="369"/>
      <c r="E60" s="763" t="s">
        <v>23</v>
      </c>
      <c r="F60" s="748"/>
      <c r="G60" s="748"/>
    </row>
    <row r="61" spans="2:7" ht="54" x14ac:dyDescent="0.3">
      <c r="B61" s="376">
        <v>7.1</v>
      </c>
      <c r="C61" s="70" t="s">
        <v>82</v>
      </c>
      <c r="D61" s="49" t="s">
        <v>63</v>
      </c>
      <c r="E61" s="762">
        <f>'7.1'!J47</f>
        <v>36</v>
      </c>
      <c r="F61" s="749">
        <f>'APU''S'!G813</f>
        <v>57880.393582914476</v>
      </c>
      <c r="G61" s="750">
        <f>E61*F61</f>
        <v>2083694.1689849212</v>
      </c>
    </row>
    <row r="62" spans="2:7" ht="90" x14ac:dyDescent="0.3">
      <c r="B62" s="376">
        <v>7.2</v>
      </c>
      <c r="C62" s="70" t="s">
        <v>83</v>
      </c>
      <c r="D62" s="49" t="s">
        <v>63</v>
      </c>
      <c r="E62" s="762">
        <f>'7.2'!J47</f>
        <v>36</v>
      </c>
      <c r="F62" s="749">
        <f>'APU''S'!G836</f>
        <v>146505.39358291449</v>
      </c>
      <c r="G62" s="750">
        <f>E62*F62</f>
        <v>5274194.1689849216</v>
      </c>
    </row>
    <row r="63" spans="2:7" ht="72" x14ac:dyDescent="0.3">
      <c r="B63" s="376">
        <v>7.3</v>
      </c>
      <c r="C63" s="108" t="s">
        <v>84</v>
      </c>
      <c r="D63" s="49" t="s">
        <v>85</v>
      </c>
      <c r="E63" s="762">
        <f>'7.3'!J47</f>
        <v>10</v>
      </c>
      <c r="F63" s="749">
        <f>'APU''S'!G859</f>
        <v>136281.47229949737</v>
      </c>
      <c r="G63" s="750">
        <f>E63*F63</f>
        <v>1362814.7229949737</v>
      </c>
    </row>
    <row r="64" spans="2:7" ht="54" x14ac:dyDescent="0.3">
      <c r="B64" s="376">
        <v>7.4</v>
      </c>
      <c r="C64" s="70" t="s">
        <v>86</v>
      </c>
      <c r="D64" s="49" t="s">
        <v>17</v>
      </c>
      <c r="E64" s="762">
        <f>+'7.4'!J47</f>
        <v>121.84</v>
      </c>
      <c r="F64" s="749">
        <f>+'APU''S'!G883</f>
        <v>54390.288061080275</v>
      </c>
      <c r="G64" s="750">
        <f>E64*F64</f>
        <v>6626912.6973620206</v>
      </c>
    </row>
    <row r="65" spans="2:7" ht="54" x14ac:dyDescent="0.3">
      <c r="B65" s="376">
        <v>7.5</v>
      </c>
      <c r="C65" s="70" t="s">
        <v>87</v>
      </c>
      <c r="D65" s="49" t="s">
        <v>17</v>
      </c>
      <c r="E65" s="762">
        <f>'7.5'!J47</f>
        <v>43.26</v>
      </c>
      <c r="F65" s="749">
        <f>+'APU''S'!G907</f>
        <v>95340.288061080268</v>
      </c>
      <c r="G65" s="750">
        <f>E65*F65</f>
        <v>4124420.8615223323</v>
      </c>
    </row>
    <row r="66" spans="2:7" ht="54" x14ac:dyDescent="0.3">
      <c r="B66" s="376">
        <v>7.6</v>
      </c>
      <c r="C66" s="70" t="s">
        <v>88</v>
      </c>
      <c r="D66" s="49" t="s">
        <v>17</v>
      </c>
      <c r="E66" s="762">
        <f>+'7.6'!J47</f>
        <v>95.83</v>
      </c>
      <c r="F66" s="749">
        <f>+'APU''S'!G931</f>
        <v>54390.288061080275</v>
      </c>
      <c r="G66" s="750">
        <f t="shared" ref="G66:G69" si="4">E66*F66</f>
        <v>5212221.3048933223</v>
      </c>
    </row>
    <row r="67" spans="2:7" ht="72" x14ac:dyDescent="0.3">
      <c r="B67" s="376">
        <v>7.7</v>
      </c>
      <c r="C67" s="70" t="s">
        <v>89</v>
      </c>
      <c r="D67" s="49" t="s">
        <v>63</v>
      </c>
      <c r="E67" s="762">
        <f>+'7.7'!J47</f>
        <v>3</v>
      </c>
      <c r="F67" s="749">
        <f>'APU''S'!G954</f>
        <v>1201476.2361497488</v>
      </c>
      <c r="G67" s="750">
        <f t="shared" si="4"/>
        <v>3604428.7084492464</v>
      </c>
    </row>
    <row r="68" spans="2:7" ht="72" x14ac:dyDescent="0.3">
      <c r="B68" s="498">
        <v>7.8</v>
      </c>
      <c r="C68" s="114" t="s">
        <v>90</v>
      </c>
      <c r="D68" s="115" t="s">
        <v>91</v>
      </c>
      <c r="E68" s="762">
        <f>+'7.8'!$J$47</f>
        <v>102.64</v>
      </c>
      <c r="F68" s="749">
        <f>'APU''S'!G977</f>
        <v>109112.78716582895</v>
      </c>
      <c r="G68" s="750">
        <f t="shared" si="4"/>
        <v>11199336.474700684</v>
      </c>
    </row>
    <row r="69" spans="2:7" ht="32.450000000000003" x14ac:dyDescent="0.3">
      <c r="B69" s="498">
        <v>7.9</v>
      </c>
      <c r="C69" s="466" t="s">
        <v>92</v>
      </c>
      <c r="D69" s="405" t="s">
        <v>63</v>
      </c>
      <c r="E69" s="762">
        <f>+'7.9'!J47</f>
        <v>12</v>
      </c>
      <c r="F69" s="749">
        <f>'APU''S'!G999</f>
        <v>49781.415920623906</v>
      </c>
      <c r="G69" s="750">
        <f t="shared" si="4"/>
        <v>597376.9910474869</v>
      </c>
    </row>
    <row r="70" spans="2:7" ht="54" x14ac:dyDescent="0.3">
      <c r="B70" s="499">
        <v>7.1</v>
      </c>
      <c r="C70" s="466" t="s">
        <v>93</v>
      </c>
      <c r="D70" s="405" t="s">
        <v>63</v>
      </c>
      <c r="E70" s="762">
        <f>+'7.10'!J47</f>
        <v>6</v>
      </c>
      <c r="F70" s="749">
        <f>'APU''S'!G1028</f>
        <v>675761</v>
      </c>
      <c r="G70" s="750">
        <f>E70*F70</f>
        <v>4054566</v>
      </c>
    </row>
    <row r="71" spans="2:7" ht="16.149999999999999" x14ac:dyDescent="0.3">
      <c r="B71" s="402">
        <v>8</v>
      </c>
      <c r="C71" s="403" t="s">
        <v>94</v>
      </c>
      <c r="D71" s="369"/>
      <c r="E71" s="763"/>
      <c r="F71" s="748"/>
      <c r="G71" s="748"/>
    </row>
    <row r="72" spans="2:7" ht="54" x14ac:dyDescent="0.3">
      <c r="B72" s="376">
        <v>8.1</v>
      </c>
      <c r="C72" s="70" t="s">
        <v>95</v>
      </c>
      <c r="D72" s="49" t="s">
        <v>96</v>
      </c>
      <c r="E72" s="762">
        <f>'8.1'!J52</f>
        <v>50</v>
      </c>
      <c r="F72" s="749">
        <f>'APU''S'!G1051</f>
        <v>526186.14866331581</v>
      </c>
      <c r="G72" s="750">
        <f>E72*F72</f>
        <v>26309307.433165789</v>
      </c>
    </row>
    <row r="73" spans="2:7" ht="72" x14ac:dyDescent="0.3">
      <c r="B73" s="376">
        <v>8.1999999999999993</v>
      </c>
      <c r="C73" s="70" t="s">
        <v>97</v>
      </c>
      <c r="D73" s="49" t="s">
        <v>96</v>
      </c>
      <c r="E73" s="762">
        <f>+'8.2'!J45</f>
        <v>39.159999999999997</v>
      </c>
      <c r="F73" s="749">
        <f>'APU''S'!G1074</f>
        <v>611167.14866331581</v>
      </c>
      <c r="G73" s="750">
        <f>E73*F73</f>
        <v>23933305.541655444</v>
      </c>
    </row>
    <row r="74" spans="2:7" ht="54" x14ac:dyDescent="0.3">
      <c r="B74" s="376">
        <v>8.3000000000000007</v>
      </c>
      <c r="C74" s="70" t="s">
        <v>98</v>
      </c>
      <c r="D74" s="49" t="s">
        <v>63</v>
      </c>
      <c r="E74" s="762">
        <f>+'8.3'!J45</f>
        <v>1</v>
      </c>
      <c r="F74" s="749">
        <f>+'APU''S'!G1097</f>
        <v>311167.14866331581</v>
      </c>
      <c r="G74" s="750">
        <f>E74*F74</f>
        <v>311167.14866331581</v>
      </c>
    </row>
    <row r="75" spans="2:7" ht="54" x14ac:dyDescent="0.3">
      <c r="B75" s="376">
        <v>8.4</v>
      </c>
      <c r="C75" s="70" t="s">
        <v>99</v>
      </c>
      <c r="D75" s="49" t="s">
        <v>100</v>
      </c>
      <c r="E75" s="762">
        <f>+'8.4'!J45</f>
        <v>25.6</v>
      </c>
      <c r="F75" s="749">
        <f>+'APU''S'!G1116</f>
        <v>527882.62973266316</v>
      </c>
      <c r="G75" s="750">
        <f t="shared" ref="G75:G76" si="5">E75*F75</f>
        <v>13513795.321156178</v>
      </c>
    </row>
    <row r="76" spans="2:7" ht="54" x14ac:dyDescent="0.3">
      <c r="B76" s="376">
        <v>8.5</v>
      </c>
      <c r="C76" s="70" t="s">
        <v>101</v>
      </c>
      <c r="D76" s="49" t="s">
        <v>100</v>
      </c>
      <c r="E76" s="762">
        <f>+'8.5'!J45</f>
        <v>4.2</v>
      </c>
      <c r="F76" s="749">
        <f>+'APU''S'!G1135</f>
        <v>426756.62973266316</v>
      </c>
      <c r="G76" s="750">
        <f t="shared" si="5"/>
        <v>1792377.8448771853</v>
      </c>
    </row>
    <row r="77" spans="2:7" ht="16.149999999999999" x14ac:dyDescent="0.3">
      <c r="B77" s="402">
        <v>9</v>
      </c>
      <c r="C77" s="403" t="s">
        <v>102</v>
      </c>
      <c r="D77" s="369"/>
      <c r="E77" s="763"/>
      <c r="F77" s="748"/>
      <c r="G77" s="748"/>
    </row>
    <row r="78" spans="2:7" ht="32.450000000000003" x14ac:dyDescent="0.3">
      <c r="B78" s="376">
        <v>9.1</v>
      </c>
      <c r="C78" s="70" t="s">
        <v>103</v>
      </c>
      <c r="D78" s="48" t="s">
        <v>63</v>
      </c>
      <c r="E78" s="762">
        <f>+'9.1'!J45</f>
        <v>1</v>
      </c>
      <c r="F78" s="749">
        <f>'APU''S'!G1156</f>
        <v>20551821.486633159</v>
      </c>
      <c r="G78" s="750">
        <f>F78*E78</f>
        <v>20551821.486633159</v>
      </c>
    </row>
    <row r="79" spans="2:7" ht="16.149999999999999" x14ac:dyDescent="0.3">
      <c r="B79" s="402">
        <v>10</v>
      </c>
      <c r="C79" s="403" t="s">
        <v>104</v>
      </c>
      <c r="D79" s="369"/>
      <c r="E79" s="763"/>
      <c r="F79" s="748"/>
      <c r="G79" s="748"/>
    </row>
    <row r="80" spans="2:7" ht="54" x14ac:dyDescent="0.3">
      <c r="B80" s="376">
        <v>10.1</v>
      </c>
      <c r="C80" s="70" t="s">
        <v>105</v>
      </c>
      <c r="D80" s="48" t="s">
        <v>63</v>
      </c>
      <c r="E80" s="762">
        <f>'10.1'!J47</f>
        <v>8</v>
      </c>
      <c r="F80" s="749">
        <f>'APU''S'!G1179</f>
        <v>575398.51893065264</v>
      </c>
      <c r="G80" s="750">
        <f>F80*E80</f>
        <v>4603188.1514452212</v>
      </c>
    </row>
    <row r="81" spans="2:7" ht="54" x14ac:dyDescent="0.3">
      <c r="B81" s="376">
        <v>10.199999999999999</v>
      </c>
      <c r="C81" s="70" t="s">
        <v>106</v>
      </c>
      <c r="D81" s="48" t="s">
        <v>63</v>
      </c>
      <c r="E81" s="762">
        <f>'10.2'!J47</f>
        <v>3</v>
      </c>
      <c r="F81" s="749">
        <f>'APU''S'!G1202</f>
        <v>645398.51893065264</v>
      </c>
      <c r="G81" s="750">
        <f>E81*F81</f>
        <v>1936195.5567919579</v>
      </c>
    </row>
    <row r="82" spans="2:7" ht="90" x14ac:dyDescent="0.3">
      <c r="B82" s="376">
        <v>10.3</v>
      </c>
      <c r="C82" s="70" t="s">
        <v>107</v>
      </c>
      <c r="D82" s="48" t="s">
        <v>63</v>
      </c>
      <c r="E82" s="762">
        <f>'10.3'!J46</f>
        <v>9</v>
      </c>
      <c r="F82" s="749">
        <f>'APU''S'!G1225</f>
        <v>921097.20406432112</v>
      </c>
      <c r="G82" s="750">
        <f>E82*F82</f>
        <v>8289874.8365788897</v>
      </c>
    </row>
    <row r="83" spans="2:7" ht="36" x14ac:dyDescent="0.3">
      <c r="B83" s="376">
        <v>10.4</v>
      </c>
      <c r="C83" s="70" t="s">
        <v>108</v>
      </c>
      <c r="D83" s="48" t="s">
        <v>63</v>
      </c>
      <c r="E83" s="762">
        <f>'10.4'!J47</f>
        <v>2</v>
      </c>
      <c r="F83" s="749">
        <f>'APU''S'!G1248</f>
        <v>358014.66368249565</v>
      </c>
      <c r="G83" s="750">
        <f>E83*F83</f>
        <v>716029.3273649913</v>
      </c>
    </row>
    <row r="84" spans="2:7" ht="36" x14ac:dyDescent="0.3">
      <c r="B84" s="376">
        <v>10.5</v>
      </c>
      <c r="C84" s="70" t="s">
        <v>109</v>
      </c>
      <c r="D84" s="48" t="s">
        <v>63</v>
      </c>
      <c r="E84" s="762">
        <f>'10.5'!J47</f>
        <v>1</v>
      </c>
      <c r="F84" s="749">
        <f>'APU''S'!G1270</f>
        <v>356439.39358291449</v>
      </c>
      <c r="G84" s="750">
        <f>F84*E84</f>
        <v>356439.39358291449</v>
      </c>
    </row>
    <row r="85" spans="2:7" ht="90" x14ac:dyDescent="0.3">
      <c r="B85" s="376">
        <v>10.6</v>
      </c>
      <c r="C85" s="70" t="s">
        <v>110</v>
      </c>
      <c r="D85" s="48" t="s">
        <v>63</v>
      </c>
      <c r="E85" s="762">
        <f>+'10.6'!J47</f>
        <v>3</v>
      </c>
      <c r="F85" s="749">
        <f>+'APU''S'!G1293</f>
        <v>893501.7755080401</v>
      </c>
      <c r="G85" s="750">
        <f t="shared" ref="G85:G88" si="6">F85*E85</f>
        <v>2680505.3265241203</v>
      </c>
    </row>
    <row r="86" spans="2:7" ht="36" x14ac:dyDescent="0.3">
      <c r="B86" s="376">
        <v>10.7</v>
      </c>
      <c r="C86" s="70" t="s">
        <v>111</v>
      </c>
      <c r="D86" s="48" t="s">
        <v>17</v>
      </c>
      <c r="E86" s="762">
        <f>+'10.7'!J47</f>
        <v>9.8000000000000007</v>
      </c>
      <c r="F86" s="749">
        <f>+'APU''S'!G1312</f>
        <v>528201.31486633164</v>
      </c>
      <c r="G86" s="750">
        <f t="shared" si="6"/>
        <v>5176372.8856900502</v>
      </c>
    </row>
    <row r="87" spans="2:7" ht="48.6" x14ac:dyDescent="0.3">
      <c r="B87" s="376">
        <v>10.8</v>
      </c>
      <c r="C87" s="70" t="s">
        <v>112</v>
      </c>
      <c r="D87" s="48" t="s">
        <v>63</v>
      </c>
      <c r="E87" s="762">
        <f>+'10.8'!J47</f>
        <v>15</v>
      </c>
      <c r="F87" s="749">
        <f>+'APU''S'!G1331</f>
        <v>199301.31486633158</v>
      </c>
      <c r="G87" s="750">
        <f t="shared" si="6"/>
        <v>2989519.7229949739</v>
      </c>
    </row>
    <row r="88" spans="2:7" x14ac:dyDescent="0.3">
      <c r="B88" s="376">
        <v>10.9</v>
      </c>
      <c r="C88" s="70" t="s">
        <v>113</v>
      </c>
      <c r="D88" s="48" t="s">
        <v>63</v>
      </c>
      <c r="E88" s="762">
        <v>1</v>
      </c>
      <c r="F88" s="749">
        <f>+'APU''S'!G1353</f>
        <v>3195276.1486633159</v>
      </c>
      <c r="G88" s="750">
        <f t="shared" si="6"/>
        <v>3195276.1486633159</v>
      </c>
    </row>
    <row r="89" spans="2:7" ht="16.149999999999999" x14ac:dyDescent="0.3">
      <c r="B89" s="402">
        <v>11</v>
      </c>
      <c r="C89" s="403" t="s">
        <v>114</v>
      </c>
      <c r="D89" s="369"/>
      <c r="E89" s="763"/>
      <c r="F89" s="748"/>
      <c r="G89" s="748"/>
    </row>
    <row r="90" spans="2:7" ht="32.450000000000003" x14ac:dyDescent="0.3">
      <c r="B90" s="376">
        <v>11.1</v>
      </c>
      <c r="C90" s="70" t="s">
        <v>115</v>
      </c>
      <c r="D90" s="48" t="s">
        <v>63</v>
      </c>
      <c r="E90" s="762">
        <f>+'11.1'!J47</f>
        <v>38</v>
      </c>
      <c r="F90" s="749">
        <f>+'APU''S'!G1372</f>
        <v>183148.12951359441</v>
      </c>
      <c r="G90" s="750">
        <f>F90*E90</f>
        <v>6959628.921516588</v>
      </c>
    </row>
    <row r="91" spans="2:7" ht="36" x14ac:dyDescent="0.3">
      <c r="B91" s="376">
        <v>11.2</v>
      </c>
      <c r="C91" s="70" t="s">
        <v>116</v>
      </c>
      <c r="D91" s="48" t="s">
        <v>63</v>
      </c>
      <c r="E91" s="762">
        <f>+'11.2'!J47</f>
        <v>5</v>
      </c>
      <c r="F91" s="749">
        <f>+'APU''S'!G1391</f>
        <v>104801.31486633158</v>
      </c>
      <c r="G91" s="750">
        <f t="shared" ref="G91:G92" si="7">F91*E91</f>
        <v>524006.5743316579</v>
      </c>
    </row>
    <row r="92" spans="2:7" ht="32.450000000000003" x14ac:dyDescent="0.3">
      <c r="B92" s="376">
        <v>11.3</v>
      </c>
      <c r="C92" s="70" t="s">
        <v>117</v>
      </c>
      <c r="D92" s="48" t="s">
        <v>63</v>
      </c>
      <c r="E92" s="762">
        <f>+'11.3'!J47</f>
        <v>1</v>
      </c>
      <c r="F92" s="749">
        <f>+'APU''S'!G1410</f>
        <v>113701.31486633158</v>
      </c>
      <c r="G92" s="750">
        <f t="shared" si="7"/>
        <v>113701.31486633158</v>
      </c>
    </row>
    <row r="93" spans="2:7" ht="16.149999999999999" x14ac:dyDescent="0.3">
      <c r="B93" s="402">
        <v>12</v>
      </c>
      <c r="C93" s="403" t="s">
        <v>118</v>
      </c>
      <c r="D93" s="369"/>
      <c r="E93" s="763"/>
      <c r="F93" s="748"/>
      <c r="G93" s="748"/>
    </row>
    <row r="94" spans="2:7" ht="36" x14ac:dyDescent="0.3">
      <c r="B94" s="376">
        <v>12.1</v>
      </c>
      <c r="C94" s="114" t="s">
        <v>119</v>
      </c>
      <c r="D94" s="48" t="s">
        <v>63</v>
      </c>
      <c r="E94" s="762">
        <v>14</v>
      </c>
      <c r="F94" s="749">
        <f>'APU''S'!G1426</f>
        <v>295691.29878666665</v>
      </c>
      <c r="G94" s="750">
        <f>F94*E94</f>
        <v>4139678.183013333</v>
      </c>
    </row>
    <row r="95" spans="2:7" x14ac:dyDescent="0.3">
      <c r="B95" s="376">
        <v>12.2</v>
      </c>
      <c r="C95" s="114" t="s">
        <v>120</v>
      </c>
      <c r="D95" s="48" t="s">
        <v>26</v>
      </c>
      <c r="E95" s="762">
        <f>+'12.2'!J47</f>
        <v>272.01</v>
      </c>
      <c r="F95" s="749">
        <f>+'APU''S'!G1445</f>
        <v>146659.52477721931</v>
      </c>
      <c r="G95" s="750">
        <f>F95*E95</f>
        <v>39892857.334651425</v>
      </c>
    </row>
    <row r="96" spans="2:7" x14ac:dyDescent="0.3">
      <c r="B96" s="376">
        <v>12.3</v>
      </c>
      <c r="C96" s="70" t="s">
        <v>121</v>
      </c>
      <c r="D96" s="48" t="s">
        <v>63</v>
      </c>
      <c r="E96" s="762">
        <v>1</v>
      </c>
      <c r="F96" s="749">
        <f>+'APU GIMNASIO'!K30</f>
        <v>114230377.05968881</v>
      </c>
      <c r="G96" s="750">
        <f>+E96*F96</f>
        <v>114230377.05968881</v>
      </c>
    </row>
    <row r="97" spans="2:9" ht="16.149999999999999" x14ac:dyDescent="0.3">
      <c r="F97" s="740"/>
    </row>
    <row r="98" spans="2:9" ht="16.149999999999999" x14ac:dyDescent="0.3">
      <c r="B98" s="374"/>
      <c r="C98" s="366" t="s">
        <v>122</v>
      </c>
      <c r="D98" s="367"/>
      <c r="E98" s="368"/>
      <c r="F98" s="753"/>
      <c r="G98" s="751">
        <f>SUM(G9:G96)</f>
        <v>1203325116.5152714</v>
      </c>
    </row>
    <row r="99" spans="2:9" x14ac:dyDescent="0.3">
      <c r="B99" s="374"/>
      <c r="C99" s="366" t="s">
        <v>123</v>
      </c>
      <c r="D99" s="369" t="s">
        <v>124</v>
      </c>
      <c r="E99" s="370"/>
      <c r="F99" s="409">
        <f ca="1">AU!H47</f>
        <v>0.26123856713089605</v>
      </c>
      <c r="G99" s="754">
        <f ca="1">+AU!I47</f>
        <v>314354929.23106802</v>
      </c>
    </row>
    <row r="100" spans="2:9" ht="16.149999999999999" hidden="1" x14ac:dyDescent="0.3">
      <c r="B100" s="374"/>
      <c r="C100" s="366" t="s">
        <v>125</v>
      </c>
      <c r="D100" s="369" t="s">
        <v>124</v>
      </c>
      <c r="E100" s="370"/>
      <c r="F100" s="409"/>
      <c r="G100" s="754">
        <v>0</v>
      </c>
    </row>
    <row r="101" spans="2:9" ht="16.149999999999999" x14ac:dyDescent="0.3">
      <c r="B101" s="374"/>
      <c r="C101" s="366" t="s">
        <v>126</v>
      </c>
      <c r="D101" s="369" t="s">
        <v>124</v>
      </c>
      <c r="E101" s="370"/>
      <c r="F101" s="409">
        <v>0.05</v>
      </c>
      <c r="G101" s="754">
        <f>G98*F101</f>
        <v>60166255.825763576</v>
      </c>
    </row>
    <row r="102" spans="2:9" ht="16.149999999999999" x14ac:dyDescent="0.3">
      <c r="B102" s="374"/>
      <c r="C102" s="366" t="s">
        <v>127</v>
      </c>
      <c r="D102" s="369"/>
      <c r="E102" s="370"/>
      <c r="F102" s="409"/>
      <c r="G102" s="754">
        <f>+PMA!F24</f>
        <v>11905000</v>
      </c>
    </row>
    <row r="103" spans="2:9" ht="16.149999999999999" x14ac:dyDescent="0.3">
      <c r="B103" s="374"/>
      <c r="C103" s="366" t="s">
        <v>128</v>
      </c>
      <c r="D103" s="369"/>
      <c r="E103" s="370"/>
      <c r="F103" s="409"/>
      <c r="G103" s="754">
        <v>8000000</v>
      </c>
    </row>
    <row r="104" spans="2:9" x14ac:dyDescent="0.3">
      <c r="B104" s="374"/>
      <c r="C104" s="366" t="s">
        <v>129</v>
      </c>
      <c r="D104" s="369"/>
      <c r="E104" s="370"/>
      <c r="F104" s="409"/>
      <c r="G104" s="748">
        <f ca="1">+SUM(G98:G103)</f>
        <v>1597751301.5721028</v>
      </c>
    </row>
    <row r="105" spans="2:9" hidden="1" x14ac:dyDescent="0.3">
      <c r="B105" s="374"/>
      <c r="C105" s="371" t="s">
        <v>130</v>
      </c>
      <c r="D105" s="372"/>
      <c r="E105" s="373"/>
      <c r="F105" s="408">
        <f ca="1">+INT!G27</f>
        <v>9.4069389673238357E-2</v>
      </c>
      <c r="G105" s="751">
        <f ca="1">+INT!H27</f>
        <v>113196059.28907003</v>
      </c>
    </row>
    <row r="106" spans="2:9" ht="16.899999999999999" hidden="1" customHeight="1" x14ac:dyDescent="0.3">
      <c r="B106" s="374"/>
      <c r="C106" s="371" t="s">
        <v>1263</v>
      </c>
      <c r="D106" s="372"/>
      <c r="E106" s="373"/>
      <c r="F106" s="408"/>
      <c r="G106" s="756">
        <f ca="1">+SUM(G104:G105)</f>
        <v>1710947360.8611729</v>
      </c>
      <c r="H106" s="651">
        <f ca="1">+G106*0.9</f>
        <v>0</v>
      </c>
    </row>
    <row r="107" spans="2:9" ht="22.15" hidden="1" customHeight="1" x14ac:dyDescent="0.3">
      <c r="B107" s="374"/>
      <c r="C107" s="375"/>
      <c r="D107" s="232"/>
      <c r="E107" s="233"/>
      <c r="F107" s="760"/>
      <c r="G107" s="757"/>
      <c r="H107" s="651">
        <f ca="1">+G106*0.1</f>
        <v>171094736.0861173</v>
      </c>
    </row>
    <row r="108" spans="2:9" ht="10.9" hidden="1" customHeight="1" x14ac:dyDescent="0.3">
      <c r="C108" s="375"/>
      <c r="D108" s="232"/>
      <c r="E108" s="233"/>
      <c r="F108" s="760"/>
      <c r="G108" s="757">
        <v>1710947360.8611729</v>
      </c>
    </row>
    <row r="109" spans="2:9" ht="16.149999999999999" hidden="1" x14ac:dyDescent="0.3">
      <c r="B109" s="374"/>
      <c r="C109" s="371" t="s">
        <v>1025</v>
      </c>
      <c r="D109" s="372"/>
      <c r="E109" s="373"/>
      <c r="F109" s="761">
        <v>7.45E-3</v>
      </c>
      <c r="G109" s="756">
        <f>G108*F109</f>
        <v>12746557.838415738</v>
      </c>
      <c r="H109" s="651"/>
    </row>
    <row r="110" spans="2:9" hidden="1" x14ac:dyDescent="0.3">
      <c r="B110" s="374"/>
      <c r="C110" s="371" t="s">
        <v>1261</v>
      </c>
      <c r="D110" s="372"/>
      <c r="E110" s="373"/>
      <c r="F110" s="408">
        <v>0.19</v>
      </c>
      <c r="G110" s="756">
        <f>G109*F110</f>
        <v>2421845.9892989905</v>
      </c>
      <c r="H110" s="651">
        <v>15170205.869999999</v>
      </c>
    </row>
    <row r="111" spans="2:9" hidden="1" x14ac:dyDescent="0.3">
      <c r="B111" s="374"/>
      <c r="C111" s="371" t="s">
        <v>1262</v>
      </c>
      <c r="D111" s="372"/>
      <c r="E111" s="373"/>
      <c r="F111" s="755"/>
      <c r="G111" s="756">
        <f>G109+G110</f>
        <v>15168403.827714728</v>
      </c>
      <c r="H111" s="651">
        <f>H110*I111</f>
        <v>2422133.7103361324</v>
      </c>
      <c r="I111" s="125">
        <v>0.15966386554621836</v>
      </c>
    </row>
    <row r="112" spans="2:9" hidden="1" x14ac:dyDescent="0.3">
      <c r="B112" s="374"/>
      <c r="C112" s="371" t="s">
        <v>131</v>
      </c>
      <c r="D112" s="372"/>
      <c r="E112" s="373"/>
      <c r="F112" s="755"/>
      <c r="G112" s="756">
        <f>G111+G108</f>
        <v>1726115764.6888876</v>
      </c>
      <c r="H112" s="651">
        <f>+G112*0.9</f>
        <v>1553504188.2199988</v>
      </c>
    </row>
    <row r="113" spans="3:9" hidden="1" x14ac:dyDescent="0.3">
      <c r="C113" s="496"/>
      <c r="D113" s="497"/>
      <c r="E113" s="497"/>
      <c r="F113" s="758"/>
      <c r="G113" s="758"/>
      <c r="H113" s="738">
        <f>H112*1.19</f>
        <v>1848669983.9817986</v>
      </c>
      <c r="I113" s="129"/>
    </row>
    <row r="114" spans="3:9" hidden="1" x14ac:dyDescent="0.3">
      <c r="C114" s="496" t="s">
        <v>132</v>
      </c>
      <c r="D114" s="497"/>
      <c r="E114" s="497"/>
      <c r="F114" s="758"/>
      <c r="G114" s="758"/>
      <c r="H114" s="129">
        <f>H112/G108</f>
        <v>0.90797894999999995</v>
      </c>
      <c r="I114" s="129"/>
    </row>
    <row r="115" spans="3:9" x14ac:dyDescent="0.3">
      <c r="C115" s="344"/>
      <c r="D115" s="497"/>
      <c r="E115" s="497"/>
      <c r="F115" s="758"/>
      <c r="G115" s="758"/>
      <c r="H115" s="129"/>
      <c r="I115" s="129"/>
    </row>
    <row r="116" spans="3:9" x14ac:dyDescent="0.3">
      <c r="C116" s="375"/>
      <c r="D116" s="232"/>
      <c r="E116" s="233"/>
      <c r="F116" s="758"/>
      <c r="G116" s="758"/>
      <c r="H116" s="129"/>
      <c r="I116" s="129"/>
    </row>
    <row r="117" spans="3:9" x14ac:dyDescent="0.3">
      <c r="F117" s="759"/>
      <c r="G117" s="759"/>
      <c r="H117" s="129"/>
      <c r="I117" s="129"/>
    </row>
    <row r="118" spans="3:9" x14ac:dyDescent="0.3">
      <c r="F118" s="759"/>
      <c r="G118" s="759"/>
      <c r="H118" s="129"/>
      <c r="I118" s="129"/>
    </row>
    <row r="119" spans="3:9" x14ac:dyDescent="0.3">
      <c r="F119" s="759"/>
      <c r="G119" s="759"/>
      <c r="H119" s="129"/>
      <c r="I119" s="129"/>
    </row>
  </sheetData>
  <protectedRanges>
    <protectedRange sqref="D24 D31:D36" name="Columnas A a D"/>
    <protectedRange sqref="D17:D20 D22:D23 D26:D27 D29" name="Columnas A a D_1"/>
    <protectedRange sqref="D13:D14" name="Columnas A a D_2"/>
    <protectedRange sqref="D9:D11" name="Columnas A a D_3"/>
    <protectedRange sqref="C38:D41" name="Columnas A a D_4"/>
    <protectedRange sqref="C43:D59" name="Columnas A a D_5"/>
    <protectedRange sqref="C61:D70" name="Columnas A a D_6"/>
    <protectedRange sqref="C71:D76" name="Columnas A a D_7"/>
    <protectedRange sqref="C91:C92 C77:D88 D90:D92" name="Columnas A a D_8"/>
    <protectedRange sqref="C93:D96 C89:D89 C90" name="Columnas A a D_9"/>
  </protectedRanges>
  <autoFilter ref="B6:G115" xr:uid="{725A61DD-09C3-49B2-99C3-6750332B4582}"/>
  <mergeCells count="3">
    <mergeCell ref="G3:G4"/>
    <mergeCell ref="C2:F2"/>
    <mergeCell ref="C3:F3"/>
  </mergeCells>
  <phoneticPr fontId="4" type="noConversion"/>
  <conditionalFormatting sqref="C43:D59 C61:D70">
    <cfRule type="cellIs" dxfId="1012" priority="9" operator="notEqual">
      <formula>0</formula>
    </cfRule>
    <cfRule type="expression" dxfId="1011" priority="10">
      <formula>AND(#REF!&lt;&gt;0,$B43&lt;&gt;0,#REF!=0)</formula>
    </cfRule>
  </conditionalFormatting>
  <conditionalFormatting sqref="C78:D78 C72:D76 C80:C88">
    <cfRule type="expression" dxfId="1010" priority="1842">
      <formula>AND(#REF!&lt;&gt;0,$B72&lt;&gt;0,#REF!=0)</formula>
    </cfRule>
  </conditionalFormatting>
  <conditionalFormatting sqref="C78:D78 C94:D96">
    <cfRule type="cellIs" dxfId="1009" priority="54" operator="notEqual">
      <formula>0</formula>
    </cfRule>
  </conditionalFormatting>
  <conditionalFormatting sqref="C90:D92">
    <cfRule type="cellIs" dxfId="1008" priority="2" operator="notEqual">
      <formula>0</formula>
    </cfRule>
    <cfRule type="expression" dxfId="1007" priority="6">
      <formula>AND(#REF!&lt;&gt;0,$B90&lt;&gt;0,#REF!=0)</formula>
    </cfRule>
  </conditionalFormatting>
  <conditionalFormatting sqref="C94:D96">
    <cfRule type="expression" dxfId="1006" priority="1840">
      <formula>AND(#REF!&lt;&gt;0,$B94&lt;&gt;0,#REF!=0)</formula>
    </cfRule>
  </conditionalFormatting>
  <conditionalFormatting sqref="D9:D11">
    <cfRule type="cellIs" dxfId="1005" priority="80" operator="notEqual">
      <formula>0</formula>
    </cfRule>
    <cfRule type="expression" dxfId="1004" priority="1839">
      <formula>AND(#REF!&lt;&gt;0,$B9&lt;&gt;0,#REF!=0)</formula>
    </cfRule>
  </conditionalFormatting>
  <conditionalFormatting sqref="D13:D14">
    <cfRule type="cellIs" dxfId="1003" priority="82" operator="notEqual">
      <formula>0</formula>
    </cfRule>
    <cfRule type="expression" dxfId="1002" priority="1838">
      <formula>AND(#REF!&lt;&gt;0,$B13&lt;&gt;0,#REF!=0)</formula>
    </cfRule>
  </conditionalFormatting>
  <conditionalFormatting sqref="D17:D20">
    <cfRule type="cellIs" dxfId="1001" priority="84" operator="notEqual">
      <formula>0</formula>
    </cfRule>
    <cfRule type="expression" dxfId="1000" priority="1837">
      <formula>AND(#REF!&lt;&gt;0,$B17&lt;&gt;0,#REF!=0)</formula>
    </cfRule>
  </conditionalFormatting>
  <conditionalFormatting sqref="D22:D24 D29 D31:D36 D80:D88">
    <cfRule type="expression" dxfId="999" priority="13">
      <formula>AND(#REF!&lt;&gt;0,$B22&lt;&gt;0,#REF!=0)</formula>
    </cfRule>
  </conditionalFormatting>
  <conditionalFormatting sqref="D26:D27 D22:D24 D29">
    <cfRule type="cellIs" dxfId="998" priority="12" operator="notEqual">
      <formula>0</formula>
    </cfRule>
  </conditionalFormatting>
  <conditionalFormatting sqref="D26:D27">
    <cfRule type="expression" dxfId="997" priority="11">
      <formula>AND(#REF!&lt;&gt;0,$B26&lt;&gt;0,#REF!=0)</formula>
    </cfRule>
  </conditionalFormatting>
  <conditionalFormatting sqref="D31:D36 C80:D88 C72:D76">
    <cfRule type="cellIs" dxfId="996" priority="52" operator="notEqual">
      <formula>0</formula>
    </cfRule>
  </conditionalFormatting>
  <conditionalFormatting sqref="D38:D41">
    <cfRule type="cellIs" dxfId="995" priority="86" operator="notEqual">
      <formula>0</formula>
    </cfRule>
    <cfRule type="expression" dxfId="994" priority="1828">
      <formula>AND(#REF!&lt;&gt;0,$B38&lt;&gt;0,#REF!=0)</formula>
    </cfRule>
  </conditionalFormatting>
  <pageMargins left="0.25" right="0.25" top="0.75" bottom="0.75" header="0.3" footer="0.3"/>
  <pageSetup scale="64" fitToHeight="0" orientation="portrait" r:id="rId1"/>
  <rowBreaks count="5" manualBreakCount="5">
    <brk id="14" min="1" max="6" man="1"/>
    <brk id="29" min="1" max="6" man="1"/>
    <brk id="36" min="1" max="6" man="1"/>
    <brk id="59" min="1" max="6" man="1"/>
    <brk id="70" min="1" max="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D4ECBA"/>
  </sheetPr>
  <dimension ref="A1:L65"/>
  <sheetViews>
    <sheetView showOutlineSymbols="0" view="pageBreakPreview" topLeftCell="A30" zoomScale="85" zoomScaleNormal="100" zoomScaleSheetLayoutView="85" workbookViewId="0">
      <selection activeCell="K20" sqref="K20"/>
    </sheetView>
  </sheetViews>
  <sheetFormatPr baseColWidth="10" defaultColWidth="11.625" defaultRowHeight="12.75" x14ac:dyDescent="0.2"/>
  <cols>
    <col min="1" max="1" width="11.625" style="162" bestFit="1" customWidth="1"/>
    <col min="2" max="2" width="17.375" style="162" customWidth="1"/>
    <col min="3" max="3" width="26.375" style="162" customWidth="1"/>
    <col min="4" max="4" width="11.625" style="162"/>
    <col min="5" max="6" width="11.625" style="162" bestFit="1" customWidth="1"/>
    <col min="7" max="7" width="14.625" style="162" customWidth="1"/>
    <col min="8" max="8" width="9.375" style="162" bestFit="1" customWidth="1"/>
    <col min="9" max="9" width="18.25" style="162" bestFit="1" customWidth="1"/>
    <col min="10" max="10" width="19.25" style="163" customWidth="1"/>
    <col min="11" max="11" width="17.625" style="162" customWidth="1"/>
    <col min="12" max="12" width="14.625" style="162" customWidth="1"/>
    <col min="13" max="13" width="18.625" style="162" bestFit="1" customWidth="1"/>
    <col min="14" max="16384" width="11.625" style="162"/>
  </cols>
  <sheetData>
    <row r="1" spans="1:9" x14ac:dyDescent="0.2">
      <c r="A1" s="163"/>
      <c r="B1" s="163"/>
      <c r="C1" s="163"/>
      <c r="D1" s="163"/>
      <c r="E1" s="163"/>
      <c r="F1" s="163"/>
      <c r="G1" s="163"/>
      <c r="H1" s="163"/>
      <c r="I1" s="163"/>
    </row>
    <row r="2" spans="1:9" x14ac:dyDescent="0.2">
      <c r="A2" s="234"/>
      <c r="B2" s="235"/>
      <c r="C2" s="235"/>
      <c r="D2" s="236"/>
      <c r="E2" s="237"/>
      <c r="F2" s="238"/>
      <c r="G2" s="239"/>
      <c r="H2" s="240"/>
      <c r="I2" s="239"/>
    </row>
    <row r="3" spans="1:9" x14ac:dyDescent="0.2">
      <c r="A3" s="241"/>
      <c r="B3" s="771" t="str">
        <f>+PPTO!C2</f>
        <v xml:space="preserve">CONSTRUCCIÓN CENTRO DÍA GERONTOLÓGICO CORREGIMIENTO SAN JOSÉ DEL NUS DEL MUNICIPIO DE SAN ROQUE ANTIOQUIA </v>
      </c>
      <c r="C3" s="771"/>
      <c r="D3" s="771"/>
      <c r="E3" s="771"/>
      <c r="F3" s="771"/>
      <c r="G3" s="771"/>
      <c r="H3" s="771"/>
      <c r="I3" s="241"/>
    </row>
    <row r="4" spans="1:9" ht="16.5" customHeight="1" x14ac:dyDescent="0.2">
      <c r="A4" s="241"/>
      <c r="B4" s="785" t="str">
        <f>PPTO!C3</f>
        <v xml:space="preserve">MUNICIPIO DE SAN ROQUE - ANTIOQUIA, CORREGIMIENTO DE SAN JOSÉ DEL NÚS. </v>
      </c>
      <c r="C4" s="785"/>
      <c r="D4" s="785"/>
      <c r="E4" s="785"/>
      <c r="F4" s="785"/>
      <c r="G4" s="785"/>
      <c r="H4" s="785"/>
      <c r="I4" s="241"/>
    </row>
    <row r="5" spans="1:9" x14ac:dyDescent="0.2">
      <c r="A5" s="241"/>
      <c r="B5" s="242"/>
      <c r="C5" s="243"/>
      <c r="D5" s="244"/>
      <c r="E5" s="245"/>
      <c r="F5" s="241"/>
      <c r="G5" s="241"/>
      <c r="H5" s="241"/>
      <c r="I5" s="241"/>
    </row>
    <row r="6" spans="1:9" x14ac:dyDescent="0.2">
      <c r="A6" s="164"/>
      <c r="B6" s="246"/>
      <c r="C6" s="164"/>
      <c r="D6" s="217"/>
      <c r="E6" s="247"/>
      <c r="F6" s="247"/>
      <c r="G6" s="248"/>
      <c r="H6" s="164"/>
      <c r="I6" s="164"/>
    </row>
    <row r="7" spans="1:9" x14ac:dyDescent="0.2">
      <c r="A7" s="249"/>
      <c r="B7" s="249"/>
      <c r="C7" s="249"/>
      <c r="D7" s="249"/>
      <c r="E7" s="249"/>
      <c r="F7" s="249"/>
      <c r="G7" s="249"/>
      <c r="H7" s="164"/>
      <c r="I7" s="164"/>
    </row>
    <row r="8" spans="1:9" x14ac:dyDescent="0.2">
      <c r="A8" s="803" t="s">
        <v>141</v>
      </c>
      <c r="B8" s="804"/>
      <c r="C8" s="804"/>
      <c r="D8" s="804"/>
      <c r="E8" s="804"/>
      <c r="F8" s="804"/>
      <c r="G8" s="795" t="s">
        <v>142</v>
      </c>
      <c r="H8" s="796"/>
      <c r="I8" s="296">
        <f>+PPTO!G98</f>
        <v>1203325116.5152714</v>
      </c>
    </row>
    <row r="9" spans="1:9" x14ac:dyDescent="0.2">
      <c r="A9" s="803"/>
      <c r="B9" s="804"/>
      <c r="C9" s="804"/>
      <c r="D9" s="804"/>
      <c r="E9" s="804"/>
      <c r="F9" s="804"/>
      <c r="G9" s="797" t="s">
        <v>143</v>
      </c>
      <c r="H9" s="798"/>
      <c r="I9" s="297">
        <f ca="1">+H47+H49</f>
        <v>0.31123856713089604</v>
      </c>
    </row>
    <row r="10" spans="1:9" x14ac:dyDescent="0.2">
      <c r="A10" s="803"/>
      <c r="B10" s="804"/>
      <c r="C10" s="804"/>
      <c r="D10" s="804"/>
      <c r="E10" s="804"/>
      <c r="F10" s="804"/>
      <c r="G10" s="797" t="s">
        <v>144</v>
      </c>
      <c r="H10" s="798"/>
      <c r="I10" s="298">
        <f>+PPTO!G98</f>
        <v>1203325116.5152714</v>
      </c>
    </row>
    <row r="11" spans="1:9" x14ac:dyDescent="0.2">
      <c r="A11" s="804"/>
      <c r="B11" s="804"/>
      <c r="C11" s="804"/>
      <c r="D11" s="804"/>
      <c r="E11" s="804"/>
      <c r="F11" s="804"/>
      <c r="G11" s="799" t="s">
        <v>145</v>
      </c>
      <c r="H11" s="800"/>
      <c r="I11" s="315">
        <v>6</v>
      </c>
    </row>
    <row r="12" spans="1:9" ht="38.25" x14ac:dyDescent="0.2">
      <c r="A12" s="316" t="s">
        <v>146</v>
      </c>
      <c r="B12" s="780" t="s">
        <v>134</v>
      </c>
      <c r="C12" s="780"/>
      <c r="D12" s="316" t="s">
        <v>147</v>
      </c>
      <c r="E12" s="317" t="s">
        <v>148</v>
      </c>
      <c r="F12" s="318" t="s">
        <v>149</v>
      </c>
      <c r="G12" s="319" t="s">
        <v>150</v>
      </c>
      <c r="H12" s="320" t="s">
        <v>151</v>
      </c>
      <c r="I12" s="319" t="s">
        <v>152</v>
      </c>
    </row>
    <row r="13" spans="1:9" x14ac:dyDescent="0.2">
      <c r="A13" s="299" t="s">
        <v>153</v>
      </c>
      <c r="B13" s="781" t="s">
        <v>154</v>
      </c>
      <c r="C13" s="781"/>
      <c r="D13" s="250"/>
      <c r="E13" s="251"/>
      <c r="F13" s="252"/>
      <c r="G13" s="253"/>
      <c r="H13" s="254"/>
      <c r="I13" s="300"/>
    </row>
    <row r="14" spans="1:9" x14ac:dyDescent="0.2">
      <c r="A14" s="301" t="s">
        <v>155</v>
      </c>
      <c r="B14" s="772" t="s">
        <v>156</v>
      </c>
      <c r="C14" s="772"/>
      <c r="D14" s="255" t="s">
        <v>157</v>
      </c>
      <c r="E14" s="256">
        <v>6</v>
      </c>
      <c r="F14" s="257">
        <v>0.15</v>
      </c>
      <c r="G14" s="258">
        <f>+'FACTOR PRESTACIONAL'!J4</f>
        <v>8678266.6666666679</v>
      </c>
      <c r="H14" s="259">
        <f>+I14/$I$8</f>
        <v>6.4907146811814071E-3</v>
      </c>
      <c r="I14" s="302">
        <f t="shared" ref="I14:I28" si="0">ROUNDUP((E14*F14*G14),0)</f>
        <v>7810440</v>
      </c>
    </row>
    <row r="15" spans="1:9" x14ac:dyDescent="0.2">
      <c r="A15" s="301" t="s">
        <v>158</v>
      </c>
      <c r="B15" s="772" t="s">
        <v>159</v>
      </c>
      <c r="C15" s="772"/>
      <c r="D15" s="255" t="s">
        <v>157</v>
      </c>
      <c r="E15" s="256">
        <v>6</v>
      </c>
      <c r="F15" s="257">
        <v>1</v>
      </c>
      <c r="G15" s="258">
        <f>+'FACTOR PRESTACIONAL'!J5</f>
        <v>5995893.333333334</v>
      </c>
      <c r="H15" s="259">
        <f>+I15/$I$8</f>
        <v>2.9896625198168908E-2</v>
      </c>
      <c r="I15" s="302">
        <f t="shared" si="0"/>
        <v>35975360</v>
      </c>
    </row>
    <row r="16" spans="1:9" x14ac:dyDescent="0.2">
      <c r="A16" s="301" t="s">
        <v>160</v>
      </c>
      <c r="B16" s="772" t="s">
        <v>161</v>
      </c>
      <c r="C16" s="772"/>
      <c r="D16" s="255" t="s">
        <v>157</v>
      </c>
      <c r="E16" s="256">
        <v>6</v>
      </c>
      <c r="F16" s="257">
        <v>0.1</v>
      </c>
      <c r="G16" s="258">
        <f>+'FACTOR PRESTACIONAL'!J6</f>
        <v>4816372.6648790203</v>
      </c>
      <c r="H16" s="259">
        <f t="shared" ref="H16:H25" si="1">+I16/$I$8</f>
        <v>2.4015321880496336E-3</v>
      </c>
      <c r="I16" s="302">
        <f t="shared" si="0"/>
        <v>2889824</v>
      </c>
    </row>
    <row r="17" spans="1:12" x14ac:dyDescent="0.2">
      <c r="A17" s="301" t="s">
        <v>162</v>
      </c>
      <c r="B17" s="772" t="s">
        <v>163</v>
      </c>
      <c r="C17" s="772"/>
      <c r="D17" s="255" t="s">
        <v>157</v>
      </c>
      <c r="E17" s="256">
        <v>6</v>
      </c>
      <c r="F17" s="257">
        <v>1</v>
      </c>
      <c r="G17" s="258">
        <f>+'FACTOR PRESTACIONAL'!J7</f>
        <v>4816372.6648790203</v>
      </c>
      <c r="H17" s="259">
        <f t="shared" si="1"/>
        <v>2.4015318556373913E-2</v>
      </c>
      <c r="I17" s="302">
        <f t="shared" si="0"/>
        <v>28898236</v>
      </c>
    </row>
    <row r="18" spans="1:12" x14ac:dyDescent="0.2">
      <c r="A18" s="303"/>
      <c r="B18" s="779"/>
      <c r="C18" s="779"/>
      <c r="D18" s="260"/>
      <c r="E18" s="261" t="s">
        <v>164</v>
      </c>
      <c r="F18" s="262"/>
      <c r="G18" s="263"/>
      <c r="H18" s="264"/>
      <c r="I18" s="304"/>
    </row>
    <row r="19" spans="1:12" x14ac:dyDescent="0.2">
      <c r="A19" s="305" t="s">
        <v>165</v>
      </c>
      <c r="B19" s="773" t="s">
        <v>166</v>
      </c>
      <c r="C19" s="773"/>
      <c r="D19" s="265"/>
      <c r="E19" s="266"/>
      <c r="F19" s="267"/>
      <c r="G19" s="268"/>
      <c r="H19" s="269"/>
      <c r="I19" s="306"/>
    </row>
    <row r="20" spans="1:12" ht="27" customHeight="1" x14ac:dyDescent="0.2">
      <c r="A20" s="301" t="s">
        <v>167</v>
      </c>
      <c r="B20" s="772" t="s">
        <v>168</v>
      </c>
      <c r="C20" s="772"/>
      <c r="D20" s="257" t="s">
        <v>169</v>
      </c>
      <c r="E20" s="270">
        <v>1</v>
      </c>
      <c r="F20" s="257">
        <v>1</v>
      </c>
      <c r="G20" s="271">
        <v>2000000</v>
      </c>
      <c r="H20" s="259">
        <f>+I20/$I$8</f>
        <v>1.662061210682473E-3</v>
      </c>
      <c r="I20" s="302">
        <f t="shared" si="0"/>
        <v>2000000</v>
      </c>
    </row>
    <row r="21" spans="1:12" ht="25.7" customHeight="1" x14ac:dyDescent="0.2">
      <c r="A21" s="301" t="s">
        <v>170</v>
      </c>
      <c r="B21" s="776" t="s">
        <v>171</v>
      </c>
      <c r="C21" s="776"/>
      <c r="D21" s="257" t="s">
        <v>169</v>
      </c>
      <c r="E21" s="270">
        <v>1</v>
      </c>
      <c r="F21" s="257">
        <v>1</v>
      </c>
      <c r="G21" s="272">
        <v>6000000</v>
      </c>
      <c r="H21" s="259">
        <f>+I21/$I$8</f>
        <v>4.9861836320474195E-3</v>
      </c>
      <c r="I21" s="302">
        <f t="shared" si="0"/>
        <v>6000000</v>
      </c>
    </row>
    <row r="22" spans="1:12" x14ac:dyDescent="0.2">
      <c r="A22" s="301" t="s">
        <v>172</v>
      </c>
      <c r="B22" s="772" t="s">
        <v>173</v>
      </c>
      <c r="C22" s="772"/>
      <c r="D22" s="257" t="s">
        <v>169</v>
      </c>
      <c r="E22" s="270">
        <v>1</v>
      </c>
      <c r="F22" s="257">
        <v>1</v>
      </c>
      <c r="G22" s="271">
        <v>1000000</v>
      </c>
      <c r="H22" s="259">
        <f>+I22/$I$8</f>
        <v>8.3103060534123652E-4</v>
      </c>
      <c r="I22" s="302">
        <f>ROUNDUP((E22*F22*G22),0)</f>
        <v>1000000</v>
      </c>
    </row>
    <row r="23" spans="1:12" x14ac:dyDescent="0.2">
      <c r="A23" s="303"/>
      <c r="B23" s="779"/>
      <c r="C23" s="779"/>
      <c r="D23" s="260"/>
      <c r="E23" s="261"/>
      <c r="F23" s="262"/>
      <c r="G23" s="263"/>
      <c r="H23" s="264"/>
      <c r="I23" s="304"/>
    </row>
    <row r="24" spans="1:12" x14ac:dyDescent="0.2">
      <c r="A24" s="305">
        <v>3</v>
      </c>
      <c r="B24" s="773" t="s">
        <v>174</v>
      </c>
      <c r="C24" s="773"/>
      <c r="D24" s="273"/>
      <c r="E24" s="274"/>
      <c r="F24" s="275"/>
      <c r="G24" s="276"/>
      <c r="H24" s="269"/>
      <c r="I24" s="306"/>
    </row>
    <row r="25" spans="1:12" x14ac:dyDescent="0.2">
      <c r="A25" s="301" t="s">
        <v>175</v>
      </c>
      <c r="B25" s="772" t="s">
        <v>176</v>
      </c>
      <c r="C25" s="772"/>
      <c r="D25" s="255" t="s">
        <v>157</v>
      </c>
      <c r="E25" s="270">
        <f>+E17</f>
        <v>6</v>
      </c>
      <c r="F25" s="257">
        <v>1</v>
      </c>
      <c r="G25" s="258">
        <v>100000</v>
      </c>
      <c r="H25" s="259">
        <f t="shared" si="1"/>
        <v>4.9861836320474193E-4</v>
      </c>
      <c r="I25" s="302">
        <f t="shared" si="0"/>
        <v>600000</v>
      </c>
    </row>
    <row r="26" spans="1:12" x14ac:dyDescent="0.2">
      <c r="A26" s="301" t="s">
        <v>177</v>
      </c>
      <c r="B26" s="772" t="s">
        <v>178</v>
      </c>
      <c r="C26" s="772"/>
      <c r="D26" s="255" t="s">
        <v>179</v>
      </c>
      <c r="E26" s="270">
        <f>+E25</f>
        <v>6</v>
      </c>
      <c r="F26" s="257">
        <v>1</v>
      </c>
      <c r="G26" s="258">
        <v>200000</v>
      </c>
      <c r="H26" s="259">
        <f>+I26/$I$8</f>
        <v>9.9723672640948387E-4</v>
      </c>
      <c r="I26" s="302">
        <f t="shared" si="0"/>
        <v>1200000</v>
      </c>
    </row>
    <row r="27" spans="1:12" x14ac:dyDescent="0.2">
      <c r="A27" s="301" t="s">
        <v>180</v>
      </c>
      <c r="B27" s="772" t="s">
        <v>181</v>
      </c>
      <c r="C27" s="772"/>
      <c r="D27" s="255" t="s">
        <v>179</v>
      </c>
      <c r="E27" s="270">
        <f>+E25</f>
        <v>6</v>
      </c>
      <c r="F27" s="257">
        <v>1</v>
      </c>
      <c r="G27" s="258">
        <v>120000</v>
      </c>
      <c r="H27" s="259">
        <f>+I27/$I$8</f>
        <v>5.9834203584569032E-4</v>
      </c>
      <c r="I27" s="302">
        <f t="shared" si="0"/>
        <v>720000</v>
      </c>
    </row>
    <row r="28" spans="1:12" x14ac:dyDescent="0.2">
      <c r="A28" s="301" t="s">
        <v>182</v>
      </c>
      <c r="B28" s="772" t="s">
        <v>183</v>
      </c>
      <c r="C28" s="772"/>
      <c r="D28" s="257" t="s">
        <v>184</v>
      </c>
      <c r="E28" s="270">
        <f>+E26</f>
        <v>6</v>
      </c>
      <c r="F28" s="257">
        <v>1</v>
      </c>
      <c r="G28" s="271">
        <v>250000</v>
      </c>
      <c r="H28" s="259">
        <f>+I28/$I$8</f>
        <v>1.2465459080118549E-3</v>
      </c>
      <c r="I28" s="302">
        <f t="shared" si="0"/>
        <v>1500000</v>
      </c>
    </row>
    <row r="29" spans="1:12" x14ac:dyDescent="0.2">
      <c r="A29" s="301" t="s">
        <v>185</v>
      </c>
      <c r="B29" s="777" t="s">
        <v>186</v>
      </c>
      <c r="C29" s="778"/>
      <c r="D29" s="277" t="s">
        <v>187</v>
      </c>
      <c r="E29" s="278">
        <v>2</v>
      </c>
      <c r="F29" s="279">
        <v>1</v>
      </c>
      <c r="G29" s="280">
        <v>600000</v>
      </c>
      <c r="H29" s="259">
        <f>+I29/$I$8</f>
        <v>9.9723672640948387E-4</v>
      </c>
      <c r="I29" s="302">
        <f>+G29*E29</f>
        <v>1200000</v>
      </c>
    </row>
    <row r="30" spans="1:12" x14ac:dyDescent="0.2">
      <c r="A30" s="301"/>
      <c r="B30" s="787"/>
      <c r="C30" s="788"/>
      <c r="D30" s="281"/>
      <c r="E30" s="261"/>
      <c r="F30" s="262"/>
      <c r="G30" s="263"/>
      <c r="H30" s="264"/>
      <c r="I30" s="302"/>
      <c r="K30" s="529" t="s">
        <v>188</v>
      </c>
      <c r="L30" s="530">
        <v>1721090643.0186849</v>
      </c>
    </row>
    <row r="31" spans="1:12" ht="21.6" customHeight="1" x14ac:dyDescent="0.2">
      <c r="A31" s="307">
        <v>4</v>
      </c>
      <c r="B31" s="773" t="s">
        <v>189</v>
      </c>
      <c r="C31" s="773"/>
      <c r="D31" s="273"/>
      <c r="E31" s="282" t="s">
        <v>190</v>
      </c>
      <c r="F31" s="275"/>
      <c r="G31" s="283"/>
      <c r="H31" s="284"/>
      <c r="I31" s="308"/>
      <c r="J31" s="520"/>
      <c r="K31" s="531" t="s">
        <v>191</v>
      </c>
      <c r="L31" s="532">
        <f ca="1">+PPTO!G104</f>
        <v>1597751301.5721028</v>
      </c>
    </row>
    <row r="32" spans="1:12" ht="24" customHeight="1" x14ac:dyDescent="0.2">
      <c r="A32" s="521"/>
      <c r="B32" s="801" t="s">
        <v>192</v>
      </c>
      <c r="C32" s="802"/>
      <c r="D32" s="522"/>
      <c r="E32" s="523"/>
      <c r="F32" s="524"/>
      <c r="G32" s="525"/>
      <c r="H32" s="526"/>
      <c r="I32" s="527"/>
      <c r="J32" s="289"/>
      <c r="K32" s="531" t="s">
        <v>193</v>
      </c>
      <c r="L32" s="532">
        <f ca="1">+L31-I33</f>
        <v>1597751301.5721028</v>
      </c>
    </row>
    <row r="33" spans="1:12" ht="30.6" customHeight="1" x14ac:dyDescent="0.2">
      <c r="A33" s="528">
        <v>4</v>
      </c>
      <c r="B33" s="789" t="s">
        <v>194</v>
      </c>
      <c r="C33" s="790"/>
      <c r="D33" s="279" t="s">
        <v>124</v>
      </c>
      <c r="E33" s="261"/>
      <c r="F33" s="262"/>
      <c r="G33" s="263"/>
      <c r="H33" s="286">
        <v>2.5000000000000001E-2</v>
      </c>
      <c r="I33" s="302"/>
      <c r="J33" s="289"/>
      <c r="K33" s="533" t="s">
        <v>195</v>
      </c>
      <c r="L33" s="534">
        <f>+L30*90%</f>
        <v>1548981578.7168164</v>
      </c>
    </row>
    <row r="34" spans="1:12" ht="13.35" customHeight="1" x14ac:dyDescent="0.2">
      <c r="A34" s="521"/>
      <c r="B34" s="801" t="s">
        <v>196</v>
      </c>
      <c r="C34" s="802"/>
      <c r="D34" s="522"/>
      <c r="E34" s="523"/>
      <c r="F34" s="524"/>
      <c r="G34" s="525"/>
      <c r="H34" s="526"/>
      <c r="I34" s="527"/>
      <c r="J34" s="289"/>
      <c r="K34" s="529" t="s">
        <v>197</v>
      </c>
      <c r="L34" s="530">
        <f>+L30*10%</f>
        <v>172109064.3018685</v>
      </c>
    </row>
    <row r="35" spans="1:12" x14ac:dyDescent="0.2">
      <c r="A35" s="301">
        <v>4.0999999999999996</v>
      </c>
      <c r="B35" s="772" t="s">
        <v>198</v>
      </c>
      <c r="C35" s="772"/>
      <c r="D35" s="257" t="s">
        <v>124</v>
      </c>
      <c r="E35" s="270"/>
      <c r="F35" s="257"/>
      <c r="G35" s="258"/>
      <c r="H35" s="285">
        <v>0.05</v>
      </c>
      <c r="I35" s="302">
        <f ca="1">+H35*($L$31)</f>
        <v>79887565.078605145</v>
      </c>
      <c r="J35" s="289"/>
      <c r="L35" s="179"/>
    </row>
    <row r="36" spans="1:12" ht="16.5" customHeight="1" x14ac:dyDescent="0.2">
      <c r="A36" s="301">
        <v>4.2</v>
      </c>
      <c r="B36" s="772" t="s">
        <v>199</v>
      </c>
      <c r="C36" s="772"/>
      <c r="D36" s="279" t="s">
        <v>124</v>
      </c>
      <c r="E36" s="261"/>
      <c r="F36" s="262"/>
      <c r="G36" s="263"/>
      <c r="H36" s="286">
        <v>0.04</v>
      </c>
      <c r="I36" s="302">
        <f t="shared" ref="I36:I39" ca="1" si="2">+H36*($L$31)</f>
        <v>63910052.062884115</v>
      </c>
    </row>
    <row r="37" spans="1:12" ht="16.5" customHeight="1" x14ac:dyDescent="0.2">
      <c r="A37" s="301">
        <v>4.3</v>
      </c>
      <c r="B37" s="772" t="s">
        <v>200</v>
      </c>
      <c r="C37" s="772"/>
      <c r="D37" s="279" t="s">
        <v>124</v>
      </c>
      <c r="E37" s="261"/>
      <c r="F37" s="262"/>
      <c r="G37" s="263"/>
      <c r="H37" s="286">
        <v>1.4999999999999999E-2</v>
      </c>
      <c r="I37" s="302">
        <f t="shared" ca="1" si="2"/>
        <v>23966269.523581542</v>
      </c>
    </row>
    <row r="38" spans="1:12" ht="16.5" customHeight="1" x14ac:dyDescent="0.2">
      <c r="A38" s="301">
        <v>4.5</v>
      </c>
      <c r="B38" s="772" t="s">
        <v>201</v>
      </c>
      <c r="C38" s="772"/>
      <c r="D38" s="279" t="s">
        <v>124</v>
      </c>
      <c r="E38" s="261"/>
      <c r="F38" s="262"/>
      <c r="G38" s="263"/>
      <c r="H38" s="286">
        <v>0.01</v>
      </c>
      <c r="I38" s="302">
        <f t="shared" ca="1" si="2"/>
        <v>15977513.015721029</v>
      </c>
    </row>
    <row r="39" spans="1:12" ht="16.5" customHeight="1" x14ac:dyDescent="0.2">
      <c r="A39" s="301">
        <v>4.5999999999999996</v>
      </c>
      <c r="B39" s="772" t="s">
        <v>202</v>
      </c>
      <c r="C39" s="772"/>
      <c r="D39" s="279" t="str">
        <f>+D38</f>
        <v>%</v>
      </c>
      <c r="E39" s="261"/>
      <c r="F39" s="262"/>
      <c r="G39" s="263"/>
      <c r="H39" s="286">
        <v>0.02</v>
      </c>
      <c r="I39" s="302">
        <f t="shared" ca="1" si="2"/>
        <v>31955026.031442057</v>
      </c>
    </row>
    <row r="40" spans="1:12" ht="16.5" customHeight="1" x14ac:dyDescent="0.2">
      <c r="A40" s="303"/>
      <c r="B40" s="774"/>
      <c r="C40" s="775"/>
      <c r="D40" s="262"/>
      <c r="E40" s="261"/>
      <c r="F40" s="262"/>
      <c r="G40" s="263"/>
      <c r="H40" s="287"/>
      <c r="I40" s="302"/>
    </row>
    <row r="41" spans="1:12" x14ac:dyDescent="0.2">
      <c r="A41" s="305" t="s">
        <v>203</v>
      </c>
      <c r="B41" s="773" t="s">
        <v>204</v>
      </c>
      <c r="C41" s="773"/>
      <c r="D41" s="265" t="s">
        <v>23</v>
      </c>
      <c r="E41" s="266"/>
      <c r="F41" s="267"/>
      <c r="G41" s="268"/>
      <c r="H41" s="288"/>
      <c r="I41" s="306"/>
    </row>
    <row r="42" spans="1:12" x14ac:dyDescent="0.2">
      <c r="A42" s="309">
        <v>5.0999999999999996</v>
      </c>
      <c r="B42" s="772" t="s">
        <v>205</v>
      </c>
      <c r="C42" s="772"/>
      <c r="D42" s="257"/>
      <c r="E42" s="257"/>
      <c r="F42" s="257"/>
      <c r="G42" s="258"/>
      <c r="H42" s="259"/>
      <c r="I42" s="302">
        <f ca="1">+'PÓLIZAS OBRA'!I37</f>
        <v>8864643.5188341029</v>
      </c>
      <c r="J42" s="289"/>
    </row>
    <row r="43" spans="1:12" x14ac:dyDescent="0.2">
      <c r="A43" s="309"/>
      <c r="B43" s="772"/>
      <c r="C43" s="772"/>
      <c r="D43" s="257"/>
      <c r="E43" s="257"/>
      <c r="F43" s="257"/>
      <c r="G43" s="258"/>
      <c r="H43" s="259"/>
      <c r="I43" s="302"/>
    </row>
    <row r="44" spans="1:12" x14ac:dyDescent="0.2">
      <c r="A44" s="309"/>
      <c r="B44" s="772"/>
      <c r="C44" s="772"/>
      <c r="D44" s="257"/>
      <c r="E44" s="257"/>
      <c r="F44" s="257"/>
      <c r="G44" s="258"/>
      <c r="H44" s="259"/>
      <c r="I44" s="302"/>
    </row>
    <row r="45" spans="1:12" x14ac:dyDescent="0.2">
      <c r="A45" s="309"/>
      <c r="B45" s="772"/>
      <c r="C45" s="772"/>
      <c r="D45" s="257"/>
      <c r="E45" s="257"/>
      <c r="F45" s="257"/>
      <c r="G45" s="258"/>
      <c r="H45" s="259"/>
      <c r="I45" s="302"/>
    </row>
    <row r="46" spans="1:12" x14ac:dyDescent="0.2">
      <c r="A46" s="310"/>
      <c r="B46" s="786"/>
      <c r="C46" s="786"/>
      <c r="D46" s="311"/>
      <c r="E46" s="311"/>
      <c r="F46" s="311"/>
      <c r="G46" s="312"/>
      <c r="H46" s="313"/>
      <c r="I46" s="314"/>
    </row>
    <row r="47" spans="1:12" ht="15" customHeight="1" x14ac:dyDescent="0.2">
      <c r="A47" s="290"/>
      <c r="B47" s="291"/>
      <c r="C47" s="291"/>
      <c r="D47" s="292"/>
      <c r="E47" s="293"/>
      <c r="F47" s="791" t="s">
        <v>206</v>
      </c>
      <c r="G47" s="792"/>
      <c r="H47" s="321">
        <f ca="1">+I47/I8</f>
        <v>0.26123856713089605</v>
      </c>
      <c r="I47" s="295">
        <f ca="1">SUM(I13:I46)</f>
        <v>314354929.23106802</v>
      </c>
      <c r="J47" s="289"/>
      <c r="K47" s="294"/>
    </row>
    <row r="48" spans="1:12" ht="14.45" hidden="1" customHeight="1" x14ac:dyDescent="0.2">
      <c r="A48" s="163"/>
      <c r="B48" s="163"/>
      <c r="C48" s="163"/>
      <c r="D48" s="163"/>
      <c r="E48" s="163"/>
      <c r="F48" s="793" t="s">
        <v>207</v>
      </c>
      <c r="G48" s="794"/>
      <c r="H48" s="181"/>
      <c r="I48" s="652">
        <v>0</v>
      </c>
    </row>
    <row r="49" spans="1:10" ht="14.45" customHeight="1" x14ac:dyDescent="0.2">
      <c r="A49" s="163"/>
      <c r="B49" s="163"/>
      <c r="C49" s="163"/>
      <c r="D49" s="163"/>
      <c r="E49" s="163"/>
      <c r="F49" s="793" t="s">
        <v>208</v>
      </c>
      <c r="G49" s="794"/>
      <c r="H49" s="654">
        <v>0.05</v>
      </c>
      <c r="I49" s="653">
        <f>+H49*PPTO!G98</f>
        <v>60166255.825763576</v>
      </c>
      <c r="J49" s="289"/>
    </row>
    <row r="50" spans="1:10" x14ac:dyDescent="0.2">
      <c r="A50" s="163"/>
      <c r="B50" s="163"/>
      <c r="C50" s="163"/>
      <c r="D50" s="163"/>
      <c r="E50" s="185"/>
      <c r="F50" s="163"/>
      <c r="G50" s="163"/>
      <c r="H50" s="163"/>
      <c r="I50" s="163"/>
    </row>
    <row r="51" spans="1:10" x14ac:dyDescent="0.2">
      <c r="A51" s="163"/>
      <c r="B51" s="186"/>
      <c r="C51" s="163"/>
      <c r="D51" s="163"/>
      <c r="E51" s="185"/>
      <c r="F51" s="163"/>
      <c r="G51" s="163"/>
      <c r="H51" s="163"/>
      <c r="I51" s="163"/>
    </row>
    <row r="52" spans="1:10" x14ac:dyDescent="0.2">
      <c r="A52" s="163"/>
      <c r="B52" s="186"/>
      <c r="C52" s="163" t="s">
        <v>133</v>
      </c>
      <c r="D52" s="163"/>
      <c r="E52" s="185"/>
      <c r="F52" s="163"/>
      <c r="G52" s="163"/>
      <c r="H52" s="163"/>
      <c r="I52" s="163"/>
    </row>
    <row r="53" spans="1:10" x14ac:dyDescent="0.2">
      <c r="A53" s="163"/>
      <c r="B53" s="187" t="s">
        <v>134</v>
      </c>
      <c r="C53" s="782" t="s">
        <v>135</v>
      </c>
      <c r="D53" s="782"/>
      <c r="E53" s="185"/>
      <c r="F53" s="163"/>
      <c r="G53" s="163"/>
      <c r="H53" s="163"/>
      <c r="I53" s="163"/>
    </row>
    <row r="54" spans="1:10" x14ac:dyDescent="0.2">
      <c r="A54" s="163"/>
      <c r="B54" s="188" t="s">
        <v>136</v>
      </c>
      <c r="C54" s="163" t="s">
        <v>137</v>
      </c>
      <c r="D54" s="163"/>
      <c r="E54" s="185"/>
      <c r="F54" s="163"/>
      <c r="G54" s="163"/>
      <c r="H54" s="163"/>
      <c r="I54" s="163"/>
    </row>
    <row r="55" spans="1:10" x14ac:dyDescent="0.2">
      <c r="A55" s="163"/>
      <c r="B55" s="188" t="s">
        <v>138</v>
      </c>
      <c r="C55" s="783" t="s">
        <v>139</v>
      </c>
      <c r="D55" s="784"/>
      <c r="E55" s="185"/>
      <c r="F55" s="163"/>
      <c r="G55" s="163"/>
      <c r="H55" s="163"/>
      <c r="I55" s="163"/>
    </row>
    <row r="56" spans="1:10" x14ac:dyDescent="0.2">
      <c r="A56" s="163"/>
      <c r="B56" s="188" t="s">
        <v>140</v>
      </c>
      <c r="C56" s="357">
        <v>3147222958</v>
      </c>
      <c r="D56" s="163"/>
      <c r="E56" s="185"/>
      <c r="F56" s="163"/>
      <c r="G56" s="163"/>
      <c r="H56" s="163"/>
      <c r="I56" s="163"/>
    </row>
    <row r="57" spans="1:10" x14ac:dyDescent="0.2">
      <c r="A57" s="163"/>
      <c r="B57" s="163"/>
      <c r="C57" s="163"/>
      <c r="D57" s="163"/>
      <c r="E57" s="163"/>
      <c r="F57" s="163"/>
      <c r="G57" s="163"/>
      <c r="H57" s="163"/>
      <c r="I57" s="163"/>
    </row>
    <row r="58" spans="1:10" x14ac:dyDescent="0.2">
      <c r="A58" s="163"/>
      <c r="B58" s="163"/>
      <c r="C58" s="163"/>
      <c r="D58" s="163"/>
      <c r="E58" s="163"/>
      <c r="F58" s="163"/>
      <c r="G58" s="163"/>
      <c r="H58" s="163"/>
      <c r="I58" s="163"/>
    </row>
    <row r="59" spans="1:10" x14ac:dyDescent="0.2">
      <c r="A59" s="163"/>
      <c r="B59" s="163"/>
      <c r="C59" s="163"/>
      <c r="D59" s="163"/>
      <c r="E59" s="163"/>
      <c r="F59" s="163"/>
      <c r="G59" s="163"/>
      <c r="H59" s="163"/>
      <c r="I59" s="163"/>
    </row>
    <row r="60" spans="1:10" x14ac:dyDescent="0.2">
      <c r="A60" s="163"/>
      <c r="B60" s="163"/>
      <c r="C60" s="163"/>
      <c r="D60" s="163"/>
      <c r="E60" s="163"/>
      <c r="F60" s="163"/>
      <c r="G60" s="163"/>
      <c r="H60" s="163"/>
      <c r="I60" s="163"/>
    </row>
    <row r="61" spans="1:10" x14ac:dyDescent="0.2">
      <c r="A61" s="163"/>
      <c r="B61" s="163"/>
      <c r="C61" s="163"/>
      <c r="D61" s="163"/>
      <c r="E61" s="163"/>
      <c r="F61" s="163"/>
      <c r="G61" s="163"/>
      <c r="H61" s="163"/>
      <c r="I61" s="163"/>
    </row>
    <row r="62" spans="1:10" x14ac:dyDescent="0.2">
      <c r="A62" s="163"/>
      <c r="B62" s="163"/>
      <c r="C62" s="163"/>
      <c r="D62" s="163"/>
      <c r="E62" s="163"/>
      <c r="F62" s="163"/>
      <c r="G62" s="163"/>
      <c r="H62" s="163"/>
      <c r="I62" s="163"/>
    </row>
    <row r="63" spans="1:10" x14ac:dyDescent="0.2">
      <c r="A63" s="163"/>
      <c r="B63" s="163"/>
      <c r="C63" s="163"/>
      <c r="D63" s="163"/>
      <c r="E63" s="163"/>
      <c r="F63" s="163"/>
      <c r="G63" s="163"/>
      <c r="H63" s="163"/>
      <c r="I63" s="163"/>
    </row>
    <row r="64" spans="1:10" x14ac:dyDescent="0.2">
      <c r="A64" s="163"/>
      <c r="B64" s="163"/>
      <c r="C64" s="163"/>
      <c r="D64" s="163"/>
      <c r="E64" s="163"/>
      <c r="F64" s="163"/>
      <c r="G64" s="163"/>
      <c r="H64" s="163"/>
      <c r="I64" s="163"/>
    </row>
    <row r="65" spans="1:9" x14ac:dyDescent="0.2">
      <c r="A65" s="163"/>
      <c r="B65" s="163"/>
      <c r="C65" s="163"/>
      <c r="D65" s="163"/>
      <c r="E65" s="163"/>
      <c r="F65" s="163"/>
      <c r="G65" s="163"/>
      <c r="H65" s="163"/>
      <c r="I65" s="163"/>
    </row>
  </sheetData>
  <mergeCells count="47">
    <mergeCell ref="F48:G48"/>
    <mergeCell ref="F49:G49"/>
    <mergeCell ref="B39:C39"/>
    <mergeCell ref="G8:H8"/>
    <mergeCell ref="G9:H9"/>
    <mergeCell ref="G10:H10"/>
    <mergeCell ref="G11:H11"/>
    <mergeCell ref="B35:C35"/>
    <mergeCell ref="B32:C32"/>
    <mergeCell ref="B34:C34"/>
    <mergeCell ref="B14:C14"/>
    <mergeCell ref="B15:C15"/>
    <mergeCell ref="B16:C16"/>
    <mergeCell ref="B17:C17"/>
    <mergeCell ref="A8:F11"/>
    <mergeCell ref="C53:D53"/>
    <mergeCell ref="C55:D55"/>
    <mergeCell ref="B4:H4"/>
    <mergeCell ref="B45:C45"/>
    <mergeCell ref="B46:C46"/>
    <mergeCell ref="B43:C43"/>
    <mergeCell ref="B44:C44"/>
    <mergeCell ref="B30:C30"/>
    <mergeCell ref="B33:C33"/>
    <mergeCell ref="B36:C36"/>
    <mergeCell ref="B37:C37"/>
    <mergeCell ref="B27:C27"/>
    <mergeCell ref="B28:C28"/>
    <mergeCell ref="B23:C23"/>
    <mergeCell ref="B22:C22"/>
    <mergeCell ref="F47:G47"/>
    <mergeCell ref="B3:H3"/>
    <mergeCell ref="B38:C38"/>
    <mergeCell ref="B41:C41"/>
    <mergeCell ref="B42:C42"/>
    <mergeCell ref="B31:C31"/>
    <mergeCell ref="B40:C40"/>
    <mergeCell ref="B21:C21"/>
    <mergeCell ref="B29:C29"/>
    <mergeCell ref="B18:C18"/>
    <mergeCell ref="B19:C19"/>
    <mergeCell ref="B20:C20"/>
    <mergeCell ref="B24:C24"/>
    <mergeCell ref="B26:C26"/>
    <mergeCell ref="B25:C25"/>
    <mergeCell ref="B12:C12"/>
    <mergeCell ref="B13:C13"/>
  </mergeCells>
  <phoneticPr fontId="4" type="noConversion"/>
  <hyperlinks>
    <hyperlink ref="C55" r:id="rId1" xr:uid="{9C798EF1-8B0E-4763-9812-BBF80AAEBE10}"/>
  </hyperlinks>
  <pageMargins left="0.7" right="0.7" top="0.75" bottom="0.75" header="0.3" footer="0.3"/>
  <pageSetup scale="44" orientation="portrait" r:id="rId2"/>
  <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2B8637-5542-4C39-8C3F-8266FD5F7CFA}">
  <sheetPr>
    <tabColor rgb="FFD4ECBA"/>
    <pageSetUpPr fitToPage="1"/>
  </sheetPr>
  <dimension ref="A1:AH998"/>
  <sheetViews>
    <sheetView showGridLines="0" topLeftCell="A35" zoomScale="88" workbookViewId="0">
      <selection activeCell="A17" sqref="A17"/>
    </sheetView>
  </sheetViews>
  <sheetFormatPr baseColWidth="10" defaultColWidth="14.375" defaultRowHeight="15" customHeight="1" x14ac:dyDescent="0.2"/>
  <cols>
    <col min="1" max="1" width="30.375" style="536" customWidth="1"/>
    <col min="2" max="3" width="16.375" style="536" customWidth="1"/>
    <col min="4" max="4" width="12.75" style="536" customWidth="1"/>
    <col min="5" max="5" width="11.75" style="536" customWidth="1"/>
    <col min="6" max="6" width="7.625" style="536" customWidth="1"/>
    <col min="7" max="7" width="7" style="536" customWidth="1"/>
    <col min="8" max="9" width="13.625" style="536" customWidth="1"/>
    <col min="10" max="10" width="5.75" style="537" customWidth="1"/>
    <col min="11" max="11" width="14.375" style="537" hidden="1" customWidth="1"/>
    <col min="12" max="12" width="11.375" style="536" hidden="1" customWidth="1"/>
    <col min="13" max="13" width="12.625" style="537" hidden="1" customWidth="1"/>
    <col min="14" max="26" width="11.375" style="537" hidden="1" customWidth="1"/>
    <col min="27" max="27" width="11.375" style="536" hidden="1" customWidth="1"/>
    <col min="28" max="28" width="15.375" style="536" hidden="1" customWidth="1"/>
    <col min="29" max="29" width="11.375" style="536" hidden="1" customWidth="1"/>
    <col min="30" max="30" width="15.375" style="536" hidden="1" customWidth="1"/>
    <col min="31" max="31" width="13.375" style="536" hidden="1" customWidth="1"/>
    <col min="32" max="33" width="11.375" style="536" hidden="1" customWidth="1"/>
    <col min="34" max="16384" width="14.375" style="536"/>
  </cols>
  <sheetData>
    <row r="1" spans="1:33" ht="11.25" customHeight="1" thickBot="1" x14ac:dyDescent="0.25">
      <c r="A1" s="826" t="s">
        <v>209</v>
      </c>
      <c r="B1" s="806"/>
      <c r="C1" s="806"/>
      <c r="D1" s="806"/>
      <c r="E1" s="806"/>
      <c r="F1" s="806"/>
      <c r="G1" s="806"/>
      <c r="H1" s="806"/>
      <c r="I1" s="806"/>
      <c r="L1" s="537"/>
      <c r="AA1" s="538" t="s">
        <v>210</v>
      </c>
      <c r="AB1" s="539"/>
      <c r="AC1" s="539"/>
      <c r="AD1" s="539"/>
      <c r="AE1" s="539"/>
      <c r="AF1" s="539"/>
      <c r="AG1" s="537"/>
    </row>
    <row r="2" spans="1:33" ht="11.25" customHeight="1" thickBot="1" x14ac:dyDescent="0.25">
      <c r="A2" s="537"/>
      <c r="B2" s="540"/>
      <c r="C2" s="827" t="s">
        <v>211</v>
      </c>
      <c r="D2" s="828"/>
      <c r="E2" s="829"/>
      <c r="F2" s="540"/>
      <c r="G2" s="540"/>
      <c r="H2" s="540"/>
      <c r="I2" s="540"/>
      <c r="L2" s="537"/>
      <c r="AA2" s="541" t="s">
        <v>211</v>
      </c>
      <c r="AB2" s="539"/>
      <c r="AC2" s="539"/>
      <c r="AD2" s="539"/>
      <c r="AE2" s="539"/>
      <c r="AF2" s="539"/>
      <c r="AG2" s="537"/>
    </row>
    <row r="3" spans="1:33" ht="10.5" customHeight="1" x14ac:dyDescent="0.2">
      <c r="A3" s="826"/>
      <c r="B3" s="806"/>
      <c r="C3" s="806"/>
      <c r="D3" s="806"/>
      <c r="E3" s="806"/>
      <c r="F3" s="806"/>
      <c r="G3" s="806"/>
      <c r="H3" s="806"/>
      <c r="I3" s="806"/>
      <c r="L3" s="537"/>
      <c r="AA3" s="541" t="s">
        <v>212</v>
      </c>
      <c r="AB3" s="539"/>
      <c r="AC3" s="539"/>
      <c r="AD3" s="539"/>
      <c r="AE3" s="539"/>
      <c r="AF3" s="539"/>
      <c r="AG3" s="537"/>
    </row>
    <row r="4" spans="1:33" ht="10.5" customHeight="1" x14ac:dyDescent="0.2">
      <c r="A4" s="542"/>
      <c r="B4" s="543"/>
      <c r="C4" s="537"/>
      <c r="D4" s="537"/>
      <c r="E4" s="537"/>
      <c r="F4" s="537"/>
      <c r="G4" s="537"/>
      <c r="H4" s="537"/>
      <c r="I4" s="537"/>
      <c r="L4" s="537"/>
      <c r="AA4" s="541"/>
      <c r="AB4" s="539"/>
      <c r="AC4" s="539"/>
      <c r="AD4" s="539"/>
      <c r="AE4" s="539"/>
      <c r="AF4" s="539"/>
      <c r="AG4" s="537"/>
    </row>
    <row r="5" spans="1:33" ht="10.5" customHeight="1" x14ac:dyDescent="0.2">
      <c r="A5" s="544" t="s">
        <v>213</v>
      </c>
      <c r="B5" s="825"/>
      <c r="C5" s="806"/>
      <c r="D5" s="806"/>
      <c r="E5" s="537"/>
      <c r="F5" s="537"/>
      <c r="G5" s="537"/>
      <c r="H5" s="537"/>
      <c r="I5" s="537"/>
      <c r="L5" s="537"/>
      <c r="AA5" s="539"/>
      <c r="AB5" s="539"/>
      <c r="AC5" s="539"/>
      <c r="AD5" s="539"/>
      <c r="AE5" s="539"/>
      <c r="AF5" s="539"/>
      <c r="AG5" s="537"/>
    </row>
    <row r="6" spans="1:33" ht="25.5" customHeight="1" x14ac:dyDescent="0.2">
      <c r="A6" s="544" t="s">
        <v>214</v>
      </c>
      <c r="B6" s="830" t="s">
        <v>215</v>
      </c>
      <c r="C6" s="831"/>
      <c r="D6" s="831"/>
      <c r="E6" s="831"/>
      <c r="F6" s="537"/>
      <c r="G6" s="537"/>
      <c r="H6" s="537"/>
      <c r="I6" s="537"/>
      <c r="L6" s="537"/>
      <c r="AA6" s="539"/>
      <c r="AB6" s="539"/>
      <c r="AC6" s="539"/>
      <c r="AD6" s="539"/>
      <c r="AE6" s="539"/>
      <c r="AF6" s="539"/>
      <c r="AG6" s="537"/>
    </row>
    <row r="7" spans="1:33" ht="10.5" customHeight="1" x14ac:dyDescent="0.2">
      <c r="A7" s="544" t="s">
        <v>216</v>
      </c>
      <c r="B7" s="825">
        <v>900348805</v>
      </c>
      <c r="C7" s="806"/>
      <c r="D7" s="806"/>
      <c r="E7" s="537"/>
      <c r="F7" s="537"/>
      <c r="G7" s="537"/>
      <c r="H7" s="537"/>
      <c r="I7" s="537"/>
      <c r="L7" s="537"/>
      <c r="AA7" s="539"/>
      <c r="AB7" s="539"/>
      <c r="AC7" s="539"/>
      <c r="AD7" s="539"/>
      <c r="AE7" s="539"/>
      <c r="AF7" s="539"/>
      <c r="AG7" s="537"/>
    </row>
    <row r="8" spans="1:33" ht="10.5" customHeight="1" x14ac:dyDescent="0.2">
      <c r="A8" s="544" t="s">
        <v>217</v>
      </c>
      <c r="B8" s="813" t="s">
        <v>218</v>
      </c>
      <c r="C8" s="806"/>
      <c r="D8" s="806"/>
      <c r="E8" s="806"/>
      <c r="F8" s="806"/>
      <c r="G8" s="537"/>
      <c r="H8" s="537"/>
      <c r="I8" s="537"/>
      <c r="L8" s="537"/>
      <c r="AA8" s="539"/>
      <c r="AB8" s="539"/>
      <c r="AC8" s="539"/>
      <c r="AD8" s="539"/>
      <c r="AE8" s="539"/>
      <c r="AF8" s="539"/>
      <c r="AG8" s="537"/>
    </row>
    <row r="9" spans="1:33" ht="10.5" customHeight="1" x14ac:dyDescent="0.2">
      <c r="A9" s="544" t="s">
        <v>216</v>
      </c>
      <c r="B9" s="814" t="s">
        <v>219</v>
      </c>
      <c r="C9" s="806"/>
      <c r="D9" s="806"/>
      <c r="E9" s="537"/>
      <c r="F9" s="537"/>
      <c r="G9" s="537"/>
      <c r="H9" s="537"/>
      <c r="I9" s="537"/>
      <c r="L9" s="537"/>
      <c r="AA9" s="539"/>
      <c r="AB9" s="539"/>
      <c r="AC9" s="539"/>
      <c r="AD9" s="539"/>
      <c r="AE9" s="539"/>
      <c r="AF9" s="539"/>
      <c r="AG9" s="537"/>
    </row>
    <row r="10" spans="1:33" ht="10.5" customHeight="1" x14ac:dyDescent="0.2">
      <c r="A10" s="546"/>
      <c r="B10" s="546"/>
      <c r="C10" s="537"/>
      <c r="D10" s="537"/>
      <c r="E10" s="537"/>
      <c r="F10" s="537"/>
      <c r="G10" s="537"/>
      <c r="H10" s="537"/>
      <c r="I10" s="537"/>
      <c r="L10" s="537"/>
      <c r="AA10" s="539"/>
      <c r="AB10" s="539"/>
      <c r="AC10" s="539"/>
      <c r="AD10" s="539"/>
      <c r="AE10" s="539"/>
      <c r="AF10" s="539"/>
      <c r="AG10" s="537"/>
    </row>
    <row r="11" spans="1:33" ht="25.5" customHeight="1" x14ac:dyDescent="0.2">
      <c r="A11" s="544" t="s">
        <v>220</v>
      </c>
      <c r="B11" s="815"/>
      <c r="C11" s="806"/>
      <c r="D11" s="806"/>
      <c r="E11" s="806"/>
      <c r="F11" s="537"/>
      <c r="G11" s="537"/>
      <c r="H11" s="537"/>
      <c r="I11" s="537"/>
      <c r="L11" s="537"/>
      <c r="AA11" s="539"/>
      <c r="AB11" s="539"/>
      <c r="AC11" s="539"/>
      <c r="AD11" s="539"/>
      <c r="AE11" s="539"/>
      <c r="AF11" s="539"/>
      <c r="AG11" s="537"/>
    </row>
    <row r="12" spans="1:33" ht="10.5" customHeight="1" x14ac:dyDescent="0.2">
      <c r="A12" s="546"/>
      <c r="B12" s="546"/>
      <c r="C12" s="537"/>
      <c r="D12" s="537"/>
      <c r="E12" s="537"/>
      <c r="F12" s="537"/>
      <c r="G12" s="537"/>
      <c r="H12" s="537"/>
      <c r="I12" s="537"/>
      <c r="L12" s="537"/>
      <c r="AA12" s="539"/>
      <c r="AB12" s="539"/>
      <c r="AC12" s="539"/>
      <c r="AD12" s="539"/>
      <c r="AE12" s="539"/>
      <c r="AF12" s="539"/>
      <c r="AG12" s="537"/>
    </row>
    <row r="13" spans="1:33" ht="10.5" customHeight="1" x14ac:dyDescent="0.2">
      <c r="A13" s="547" t="s">
        <v>221</v>
      </c>
      <c r="B13" s="537"/>
      <c r="C13" s="537"/>
      <c r="D13" s="537"/>
      <c r="E13" s="537"/>
      <c r="F13" s="537"/>
      <c r="G13" s="537"/>
      <c r="H13" s="537"/>
      <c r="I13" s="537"/>
      <c r="L13" s="537"/>
      <c r="AA13" s="539"/>
      <c r="AB13" s="539"/>
      <c r="AC13" s="539"/>
      <c r="AD13" s="539"/>
      <c r="AE13" s="539"/>
      <c r="AF13" s="539"/>
      <c r="AG13" s="537"/>
    </row>
    <row r="14" spans="1:33" ht="23.1" customHeight="1" x14ac:dyDescent="0.2">
      <c r="A14" s="816" t="s">
        <v>0</v>
      </c>
      <c r="B14" s="817"/>
      <c r="C14" s="817"/>
      <c r="D14" s="817"/>
      <c r="E14" s="817"/>
      <c r="F14" s="817"/>
      <c r="G14" s="817"/>
      <c r="H14" s="817"/>
      <c r="I14" s="818"/>
      <c r="L14" s="537"/>
      <c r="AA14" s="539"/>
      <c r="AB14" s="539"/>
      <c r="AC14" s="539"/>
      <c r="AD14" s="539"/>
      <c r="AE14" s="539"/>
      <c r="AF14" s="539"/>
      <c r="AG14" s="537"/>
    </row>
    <row r="15" spans="1:33" ht="11.25" customHeight="1" thickBot="1" x14ac:dyDescent="0.25">
      <c r="A15" s="537" t="e" cm="1" vm="1">
        <f t="array" aca="1" ref="A15" ca="1">A15:I37</f>
        <v>#VALUE!</v>
      </c>
      <c r="B15" s="537"/>
      <c r="C15" s="537"/>
      <c r="D15" s="537"/>
      <c r="E15" s="537"/>
      <c r="F15" s="537"/>
      <c r="G15" s="537"/>
      <c r="H15" s="537"/>
      <c r="I15" s="537"/>
      <c r="L15" s="537"/>
      <c r="AA15" s="539"/>
      <c r="AB15" s="539"/>
      <c r="AC15" s="539"/>
      <c r="AD15" s="539"/>
      <c r="AE15" s="539"/>
      <c r="AF15" s="539"/>
      <c r="AG15" s="537"/>
    </row>
    <row r="16" spans="1:33" ht="11.25" customHeight="1" thickBot="1" x14ac:dyDescent="0.25">
      <c r="A16" s="548" t="s">
        <v>222</v>
      </c>
      <c r="B16" s="549" t="s">
        <v>223</v>
      </c>
      <c r="C16" s="550" t="s">
        <v>224</v>
      </c>
      <c r="D16" s="548" t="s">
        <v>225</v>
      </c>
      <c r="E16" s="548" t="s">
        <v>226</v>
      </c>
      <c r="F16" s="535"/>
      <c r="G16" s="537"/>
      <c r="H16" s="537"/>
      <c r="I16" s="537"/>
      <c r="L16" s="537"/>
      <c r="AA16" s="539"/>
      <c r="AB16" s="539"/>
      <c r="AC16" s="539"/>
      <c r="AD16" s="539"/>
      <c r="AE16" s="539"/>
      <c r="AF16" s="539"/>
      <c r="AG16" s="537"/>
    </row>
    <row r="17" spans="1:34" ht="11.25" customHeight="1" thickBot="1" x14ac:dyDescent="0.25">
      <c r="A17" s="551">
        <f ca="1">+PPTO!G104</f>
        <v>1597751301.5721028</v>
      </c>
      <c r="B17" s="552">
        <v>46249</v>
      </c>
      <c r="C17" s="553">
        <v>46433</v>
      </c>
      <c r="D17" s="554">
        <f>C17-B17</f>
        <v>184</v>
      </c>
      <c r="E17" s="554">
        <f>D17/30</f>
        <v>6.1333333333333337</v>
      </c>
      <c r="F17" s="555"/>
      <c r="G17" s="537"/>
      <c r="H17" s="537"/>
      <c r="I17" s="537"/>
      <c r="L17" s="537"/>
      <c r="AA17" s="539"/>
      <c r="AB17" s="539"/>
      <c r="AC17" s="539"/>
      <c r="AD17" s="539"/>
      <c r="AE17" s="539"/>
      <c r="AF17" s="539"/>
      <c r="AG17" s="537"/>
    </row>
    <row r="18" spans="1:34" ht="8.1" customHeight="1" thickBot="1" x14ac:dyDescent="0.25">
      <c r="A18" s="537"/>
      <c r="B18" s="556"/>
      <c r="C18" s="537"/>
      <c r="D18" s="555"/>
      <c r="E18" s="555"/>
      <c r="F18" s="555"/>
      <c r="G18" s="537"/>
      <c r="H18" s="537"/>
      <c r="I18" s="537"/>
      <c r="L18" s="537"/>
      <c r="AA18" s="539"/>
      <c r="AB18" s="539"/>
      <c r="AC18" s="539"/>
      <c r="AD18" s="539"/>
      <c r="AE18" s="539"/>
      <c r="AF18" s="539"/>
      <c r="AG18" s="537"/>
    </row>
    <row r="19" spans="1:34" ht="11.25" customHeight="1" thickBot="1" x14ac:dyDescent="0.25">
      <c r="A19" s="557" t="s">
        <v>227</v>
      </c>
      <c r="B19" s="558" t="s">
        <v>228</v>
      </c>
      <c r="C19" s="558" t="s">
        <v>229</v>
      </c>
      <c r="D19" s="558" t="s">
        <v>223</v>
      </c>
      <c r="E19" s="558" t="s">
        <v>224</v>
      </c>
      <c r="F19" s="558" t="s">
        <v>230</v>
      </c>
      <c r="G19" s="558" t="s">
        <v>231</v>
      </c>
      <c r="H19" s="558" t="s">
        <v>232</v>
      </c>
      <c r="I19" s="550" t="s">
        <v>233</v>
      </c>
      <c r="L19" s="537"/>
      <c r="AA19" s="539"/>
      <c r="AB19" s="539"/>
      <c r="AC19" s="539"/>
      <c r="AD19" s="539"/>
      <c r="AE19" s="539"/>
      <c r="AF19" s="539"/>
      <c r="AG19" s="537"/>
    </row>
    <row r="20" spans="1:34" ht="12.75" hidden="1" x14ac:dyDescent="0.2">
      <c r="A20" s="559" t="s">
        <v>234</v>
      </c>
      <c r="B20" s="560">
        <v>0.1</v>
      </c>
      <c r="C20" s="561">
        <f ca="1">+$A$17*B20</f>
        <v>159775130.15721029</v>
      </c>
      <c r="D20" s="562">
        <f>B17</f>
        <v>46249</v>
      </c>
      <c r="E20" s="563">
        <f>C17</f>
        <v>46433</v>
      </c>
      <c r="F20" s="564">
        <f t="shared" ref="F20:F25" si="0">+E20-D20</f>
        <v>184</v>
      </c>
      <c r="G20" s="565">
        <v>2E-3</v>
      </c>
      <c r="H20" s="566">
        <f t="shared" ref="H20:H25" ca="1" si="1">+(C20*G20)*F20/365</f>
        <v>161088.35040507777</v>
      </c>
      <c r="I20" s="567"/>
      <c r="L20" s="537"/>
      <c r="AA20" s="537"/>
      <c r="AB20" s="537"/>
      <c r="AC20" s="537"/>
      <c r="AD20" s="537"/>
      <c r="AE20" s="537"/>
      <c r="AF20" s="537"/>
      <c r="AG20" s="537"/>
      <c r="AH20" s="568">
        <f>I20*19%</f>
        <v>0</v>
      </c>
    </row>
    <row r="21" spans="1:34" ht="10.5" customHeight="1" x14ac:dyDescent="0.2">
      <c r="A21" s="569" t="s">
        <v>235</v>
      </c>
      <c r="B21" s="560">
        <v>0.2</v>
      </c>
      <c r="C21" s="561">
        <f ca="1">+$A$17*B21</f>
        <v>319550260.31442058</v>
      </c>
      <c r="D21" s="562">
        <f>B17</f>
        <v>46249</v>
      </c>
      <c r="E21" s="570">
        <v>46614</v>
      </c>
      <c r="F21" s="571">
        <f t="shared" si="0"/>
        <v>365</v>
      </c>
      <c r="G21" s="565">
        <v>2.2000000000000001E-3</v>
      </c>
      <c r="H21" s="566">
        <f t="shared" ca="1" si="1"/>
        <v>703010.57269172533</v>
      </c>
      <c r="I21" s="572">
        <f t="shared" ref="I21:I25" ca="1" si="2">IF(H21=0,0,IF(H21&lt;30000,30000,H21))</f>
        <v>703010.57269172533</v>
      </c>
      <c r="L21" s="537"/>
      <c r="AA21" s="537"/>
      <c r="AB21" s="537"/>
      <c r="AC21" s="537"/>
      <c r="AD21" s="537"/>
      <c r="AE21" s="537"/>
      <c r="AF21" s="537"/>
      <c r="AG21" s="537"/>
      <c r="AH21" s="568">
        <f>I20+AH20</f>
        <v>0</v>
      </c>
    </row>
    <row r="22" spans="1:34" ht="10.5" customHeight="1" x14ac:dyDescent="0.2">
      <c r="A22" s="573" t="s">
        <v>236</v>
      </c>
      <c r="B22" s="560">
        <v>0.4</v>
      </c>
      <c r="C22" s="561">
        <f ca="1">A17*B22</f>
        <v>639100520.62884116</v>
      </c>
      <c r="D22" s="562">
        <f>B17</f>
        <v>46249</v>
      </c>
      <c r="E22" s="570">
        <v>46614</v>
      </c>
      <c r="F22" s="571">
        <f t="shared" si="0"/>
        <v>365</v>
      </c>
      <c r="G22" s="565">
        <v>2.2000000000000001E-3</v>
      </c>
      <c r="H22" s="566">
        <f t="shared" ca="1" si="1"/>
        <v>1406021.1453834507</v>
      </c>
      <c r="I22" s="572">
        <f t="shared" ca="1" si="2"/>
        <v>1406021.1453834507</v>
      </c>
      <c r="L22" s="537"/>
      <c r="AA22" s="537"/>
      <c r="AB22" s="537"/>
      <c r="AC22" s="537"/>
      <c r="AD22" s="537"/>
      <c r="AE22" s="537"/>
      <c r="AF22" s="537"/>
      <c r="AG22" s="537"/>
    </row>
    <row r="23" spans="1:34" ht="10.5" customHeight="1" x14ac:dyDescent="0.2">
      <c r="A23" s="569" t="s">
        <v>237</v>
      </c>
      <c r="B23" s="560">
        <v>0.1</v>
      </c>
      <c r="C23" s="561">
        <f t="shared" ref="C23:C25" ca="1" si="3">+$A$17*B23</f>
        <v>159775130.15721029</v>
      </c>
      <c r="D23" s="562">
        <f>B17</f>
        <v>46249</v>
      </c>
      <c r="E23" s="562">
        <v>47529</v>
      </c>
      <c r="F23" s="571">
        <f t="shared" si="0"/>
        <v>1280</v>
      </c>
      <c r="G23" s="565">
        <v>2.0999999999999999E-3</v>
      </c>
      <c r="H23" s="566">
        <f t="shared" ca="1" si="1"/>
        <v>1176645.3420892637</v>
      </c>
      <c r="I23" s="572">
        <f t="shared" ca="1" si="2"/>
        <v>1176645.3420892637</v>
      </c>
      <c r="L23" s="537"/>
      <c r="AA23" s="537"/>
      <c r="AB23" s="537"/>
      <c r="AC23" s="537"/>
      <c r="AD23" s="537"/>
      <c r="AE23" s="537"/>
      <c r="AF23" s="537"/>
      <c r="AG23" s="537"/>
    </row>
    <row r="24" spans="1:34" ht="10.5" customHeight="1" thickBot="1" x14ac:dyDescent="0.25">
      <c r="A24" s="569" t="s">
        <v>238</v>
      </c>
      <c r="B24" s="560">
        <v>0.2</v>
      </c>
      <c r="C24" s="561">
        <f t="shared" ca="1" si="3"/>
        <v>319550260.31442058</v>
      </c>
      <c r="D24" s="562">
        <f>B17</f>
        <v>46249</v>
      </c>
      <c r="E24" s="562">
        <v>48259</v>
      </c>
      <c r="F24" s="571">
        <f t="shared" si="0"/>
        <v>2010</v>
      </c>
      <c r="G24" s="565">
        <v>2.1020000000000001E-3</v>
      </c>
      <c r="H24" s="566">
        <f t="shared" ca="1" si="1"/>
        <v>3698921.2077633785</v>
      </c>
      <c r="I24" s="572">
        <f t="shared" ca="1" si="2"/>
        <v>3698921.2077633785</v>
      </c>
      <c r="L24" s="542"/>
      <c r="AA24" s="537"/>
      <c r="AB24" s="537"/>
      <c r="AC24" s="537"/>
      <c r="AD24" s="537"/>
      <c r="AE24" s="537"/>
      <c r="AF24" s="537"/>
      <c r="AG24" s="537"/>
    </row>
    <row r="25" spans="1:34" ht="11.25" hidden="1" customHeight="1" x14ac:dyDescent="0.2">
      <c r="A25" s="574" t="s">
        <v>239</v>
      </c>
      <c r="B25" s="560"/>
      <c r="C25" s="561">
        <f t="shared" ca="1" si="3"/>
        <v>0</v>
      </c>
      <c r="D25" s="562">
        <f>B17</f>
        <v>46249</v>
      </c>
      <c r="E25" s="570">
        <v>46381</v>
      </c>
      <c r="F25" s="575">
        <f t="shared" si="0"/>
        <v>132</v>
      </c>
      <c r="G25" s="565">
        <v>3.0000000000000001E-3</v>
      </c>
      <c r="H25" s="566">
        <f t="shared" ca="1" si="1"/>
        <v>0</v>
      </c>
      <c r="I25" s="572">
        <f t="shared" ca="1" si="2"/>
        <v>0</v>
      </c>
      <c r="L25" s="537"/>
      <c r="AA25" s="537"/>
      <c r="AB25" s="537"/>
      <c r="AC25" s="537"/>
      <c r="AD25" s="537"/>
      <c r="AE25" s="537"/>
      <c r="AF25" s="537"/>
      <c r="AG25" s="537"/>
    </row>
    <row r="26" spans="1:34" ht="0.95" customHeight="1" x14ac:dyDescent="0.2">
      <c r="A26" s="537"/>
      <c r="B26" s="537"/>
      <c r="C26" s="543"/>
      <c r="D26" s="537"/>
      <c r="E26" s="537"/>
      <c r="F26" s="537"/>
      <c r="G26" s="819" t="s">
        <v>152</v>
      </c>
      <c r="H26" s="820"/>
      <c r="I26" s="576">
        <f ca="1">IF(SUM(I20:I25)&lt;=60000,60000,SUM(I20:I25))</f>
        <v>6984598.267927818</v>
      </c>
      <c r="L26" s="537"/>
      <c r="AA26" s="539"/>
      <c r="AB26" s="539"/>
      <c r="AC26" s="539"/>
      <c r="AD26" s="539"/>
      <c r="AE26" s="539"/>
      <c r="AF26" s="539"/>
      <c r="AG26" s="537"/>
    </row>
    <row r="27" spans="1:34" ht="0.95" customHeight="1" x14ac:dyDescent="0.2">
      <c r="A27" s="537"/>
      <c r="B27" s="577"/>
      <c r="C27" s="578">
        <f ca="1">SUM(C20:C25)</f>
        <v>1597751301.572103</v>
      </c>
      <c r="D27" s="537"/>
      <c r="E27" s="537"/>
      <c r="F27" s="537"/>
      <c r="G27" s="821" t="s">
        <v>240</v>
      </c>
      <c r="H27" s="822"/>
      <c r="I27" s="579">
        <v>11000</v>
      </c>
      <c r="L27" s="537"/>
      <c r="AA27" s="539"/>
      <c r="AB27" s="539"/>
      <c r="AC27" s="539"/>
      <c r="AD27" s="539"/>
      <c r="AE27" s="539"/>
      <c r="AF27" s="539"/>
      <c r="AG27" s="537"/>
    </row>
    <row r="28" spans="1:34" ht="12.95" customHeight="1" x14ac:dyDescent="0.2">
      <c r="A28" s="580" t="s">
        <v>241</v>
      </c>
      <c r="B28" s="537"/>
      <c r="C28" s="537"/>
      <c r="D28" s="537"/>
      <c r="E28" s="537"/>
      <c r="F28" s="537"/>
      <c r="G28" s="821" t="s">
        <v>241</v>
      </c>
      <c r="H28" s="822"/>
      <c r="I28" s="579">
        <f ca="1">(I26+I27)*19%</f>
        <v>1329163.6709062855</v>
      </c>
      <c r="L28" s="537"/>
      <c r="AA28" s="539"/>
      <c r="AB28" s="539"/>
      <c r="AC28" s="539"/>
      <c r="AD28" s="539"/>
      <c r="AE28" s="539"/>
      <c r="AF28" s="539"/>
      <c r="AG28" s="537"/>
    </row>
    <row r="29" spans="1:34" ht="11.25" customHeight="1" thickBot="1" x14ac:dyDescent="0.25">
      <c r="A29" s="537"/>
      <c r="B29" s="537"/>
      <c r="C29" s="537"/>
      <c r="D29" s="537"/>
      <c r="E29" s="537"/>
      <c r="F29" s="537"/>
      <c r="G29" s="823" t="s">
        <v>242</v>
      </c>
      <c r="H29" s="824"/>
      <c r="I29" s="582">
        <f ca="1">+I26+I27+I28</f>
        <v>8324761.9388341038</v>
      </c>
      <c r="L29" s="537"/>
      <c r="AA29" s="539"/>
      <c r="AB29" s="539"/>
      <c r="AC29" s="539"/>
      <c r="AD29" s="539"/>
      <c r="AE29" s="539"/>
      <c r="AF29" s="539"/>
      <c r="AG29" s="537"/>
    </row>
    <row r="30" spans="1:34" ht="11.25" customHeight="1" thickBot="1" x14ac:dyDescent="0.25">
      <c r="A30" s="537"/>
      <c r="B30" s="537"/>
      <c r="C30" s="537"/>
      <c r="D30" s="537"/>
      <c r="E30" s="537"/>
      <c r="F30" s="537"/>
      <c r="G30" s="537"/>
      <c r="H30" s="556"/>
      <c r="I30" s="537"/>
      <c r="L30" s="537"/>
      <c r="AA30" s="537"/>
      <c r="AB30" s="537"/>
      <c r="AC30" s="537"/>
      <c r="AD30" s="537"/>
      <c r="AE30" s="537"/>
      <c r="AF30" s="537"/>
      <c r="AG30" s="537"/>
    </row>
    <row r="31" spans="1:34" ht="11.25" customHeight="1" thickBot="1" x14ac:dyDescent="0.25">
      <c r="A31" s="557" t="s">
        <v>243</v>
      </c>
      <c r="B31" s="558" t="s">
        <v>228</v>
      </c>
      <c r="C31" s="558" t="s">
        <v>229</v>
      </c>
      <c r="D31" s="558" t="s">
        <v>223</v>
      </c>
      <c r="E31" s="558" t="s">
        <v>224</v>
      </c>
      <c r="F31" s="558" t="s">
        <v>230</v>
      </c>
      <c r="G31" s="558">
        <v>1</v>
      </c>
      <c r="H31" s="558" t="s">
        <v>232</v>
      </c>
      <c r="I31" s="550" t="s">
        <v>233</v>
      </c>
      <c r="L31" s="537"/>
      <c r="AA31" s="537"/>
      <c r="AB31" s="537"/>
      <c r="AC31" s="537"/>
      <c r="AD31" s="537"/>
      <c r="AE31" s="537"/>
      <c r="AF31" s="537"/>
      <c r="AG31" s="537"/>
    </row>
    <row r="32" spans="1:34" ht="11.25" customHeight="1" thickBot="1" x14ac:dyDescent="0.25">
      <c r="A32" s="583" t="s">
        <v>244</v>
      </c>
      <c r="B32" s="584"/>
      <c r="C32" s="561">
        <v>350181000</v>
      </c>
      <c r="D32" s="562">
        <f>B17</f>
        <v>46249</v>
      </c>
      <c r="E32" s="562">
        <f>C17</f>
        <v>46433</v>
      </c>
      <c r="F32" s="585">
        <f>+E32-D32</f>
        <v>184</v>
      </c>
      <c r="G32" s="586">
        <v>2.5000000000000001E-3</v>
      </c>
      <c r="H32" s="587">
        <f>+(C32*G32)*F32/365</f>
        <v>441324</v>
      </c>
      <c r="I32" s="588">
        <f>IF(H32=0,0,IF(H32&lt;50000,50000,H32))</f>
        <v>441324</v>
      </c>
      <c r="L32" s="537"/>
      <c r="AA32" s="539"/>
      <c r="AB32" s="539"/>
      <c r="AC32" s="539"/>
      <c r="AD32" s="539"/>
      <c r="AE32" s="539"/>
      <c r="AF32" s="539"/>
      <c r="AG32" s="537"/>
    </row>
    <row r="33" spans="1:33" ht="11.25" customHeight="1" thickBot="1" x14ac:dyDescent="0.25">
      <c r="A33" s="537"/>
      <c r="B33" s="537"/>
      <c r="C33" s="537"/>
      <c r="D33" s="537"/>
      <c r="E33" s="537"/>
      <c r="F33" s="537"/>
      <c r="G33" s="819" t="s">
        <v>152</v>
      </c>
      <c r="H33" s="820"/>
      <c r="I33" s="576">
        <f>+I32</f>
        <v>441324</v>
      </c>
      <c r="L33" s="537"/>
      <c r="AA33" s="539"/>
      <c r="AB33" s="539"/>
      <c r="AC33" s="539"/>
      <c r="AD33" s="539"/>
      <c r="AE33" s="539"/>
      <c r="AF33" s="539"/>
      <c r="AG33" s="537"/>
    </row>
    <row r="34" spans="1:33" ht="11.25" customHeight="1" thickBot="1" x14ac:dyDescent="0.25">
      <c r="A34" s="589" t="s">
        <v>245</v>
      </c>
      <c r="B34" s="590" t="str">
        <f>IF(C32&lt;=10000000,"10% mínimo 1 SMMLV",IF(AND(C32&gt;10000000,C32&lt;=30000000),"10% mínimo 2 SMMLV",IF(AND(C32&gt;30000000,C32&lt;=50000000),"10% mínimo 3 SMMLV","15% mínimo 3 SMMLV")))</f>
        <v>15% mínimo 3 SMMLV</v>
      </c>
      <c r="C34" s="591"/>
      <c r="D34" s="537"/>
      <c r="E34" s="537"/>
      <c r="F34" s="537"/>
      <c r="G34" s="592" t="s">
        <v>246</v>
      </c>
      <c r="H34" s="593"/>
      <c r="I34" s="594">
        <v>12358</v>
      </c>
      <c r="L34" s="537"/>
      <c r="AA34" s="539"/>
      <c r="AB34" s="539"/>
      <c r="AC34" s="539"/>
      <c r="AD34" s="539"/>
      <c r="AE34" s="539"/>
      <c r="AF34" s="539"/>
      <c r="AG34" s="537"/>
    </row>
    <row r="35" spans="1:33" ht="10.5" customHeight="1" x14ac:dyDescent="0.2">
      <c r="A35" s="537"/>
      <c r="B35" s="537"/>
      <c r="C35" s="537"/>
      <c r="D35" s="537"/>
      <c r="E35" s="537"/>
      <c r="F35" s="537"/>
      <c r="G35" s="821" t="s">
        <v>241</v>
      </c>
      <c r="H35" s="822"/>
      <c r="I35" s="579">
        <f>(I33+I34)*19%</f>
        <v>86199.58</v>
      </c>
      <c r="L35" s="537"/>
      <c r="AA35" s="539"/>
      <c r="AB35" s="539"/>
      <c r="AC35" s="539"/>
      <c r="AD35" s="539"/>
      <c r="AE35" s="539"/>
      <c r="AF35" s="539"/>
      <c r="AG35" s="537"/>
    </row>
    <row r="36" spans="1:33" ht="11.25" customHeight="1" thickBot="1" x14ac:dyDescent="0.25">
      <c r="A36" s="537"/>
      <c r="B36" s="537"/>
      <c r="C36" s="537"/>
      <c r="D36" s="537"/>
      <c r="E36" s="537"/>
      <c r="F36" s="537"/>
      <c r="G36" s="823" t="s">
        <v>242</v>
      </c>
      <c r="H36" s="824"/>
      <c r="I36" s="582">
        <f>+I33+I35+I34</f>
        <v>539881.57999999996</v>
      </c>
      <c r="L36" s="537"/>
      <c r="AA36" s="539"/>
      <c r="AB36" s="539"/>
      <c r="AC36" s="539"/>
      <c r="AD36" s="539"/>
      <c r="AE36" s="539"/>
      <c r="AF36" s="539"/>
      <c r="AG36" s="537"/>
    </row>
    <row r="37" spans="1:33" ht="11.25" customHeight="1" thickBot="1" x14ac:dyDescent="0.25">
      <c r="A37" s="595"/>
      <c r="B37" s="537"/>
      <c r="C37" s="537"/>
      <c r="D37" s="537"/>
      <c r="E37" s="537"/>
      <c r="F37" s="537"/>
      <c r="G37" s="537"/>
      <c r="H37" s="537"/>
      <c r="I37" s="596">
        <f ca="1">I29+I36</f>
        <v>8864643.5188341029</v>
      </c>
      <c r="L37" s="537"/>
      <c r="AA37" s="539"/>
      <c r="AB37" s="539"/>
      <c r="AC37" s="539"/>
      <c r="AD37" s="539"/>
      <c r="AE37" s="539"/>
      <c r="AF37" s="539"/>
      <c r="AG37" s="537"/>
    </row>
    <row r="38" spans="1:33" ht="11.25" customHeight="1" thickBot="1" x14ac:dyDescent="0.25">
      <c r="A38" s="595"/>
      <c r="B38" s="537"/>
      <c r="C38" s="537"/>
      <c r="D38" s="537"/>
      <c r="E38" s="537"/>
      <c r="F38" s="537"/>
      <c r="G38" s="537"/>
      <c r="H38" s="537"/>
      <c r="I38" s="556"/>
      <c r="L38" s="537"/>
      <c r="AA38" s="539"/>
      <c r="AB38" s="539"/>
      <c r="AC38" s="539"/>
      <c r="AD38" s="539"/>
      <c r="AE38" s="539"/>
      <c r="AF38" s="539"/>
      <c r="AG38" s="537"/>
    </row>
    <row r="39" spans="1:33" ht="11.25" customHeight="1" thickBot="1" x14ac:dyDescent="0.25">
      <c r="A39" s="557" t="s">
        <v>247</v>
      </c>
      <c r="B39" s="558"/>
      <c r="C39" s="558"/>
      <c r="D39" s="558"/>
      <c r="E39" s="558"/>
      <c r="F39" s="558"/>
      <c r="G39" s="537"/>
      <c r="H39" s="537"/>
      <c r="I39" s="537"/>
      <c r="L39" s="537"/>
      <c r="AA39" s="539"/>
      <c r="AB39" s="539"/>
      <c r="AC39" s="539"/>
      <c r="AD39" s="539"/>
      <c r="AE39" s="539"/>
      <c r="AF39" s="539"/>
      <c r="AG39" s="537"/>
    </row>
    <row r="40" spans="1:33" ht="11.25" customHeight="1" thickBot="1" x14ac:dyDescent="0.25">
      <c r="A40" s="810" t="s">
        <v>248</v>
      </c>
      <c r="B40" s="811"/>
      <c r="C40" s="812"/>
      <c r="D40" s="597" t="s">
        <v>249</v>
      </c>
      <c r="E40" s="598"/>
      <c r="F40" s="598"/>
      <c r="G40" s="558"/>
      <c r="H40" s="558"/>
      <c r="I40" s="599"/>
      <c r="L40" s="537"/>
      <c r="AA40" s="539"/>
      <c r="AB40" s="539"/>
      <c r="AC40" s="539"/>
      <c r="AD40" s="539"/>
      <c r="AE40" s="539"/>
      <c r="AF40" s="539"/>
      <c r="AG40" s="537"/>
    </row>
    <row r="41" spans="1:33" ht="12.75" customHeight="1" x14ac:dyDescent="0.2">
      <c r="A41" s="805" t="s">
        <v>250</v>
      </c>
      <c r="B41" s="806"/>
      <c r="C41" s="807"/>
      <c r="D41" s="600" t="s">
        <v>250</v>
      </c>
      <c r="E41" s="601"/>
      <c r="F41" s="601"/>
      <c r="G41" s="598"/>
      <c r="H41" s="598"/>
      <c r="I41" s="602"/>
      <c r="L41" s="537"/>
      <c r="AA41" s="539"/>
      <c r="AB41" s="539"/>
      <c r="AC41" s="539"/>
      <c r="AD41" s="539"/>
      <c r="AE41" s="539"/>
      <c r="AF41" s="539"/>
      <c r="AG41" s="537"/>
    </row>
    <row r="42" spans="1:33" ht="12.75" customHeight="1" x14ac:dyDescent="0.2">
      <c r="A42" s="805" t="s">
        <v>251</v>
      </c>
      <c r="B42" s="806"/>
      <c r="C42" s="807"/>
      <c r="D42" s="603" t="s">
        <v>252</v>
      </c>
      <c r="E42" s="604"/>
      <c r="F42" s="604"/>
      <c r="G42" s="601"/>
      <c r="H42" s="601"/>
      <c r="I42" s="605"/>
      <c r="L42" s="537"/>
      <c r="AA42" s="539"/>
      <c r="AB42" s="539"/>
      <c r="AC42" s="539"/>
      <c r="AD42" s="539"/>
      <c r="AE42" s="539"/>
      <c r="AF42" s="539"/>
      <c r="AG42" s="537"/>
    </row>
    <row r="43" spans="1:33" ht="12.75" customHeight="1" x14ac:dyDescent="0.2">
      <c r="A43" s="805" t="s">
        <v>253</v>
      </c>
      <c r="B43" s="806"/>
      <c r="C43" s="807"/>
      <c r="D43" s="603" t="s">
        <v>254</v>
      </c>
      <c r="E43" s="604"/>
      <c r="F43" s="604"/>
      <c r="G43" s="604"/>
      <c r="H43" s="604"/>
      <c r="I43" s="606"/>
      <c r="L43" s="537"/>
      <c r="AA43" s="539"/>
      <c r="AB43" s="539"/>
      <c r="AC43" s="539"/>
      <c r="AD43" s="539"/>
      <c r="AE43" s="539"/>
      <c r="AF43" s="539"/>
      <c r="AG43" s="537"/>
    </row>
    <row r="44" spans="1:33" ht="10.5" customHeight="1" x14ac:dyDescent="0.2">
      <c r="A44" s="808" t="s">
        <v>255</v>
      </c>
      <c r="B44" s="806"/>
      <c r="C44" s="807"/>
      <c r="D44" s="603"/>
      <c r="E44" s="604"/>
      <c r="F44" s="604"/>
      <c r="G44" s="604"/>
      <c r="H44" s="604"/>
      <c r="I44" s="606"/>
      <c r="L44" s="537"/>
      <c r="AA44" s="539"/>
      <c r="AB44" s="539"/>
      <c r="AC44" s="539"/>
      <c r="AD44" s="539"/>
      <c r="AE44" s="539"/>
      <c r="AF44" s="539"/>
      <c r="AG44" s="537"/>
    </row>
    <row r="45" spans="1:33" ht="10.5" customHeight="1" x14ac:dyDescent="0.2">
      <c r="A45" s="809"/>
      <c r="B45" s="806"/>
      <c r="C45" s="807"/>
      <c r="D45" s="607" t="s">
        <v>256</v>
      </c>
      <c r="E45" s="545"/>
      <c r="F45" s="545"/>
      <c r="G45" s="604"/>
      <c r="H45" s="604"/>
      <c r="I45" s="606"/>
      <c r="L45" s="537"/>
      <c r="AA45" s="539"/>
      <c r="AB45" s="539"/>
      <c r="AC45" s="539"/>
      <c r="AD45" s="539"/>
      <c r="AE45" s="539"/>
      <c r="AF45" s="539"/>
      <c r="AG45" s="537"/>
    </row>
    <row r="46" spans="1:33" ht="10.5" customHeight="1" x14ac:dyDescent="0.2">
      <c r="A46" s="808" t="s">
        <v>257</v>
      </c>
      <c r="B46" s="806"/>
      <c r="C46" s="807"/>
      <c r="D46" s="607" t="s">
        <v>258</v>
      </c>
      <c r="E46" s="545"/>
      <c r="F46" s="545"/>
      <c r="G46" s="545"/>
      <c r="H46" s="545"/>
      <c r="I46" s="608"/>
      <c r="L46" s="537"/>
      <c r="AA46" s="539"/>
      <c r="AB46" s="539"/>
      <c r="AC46" s="539"/>
      <c r="AD46" s="539"/>
      <c r="AE46" s="539"/>
      <c r="AF46" s="539"/>
      <c r="AG46" s="537"/>
    </row>
    <row r="47" spans="1:33" ht="12.75" customHeight="1" x14ac:dyDescent="0.2">
      <c r="A47" s="809"/>
      <c r="B47" s="806"/>
      <c r="C47" s="807"/>
      <c r="D47" s="607" t="s">
        <v>259</v>
      </c>
      <c r="E47" s="545"/>
      <c r="F47" s="545"/>
      <c r="G47" s="545"/>
      <c r="H47" s="545"/>
      <c r="I47" s="608"/>
      <c r="L47" s="537"/>
      <c r="AA47" s="539"/>
      <c r="AB47" s="539"/>
      <c r="AC47" s="539"/>
      <c r="AD47" s="539"/>
      <c r="AE47" s="539"/>
      <c r="AF47" s="539"/>
      <c r="AG47" s="537"/>
    </row>
    <row r="48" spans="1:33" ht="10.5" customHeight="1" x14ac:dyDescent="0.2">
      <c r="A48" s="805" t="s">
        <v>260</v>
      </c>
      <c r="B48" s="806"/>
      <c r="C48" s="807"/>
      <c r="D48" s="607" t="s">
        <v>261</v>
      </c>
      <c r="E48" s="545"/>
      <c r="F48" s="545"/>
      <c r="G48" s="545"/>
      <c r="H48" s="545"/>
      <c r="I48" s="608"/>
      <c r="L48" s="537"/>
      <c r="AA48" s="539"/>
      <c r="AB48" s="539"/>
      <c r="AC48" s="539"/>
      <c r="AD48" s="539"/>
      <c r="AE48" s="539"/>
      <c r="AF48" s="539"/>
      <c r="AG48" s="537"/>
    </row>
    <row r="49" spans="1:33" ht="10.5" customHeight="1" x14ac:dyDescent="0.2">
      <c r="A49" s="805" t="s">
        <v>262</v>
      </c>
      <c r="B49" s="806"/>
      <c r="C49" s="807"/>
      <c r="D49" s="609"/>
      <c r="E49" s="610"/>
      <c r="F49" s="610"/>
      <c r="G49" s="545"/>
      <c r="H49" s="545"/>
      <c r="I49" s="608"/>
      <c r="L49" s="537"/>
      <c r="AA49" s="539"/>
      <c r="AB49" s="539"/>
      <c r="AC49" s="539"/>
      <c r="AD49" s="539"/>
      <c r="AE49" s="539"/>
      <c r="AF49" s="539"/>
      <c r="AG49" s="537"/>
    </row>
    <row r="50" spans="1:33" ht="10.5" customHeight="1" x14ac:dyDescent="0.2">
      <c r="A50" s="805" t="s">
        <v>263</v>
      </c>
      <c r="B50" s="806"/>
      <c r="C50" s="807"/>
      <c r="D50" s="609"/>
      <c r="E50" s="610"/>
      <c r="F50" s="610"/>
      <c r="G50" s="610"/>
      <c r="H50" s="610"/>
      <c r="I50" s="611"/>
      <c r="L50" s="537"/>
      <c r="AA50" s="539"/>
      <c r="AB50" s="539"/>
      <c r="AC50" s="539"/>
      <c r="AD50" s="539"/>
      <c r="AE50" s="539"/>
      <c r="AF50" s="539"/>
      <c r="AG50" s="537"/>
    </row>
    <row r="51" spans="1:33" ht="10.5" customHeight="1" x14ac:dyDescent="0.2">
      <c r="A51" s="805" t="s">
        <v>264</v>
      </c>
      <c r="B51" s="806"/>
      <c r="C51" s="807"/>
      <c r="D51" s="609"/>
      <c r="E51" s="610"/>
      <c r="F51" s="610"/>
      <c r="G51" s="610"/>
      <c r="H51" s="610"/>
      <c r="I51" s="611"/>
      <c r="L51" s="537"/>
      <c r="AA51" s="539"/>
      <c r="AB51" s="539"/>
      <c r="AC51" s="539"/>
      <c r="AD51" s="539"/>
      <c r="AE51" s="539"/>
      <c r="AF51" s="539"/>
      <c r="AG51" s="537"/>
    </row>
    <row r="52" spans="1:33" ht="11.25" customHeight="1" thickBot="1" x14ac:dyDescent="0.25">
      <c r="A52" s="581" t="s">
        <v>265</v>
      </c>
      <c r="B52" s="612"/>
      <c r="C52" s="612"/>
      <c r="D52" s="612"/>
      <c r="E52" s="612"/>
      <c r="F52" s="612"/>
      <c r="G52" s="610"/>
      <c r="H52" s="610"/>
      <c r="I52" s="611"/>
      <c r="L52" s="537"/>
      <c r="AA52" s="539"/>
      <c r="AB52" s="539"/>
      <c r="AC52" s="539"/>
      <c r="AD52" s="539"/>
      <c r="AE52" s="539"/>
      <c r="AF52" s="539"/>
      <c r="AG52" s="537"/>
    </row>
    <row r="53" spans="1:33" ht="12.75" customHeight="1" thickBot="1" x14ac:dyDescent="0.25">
      <c r="A53" s="556"/>
      <c r="B53" s="537"/>
      <c r="C53" s="542"/>
      <c r="D53" s="537"/>
      <c r="E53" s="537"/>
      <c r="F53" s="537"/>
      <c r="G53" s="612"/>
      <c r="H53" s="612"/>
      <c r="I53" s="613"/>
      <c r="L53" s="537"/>
      <c r="AA53" s="539"/>
      <c r="AB53" s="539"/>
      <c r="AC53" s="539"/>
      <c r="AD53" s="539"/>
      <c r="AE53" s="539"/>
      <c r="AF53" s="539"/>
      <c r="AG53" s="537"/>
    </row>
    <row r="54" spans="1:33" ht="105" customHeight="1" x14ac:dyDescent="0.2">
      <c r="A54" s="614" t="s">
        <v>266</v>
      </c>
      <c r="B54" s="614"/>
      <c r="C54" s="614"/>
      <c r="D54" s="614"/>
      <c r="E54" s="614"/>
      <c r="F54" s="614"/>
      <c r="G54" s="537"/>
      <c r="H54" s="537"/>
      <c r="I54" s="537"/>
      <c r="L54" s="537"/>
      <c r="AA54" s="539"/>
      <c r="AB54" s="539"/>
      <c r="AC54" s="539"/>
      <c r="AD54" s="539"/>
      <c r="AE54" s="539"/>
      <c r="AF54" s="539"/>
      <c r="AG54" s="537"/>
    </row>
    <row r="55" spans="1:33" ht="10.5" customHeight="1" x14ac:dyDescent="0.2">
      <c r="A55" s="614"/>
      <c r="B55" s="614"/>
      <c r="C55" s="614"/>
      <c r="D55" s="614"/>
      <c r="E55" s="614"/>
      <c r="F55" s="614"/>
      <c r="G55" s="614"/>
      <c r="H55" s="614"/>
      <c r="I55" s="614"/>
      <c r="L55" s="537"/>
      <c r="AA55" s="539"/>
      <c r="AB55" s="539"/>
      <c r="AC55" s="539"/>
      <c r="AD55" s="539"/>
      <c r="AE55" s="539"/>
      <c r="AF55" s="539"/>
      <c r="AG55" s="537"/>
    </row>
    <row r="56" spans="1:33" ht="10.5" customHeight="1" x14ac:dyDescent="0.2">
      <c r="A56" s="614"/>
      <c r="B56" s="614"/>
      <c r="C56" s="614"/>
      <c r="D56" s="614"/>
      <c r="E56" s="614"/>
      <c r="F56" s="614"/>
      <c r="G56" s="614"/>
      <c r="H56" s="614"/>
      <c r="I56" s="614"/>
      <c r="L56" s="537"/>
      <c r="AA56" s="539"/>
      <c r="AB56" s="539"/>
      <c r="AC56" s="539"/>
      <c r="AD56" s="539"/>
      <c r="AE56" s="539"/>
      <c r="AF56" s="539"/>
      <c r="AG56" s="537"/>
    </row>
    <row r="57" spans="1:33" ht="10.5" customHeight="1" x14ac:dyDescent="0.2">
      <c r="A57" s="537"/>
      <c r="B57" s="537"/>
      <c r="C57" s="537"/>
      <c r="D57" s="537"/>
      <c r="E57" s="537"/>
      <c r="F57" s="537"/>
      <c r="G57" s="614"/>
      <c r="H57" s="614"/>
      <c r="I57" s="614"/>
      <c r="L57" s="537"/>
      <c r="AA57" s="539"/>
      <c r="AB57" s="539"/>
      <c r="AC57" s="539"/>
      <c r="AD57" s="539"/>
      <c r="AE57" s="539"/>
      <c r="AF57" s="539"/>
      <c r="AG57" s="537"/>
    </row>
    <row r="58" spans="1:33" ht="10.5" customHeight="1" x14ac:dyDescent="0.2">
      <c r="A58" s="610" t="s">
        <v>267</v>
      </c>
      <c r="B58" s="535"/>
      <c r="C58" s="535"/>
      <c r="D58" s="535"/>
      <c r="E58" s="535"/>
      <c r="F58" s="535"/>
      <c r="G58" s="537"/>
      <c r="H58" s="537"/>
      <c r="I58" s="537"/>
      <c r="L58" s="537"/>
      <c r="AA58" s="539"/>
      <c r="AB58" s="539"/>
      <c r="AC58" s="539"/>
      <c r="AD58" s="539"/>
      <c r="AE58" s="539"/>
      <c r="AF58" s="539"/>
      <c r="AG58" s="537"/>
    </row>
    <row r="59" spans="1:33" ht="10.5" hidden="1" customHeight="1" x14ac:dyDescent="0.2">
      <c r="A59" s="537"/>
      <c r="B59" s="537"/>
      <c r="C59" s="537"/>
      <c r="D59" s="537"/>
      <c r="E59" s="537"/>
      <c r="F59" s="537"/>
      <c r="G59" s="535"/>
      <c r="H59" s="535"/>
      <c r="I59" s="535"/>
      <c r="L59" s="537"/>
      <c r="AA59" s="539"/>
      <c r="AB59" s="539"/>
      <c r="AC59" s="539"/>
      <c r="AD59" s="539"/>
      <c r="AE59" s="539"/>
      <c r="AF59" s="539"/>
      <c r="AG59" s="537"/>
    </row>
    <row r="60" spans="1:33" ht="10.5" customHeight="1" x14ac:dyDescent="0.2">
      <c r="A60" s="537"/>
      <c r="B60" s="537"/>
      <c r="C60" s="537"/>
      <c r="D60" s="537"/>
      <c r="E60" s="537"/>
      <c r="F60" s="537"/>
      <c r="G60" s="537"/>
      <c r="H60" s="537"/>
      <c r="I60" s="537"/>
      <c r="L60" s="537"/>
      <c r="AA60" s="539"/>
      <c r="AB60" s="539"/>
      <c r="AC60" s="539"/>
      <c r="AD60" s="539"/>
      <c r="AE60" s="539"/>
      <c r="AF60" s="539"/>
      <c r="AG60" s="537"/>
    </row>
    <row r="61" spans="1:33" ht="10.5" customHeight="1" x14ac:dyDescent="0.2">
      <c r="A61" s="537"/>
      <c r="B61" s="537"/>
      <c r="C61" s="537"/>
      <c r="D61" s="537"/>
      <c r="E61" s="537"/>
      <c r="F61" s="537"/>
      <c r="G61" s="537"/>
      <c r="H61" s="537"/>
      <c r="I61" s="537"/>
      <c r="L61" s="537"/>
      <c r="AA61" s="539"/>
      <c r="AB61" s="539"/>
      <c r="AC61" s="539"/>
      <c r="AD61" s="539"/>
      <c r="AE61" s="539"/>
      <c r="AF61" s="539"/>
      <c r="AG61" s="537"/>
    </row>
    <row r="62" spans="1:33" ht="10.5" customHeight="1" x14ac:dyDescent="0.2">
      <c r="A62" s="537"/>
      <c r="B62" s="537"/>
      <c r="C62" s="537"/>
      <c r="D62" s="537"/>
      <c r="E62" s="537"/>
      <c r="F62" s="537"/>
      <c r="G62" s="537"/>
      <c r="H62" s="537"/>
      <c r="I62" s="537"/>
      <c r="L62" s="537"/>
      <c r="AA62" s="539"/>
      <c r="AB62" s="539"/>
      <c r="AC62" s="539"/>
      <c r="AD62" s="539"/>
      <c r="AE62" s="539"/>
      <c r="AF62" s="539"/>
      <c r="AG62" s="537"/>
    </row>
    <row r="63" spans="1:33" ht="10.5" customHeight="1" x14ac:dyDescent="0.2">
      <c r="A63" s="537"/>
      <c r="B63" s="537"/>
      <c r="C63" s="537"/>
      <c r="D63" s="537"/>
      <c r="E63" s="537"/>
      <c r="F63" s="537"/>
      <c r="G63" s="537"/>
      <c r="H63" s="537"/>
      <c r="I63" s="537"/>
      <c r="L63" s="537"/>
      <c r="AA63" s="539"/>
      <c r="AB63" s="539"/>
      <c r="AC63" s="539"/>
      <c r="AD63" s="539"/>
      <c r="AE63" s="539"/>
      <c r="AF63" s="539"/>
      <c r="AG63" s="537"/>
    </row>
    <row r="64" spans="1:33" ht="10.5" customHeight="1" x14ac:dyDescent="0.2">
      <c r="A64" s="537"/>
      <c r="B64" s="537"/>
      <c r="C64" s="537"/>
      <c r="D64" s="537"/>
      <c r="E64" s="537"/>
      <c r="F64" s="537"/>
      <c r="G64" s="537"/>
      <c r="H64" s="537"/>
      <c r="I64" s="537"/>
      <c r="L64" s="537"/>
      <c r="AA64" s="539"/>
      <c r="AB64" s="539"/>
      <c r="AC64" s="539"/>
      <c r="AD64" s="539"/>
      <c r="AE64" s="539"/>
      <c r="AF64" s="539"/>
      <c r="AG64" s="537"/>
    </row>
    <row r="65" spans="1:33" ht="10.5" customHeight="1" x14ac:dyDescent="0.2">
      <c r="A65" s="537"/>
      <c r="B65" s="537"/>
      <c r="C65" s="537"/>
      <c r="D65" s="537"/>
      <c r="E65" s="537"/>
      <c r="F65" s="537"/>
      <c r="G65" s="537"/>
      <c r="H65" s="537"/>
      <c r="I65" s="537"/>
      <c r="L65" s="537"/>
      <c r="AA65" s="539"/>
      <c r="AB65" s="539"/>
      <c r="AC65" s="539"/>
      <c r="AD65" s="539"/>
      <c r="AE65" s="539"/>
      <c r="AF65" s="539"/>
      <c r="AG65" s="537"/>
    </row>
    <row r="66" spans="1:33" ht="10.5" customHeight="1" x14ac:dyDescent="0.2">
      <c r="A66" s="537"/>
      <c r="B66" s="537"/>
      <c r="C66" s="537"/>
      <c r="D66" s="537"/>
      <c r="E66" s="537"/>
      <c r="F66" s="537"/>
      <c r="G66" s="537"/>
      <c r="H66" s="537"/>
      <c r="I66" s="537"/>
      <c r="L66" s="537"/>
      <c r="AA66" s="539"/>
      <c r="AB66" s="539"/>
      <c r="AC66" s="539"/>
      <c r="AD66" s="539"/>
      <c r="AE66" s="539"/>
      <c r="AF66" s="539"/>
      <c r="AG66" s="537"/>
    </row>
    <row r="67" spans="1:33" ht="10.5" customHeight="1" x14ac:dyDescent="0.2">
      <c r="A67" s="537"/>
      <c r="B67" s="537"/>
      <c r="C67" s="537"/>
      <c r="D67" s="537"/>
      <c r="E67" s="537"/>
      <c r="F67" s="537"/>
      <c r="G67" s="537"/>
      <c r="H67" s="537"/>
      <c r="I67" s="537"/>
      <c r="L67" s="537"/>
      <c r="AA67" s="539"/>
      <c r="AB67" s="539"/>
      <c r="AC67" s="539"/>
      <c r="AD67" s="539"/>
      <c r="AE67" s="539"/>
      <c r="AF67" s="539"/>
      <c r="AG67" s="537"/>
    </row>
    <row r="68" spans="1:33" ht="10.5" customHeight="1" x14ac:dyDescent="0.2">
      <c r="A68" s="537"/>
      <c r="B68" s="537"/>
      <c r="C68" s="537"/>
      <c r="D68" s="537"/>
      <c r="E68" s="537"/>
      <c r="F68" s="537"/>
      <c r="G68" s="537"/>
      <c r="H68" s="537"/>
      <c r="I68" s="537"/>
      <c r="L68" s="537"/>
      <c r="AA68" s="539"/>
      <c r="AB68" s="539"/>
      <c r="AC68" s="539"/>
      <c r="AD68" s="539"/>
      <c r="AE68" s="539"/>
      <c r="AF68" s="539"/>
      <c r="AG68" s="537"/>
    </row>
    <row r="69" spans="1:33" ht="10.5" customHeight="1" x14ac:dyDescent="0.2">
      <c r="A69" s="537"/>
      <c r="B69" s="537"/>
      <c r="C69" s="537"/>
      <c r="D69" s="537"/>
      <c r="E69" s="537"/>
      <c r="F69" s="537"/>
      <c r="G69" s="537"/>
      <c r="H69" s="537"/>
      <c r="I69" s="537"/>
      <c r="L69" s="537"/>
      <c r="AA69" s="539"/>
      <c r="AB69" s="539"/>
      <c r="AC69" s="539"/>
      <c r="AD69" s="539"/>
      <c r="AE69" s="539"/>
      <c r="AF69" s="539"/>
      <c r="AG69" s="537"/>
    </row>
    <row r="70" spans="1:33" ht="10.5" customHeight="1" x14ac:dyDescent="0.2">
      <c r="A70" s="537"/>
      <c r="B70" s="537"/>
      <c r="C70" s="537"/>
      <c r="D70" s="537"/>
      <c r="E70" s="537"/>
      <c r="F70" s="537"/>
      <c r="G70" s="537"/>
      <c r="H70" s="537"/>
      <c r="I70" s="537"/>
      <c r="L70" s="537"/>
      <c r="AA70" s="539"/>
      <c r="AB70" s="539"/>
      <c r="AC70" s="539"/>
      <c r="AD70" s="539"/>
      <c r="AE70" s="539"/>
      <c r="AF70" s="539"/>
      <c r="AG70" s="537"/>
    </row>
    <row r="71" spans="1:33" ht="10.5" customHeight="1" x14ac:dyDescent="0.2">
      <c r="A71" s="537"/>
      <c r="B71" s="537"/>
      <c r="C71" s="537"/>
      <c r="D71" s="537"/>
      <c r="E71" s="537"/>
      <c r="F71" s="537"/>
      <c r="G71" s="537"/>
      <c r="H71" s="537"/>
      <c r="I71" s="537"/>
      <c r="L71" s="537"/>
      <c r="AA71" s="539"/>
      <c r="AB71" s="539"/>
      <c r="AC71" s="539"/>
      <c r="AD71" s="539"/>
      <c r="AE71" s="539"/>
      <c r="AF71" s="539"/>
      <c r="AG71" s="537"/>
    </row>
    <row r="72" spans="1:33" ht="10.5" customHeight="1" x14ac:dyDescent="0.2">
      <c r="A72" s="537"/>
      <c r="B72" s="537"/>
      <c r="C72" s="537"/>
      <c r="D72" s="537"/>
      <c r="E72" s="537"/>
      <c r="F72" s="537"/>
      <c r="G72" s="537"/>
      <c r="H72" s="537"/>
      <c r="I72" s="537"/>
      <c r="L72" s="537"/>
      <c r="AA72" s="539"/>
      <c r="AB72" s="539"/>
      <c r="AC72" s="539"/>
      <c r="AD72" s="539"/>
      <c r="AE72" s="539"/>
      <c r="AF72" s="539"/>
      <c r="AG72" s="537"/>
    </row>
    <row r="73" spans="1:33" ht="10.5" customHeight="1" x14ac:dyDescent="0.2">
      <c r="A73" s="537"/>
      <c r="B73" s="537"/>
      <c r="C73" s="537"/>
      <c r="D73" s="537"/>
      <c r="E73" s="537"/>
      <c r="F73" s="537"/>
      <c r="G73" s="537"/>
      <c r="H73" s="537"/>
      <c r="I73" s="537"/>
      <c r="L73" s="537"/>
      <c r="AA73" s="539"/>
      <c r="AB73" s="539"/>
      <c r="AC73" s="539"/>
      <c r="AD73" s="539"/>
      <c r="AE73" s="539"/>
      <c r="AF73" s="539"/>
      <c r="AG73" s="537"/>
    </row>
    <row r="74" spans="1:33" ht="10.5" customHeight="1" x14ac:dyDescent="0.2">
      <c r="A74" s="537"/>
      <c r="B74" s="537"/>
      <c r="C74" s="537"/>
      <c r="D74" s="537"/>
      <c r="E74" s="537"/>
      <c r="F74" s="537"/>
      <c r="G74" s="537"/>
      <c r="H74" s="537"/>
      <c r="I74" s="537"/>
      <c r="L74" s="537"/>
      <c r="AA74" s="539"/>
      <c r="AB74" s="539"/>
      <c r="AC74" s="539"/>
      <c r="AD74" s="539"/>
      <c r="AE74" s="539"/>
      <c r="AF74" s="539"/>
      <c r="AG74" s="537"/>
    </row>
    <row r="75" spans="1:33" ht="10.5" customHeight="1" x14ac:dyDescent="0.2">
      <c r="A75" s="537"/>
      <c r="B75" s="537"/>
      <c r="C75" s="537"/>
      <c r="D75" s="537"/>
      <c r="E75" s="537"/>
      <c r="F75" s="537"/>
      <c r="G75" s="537"/>
      <c r="H75" s="537"/>
      <c r="I75" s="537"/>
      <c r="L75" s="537"/>
      <c r="AA75" s="539"/>
      <c r="AB75" s="539"/>
      <c r="AC75" s="539"/>
      <c r="AD75" s="539"/>
      <c r="AE75" s="539"/>
      <c r="AF75" s="539"/>
      <c r="AG75" s="537"/>
    </row>
    <row r="76" spans="1:33" ht="10.5" customHeight="1" x14ac:dyDescent="0.2">
      <c r="A76" s="537"/>
      <c r="B76" s="537"/>
      <c r="C76" s="537"/>
      <c r="D76" s="537"/>
      <c r="E76" s="537"/>
      <c r="F76" s="537"/>
      <c r="G76" s="537"/>
      <c r="H76" s="537"/>
      <c r="I76" s="537"/>
      <c r="L76" s="537"/>
      <c r="AA76" s="539"/>
      <c r="AB76" s="539"/>
      <c r="AC76" s="539"/>
      <c r="AD76" s="539"/>
      <c r="AE76" s="539"/>
      <c r="AF76" s="539"/>
      <c r="AG76" s="537"/>
    </row>
    <row r="77" spans="1:33" ht="10.5" customHeight="1" x14ac:dyDescent="0.2">
      <c r="A77" s="537"/>
      <c r="B77" s="537"/>
      <c r="C77" s="537"/>
      <c r="D77" s="537"/>
      <c r="E77" s="537"/>
      <c r="F77" s="537"/>
      <c r="G77" s="537"/>
      <c r="H77" s="537"/>
      <c r="I77" s="537"/>
      <c r="L77" s="537"/>
      <c r="AA77" s="539"/>
      <c r="AB77" s="539"/>
      <c r="AC77" s="539"/>
      <c r="AD77" s="539"/>
      <c r="AE77" s="539"/>
      <c r="AF77" s="539"/>
      <c r="AG77" s="537"/>
    </row>
    <row r="78" spans="1:33" ht="10.5" customHeight="1" x14ac:dyDescent="0.2">
      <c r="A78" s="537"/>
      <c r="B78" s="537"/>
      <c r="C78" s="537"/>
      <c r="D78" s="537"/>
      <c r="E78" s="537"/>
      <c r="F78" s="537"/>
      <c r="G78" s="537"/>
      <c r="H78" s="537"/>
      <c r="I78" s="537"/>
      <c r="L78" s="537"/>
      <c r="AA78" s="539"/>
      <c r="AB78" s="539"/>
      <c r="AC78" s="539"/>
      <c r="AD78" s="539"/>
      <c r="AE78" s="539"/>
      <c r="AF78" s="539"/>
      <c r="AG78" s="537"/>
    </row>
    <row r="79" spans="1:33" ht="10.5" customHeight="1" x14ac:dyDescent="0.2">
      <c r="A79" s="537"/>
      <c r="B79" s="537"/>
      <c r="C79" s="537"/>
      <c r="D79" s="537"/>
      <c r="E79" s="537"/>
      <c r="F79" s="537"/>
      <c r="G79" s="537"/>
      <c r="H79" s="537"/>
      <c r="I79" s="537"/>
      <c r="L79" s="537"/>
      <c r="AA79" s="539"/>
      <c r="AB79" s="539"/>
      <c r="AC79" s="539"/>
      <c r="AD79" s="539"/>
      <c r="AE79" s="539"/>
      <c r="AF79" s="539"/>
      <c r="AG79" s="537"/>
    </row>
    <row r="80" spans="1:33" ht="10.5" customHeight="1" x14ac:dyDescent="0.2">
      <c r="A80" s="537"/>
      <c r="B80" s="537"/>
      <c r="C80" s="537"/>
      <c r="D80" s="537"/>
      <c r="E80" s="537"/>
      <c r="F80" s="537"/>
      <c r="G80" s="537"/>
      <c r="H80" s="537"/>
      <c r="I80" s="537"/>
      <c r="L80" s="537"/>
      <c r="AA80" s="539"/>
      <c r="AB80" s="539"/>
      <c r="AC80" s="539"/>
      <c r="AD80" s="539"/>
      <c r="AE80" s="539"/>
      <c r="AF80" s="539"/>
      <c r="AG80" s="537"/>
    </row>
    <row r="81" spans="1:33" ht="10.5" customHeight="1" x14ac:dyDescent="0.2">
      <c r="A81" s="537"/>
      <c r="B81" s="537"/>
      <c r="C81" s="537"/>
      <c r="D81" s="537"/>
      <c r="E81" s="537"/>
      <c r="F81" s="537"/>
      <c r="G81" s="537"/>
      <c r="H81" s="537"/>
      <c r="I81" s="537"/>
      <c r="L81" s="537"/>
      <c r="AA81" s="539"/>
      <c r="AB81" s="539"/>
      <c r="AC81" s="539"/>
      <c r="AD81" s="539"/>
      <c r="AE81" s="539"/>
      <c r="AF81" s="539"/>
      <c r="AG81" s="537"/>
    </row>
    <row r="82" spans="1:33" ht="10.5" customHeight="1" x14ac:dyDescent="0.2">
      <c r="A82" s="537"/>
      <c r="B82" s="537"/>
      <c r="C82" s="537"/>
      <c r="D82" s="537"/>
      <c r="E82" s="537"/>
      <c r="F82" s="537"/>
      <c r="G82" s="537"/>
      <c r="H82" s="537"/>
      <c r="I82" s="537"/>
      <c r="L82" s="537"/>
      <c r="AA82" s="539"/>
      <c r="AB82" s="539"/>
      <c r="AC82" s="539"/>
      <c r="AD82" s="539"/>
      <c r="AE82" s="539"/>
      <c r="AF82" s="539"/>
      <c r="AG82" s="537"/>
    </row>
    <row r="83" spans="1:33" ht="10.5" customHeight="1" x14ac:dyDescent="0.2">
      <c r="A83" s="537"/>
      <c r="B83" s="537"/>
      <c r="C83" s="537"/>
      <c r="D83" s="537"/>
      <c r="E83" s="537"/>
      <c r="F83" s="537"/>
      <c r="G83" s="537"/>
      <c r="H83" s="537"/>
      <c r="I83" s="537"/>
      <c r="L83" s="537"/>
      <c r="AA83" s="539"/>
      <c r="AB83" s="539"/>
      <c r="AC83" s="539"/>
      <c r="AD83" s="539"/>
      <c r="AE83" s="539"/>
      <c r="AF83" s="539"/>
      <c r="AG83" s="537"/>
    </row>
    <row r="84" spans="1:33" ht="10.5" customHeight="1" x14ac:dyDescent="0.2">
      <c r="A84" s="537"/>
      <c r="B84" s="537"/>
      <c r="C84" s="537"/>
      <c r="D84" s="537"/>
      <c r="E84" s="537"/>
      <c r="F84" s="537"/>
      <c r="G84" s="537"/>
      <c r="H84" s="537"/>
      <c r="I84" s="537"/>
      <c r="L84" s="537"/>
      <c r="AA84" s="539"/>
      <c r="AB84" s="539"/>
      <c r="AC84" s="539"/>
      <c r="AD84" s="539"/>
      <c r="AE84" s="539"/>
      <c r="AF84" s="539"/>
      <c r="AG84" s="537"/>
    </row>
    <row r="85" spans="1:33" ht="10.5" customHeight="1" x14ac:dyDescent="0.2">
      <c r="A85" s="537"/>
      <c r="B85" s="537"/>
      <c r="C85" s="537"/>
      <c r="D85" s="537"/>
      <c r="E85" s="537"/>
      <c r="F85" s="537"/>
      <c r="G85" s="537"/>
      <c r="H85" s="537"/>
      <c r="I85" s="537"/>
      <c r="L85" s="537"/>
      <c r="AA85" s="539"/>
      <c r="AB85" s="539"/>
      <c r="AC85" s="539"/>
      <c r="AD85" s="539"/>
      <c r="AE85" s="539"/>
      <c r="AF85" s="539"/>
      <c r="AG85" s="537"/>
    </row>
    <row r="86" spans="1:33" ht="10.5" customHeight="1" x14ac:dyDescent="0.2">
      <c r="A86" s="537"/>
      <c r="B86" s="537"/>
      <c r="C86" s="537"/>
      <c r="D86" s="537"/>
      <c r="E86" s="537"/>
      <c r="F86" s="537"/>
      <c r="G86" s="537"/>
      <c r="H86" s="537"/>
      <c r="I86" s="537"/>
      <c r="L86" s="537"/>
      <c r="AA86" s="539"/>
      <c r="AB86" s="539"/>
      <c r="AC86" s="539"/>
      <c r="AD86" s="539"/>
      <c r="AE86" s="539"/>
      <c r="AF86" s="539"/>
      <c r="AG86" s="537"/>
    </row>
    <row r="87" spans="1:33" ht="10.5" customHeight="1" x14ac:dyDescent="0.2">
      <c r="A87" s="537"/>
      <c r="B87" s="537"/>
      <c r="C87" s="537"/>
      <c r="D87" s="537"/>
      <c r="E87" s="537"/>
      <c r="F87" s="537"/>
      <c r="G87" s="537"/>
      <c r="H87" s="537"/>
      <c r="I87" s="537"/>
      <c r="L87" s="537"/>
      <c r="AA87" s="539"/>
      <c r="AB87" s="539"/>
      <c r="AC87" s="539"/>
      <c r="AD87" s="539"/>
      <c r="AE87" s="539"/>
      <c r="AF87" s="539"/>
      <c r="AG87" s="537"/>
    </row>
    <row r="88" spans="1:33" ht="10.5" customHeight="1" x14ac:dyDescent="0.2">
      <c r="A88" s="537"/>
      <c r="B88" s="537"/>
      <c r="C88" s="537"/>
      <c r="D88" s="537"/>
      <c r="E88" s="537"/>
      <c r="F88" s="537"/>
      <c r="G88" s="537"/>
      <c r="H88" s="537"/>
      <c r="I88" s="537"/>
      <c r="L88" s="537"/>
      <c r="AA88" s="539"/>
      <c r="AB88" s="539"/>
      <c r="AC88" s="539"/>
      <c r="AD88" s="539"/>
      <c r="AE88" s="539"/>
      <c r="AF88" s="539"/>
      <c r="AG88" s="537"/>
    </row>
    <row r="89" spans="1:33" ht="10.5" customHeight="1" x14ac:dyDescent="0.2">
      <c r="A89" s="537"/>
      <c r="B89" s="537"/>
      <c r="C89" s="537"/>
      <c r="D89" s="537"/>
      <c r="E89" s="537"/>
      <c r="F89" s="537"/>
      <c r="G89" s="537"/>
      <c r="H89" s="537"/>
      <c r="I89" s="537"/>
      <c r="L89" s="537"/>
      <c r="AA89" s="539"/>
      <c r="AB89" s="539"/>
      <c r="AC89" s="539"/>
      <c r="AD89" s="539"/>
      <c r="AE89" s="539"/>
      <c r="AF89" s="539"/>
      <c r="AG89" s="537"/>
    </row>
    <row r="90" spans="1:33" ht="10.5" customHeight="1" x14ac:dyDescent="0.2">
      <c r="A90" s="537"/>
      <c r="B90" s="537"/>
      <c r="C90" s="537"/>
      <c r="D90" s="537"/>
      <c r="E90" s="537"/>
      <c r="F90" s="537"/>
      <c r="G90" s="537"/>
      <c r="H90" s="537"/>
      <c r="I90" s="537"/>
      <c r="L90" s="537"/>
      <c r="AA90" s="539"/>
      <c r="AB90" s="539"/>
      <c r="AC90" s="539"/>
      <c r="AD90" s="539"/>
      <c r="AE90" s="539"/>
      <c r="AF90" s="539"/>
      <c r="AG90" s="537"/>
    </row>
    <row r="91" spans="1:33" ht="10.5" customHeight="1" x14ac:dyDescent="0.2">
      <c r="A91" s="537"/>
      <c r="B91" s="537"/>
      <c r="C91" s="537"/>
      <c r="D91" s="537"/>
      <c r="E91" s="537"/>
      <c r="F91" s="537"/>
      <c r="G91" s="537"/>
      <c r="H91" s="537"/>
      <c r="I91" s="537"/>
      <c r="L91" s="537"/>
      <c r="AA91" s="539"/>
      <c r="AB91" s="539"/>
      <c r="AC91" s="539"/>
      <c r="AD91" s="539"/>
      <c r="AE91" s="539"/>
      <c r="AF91" s="539"/>
      <c r="AG91" s="537"/>
    </row>
    <row r="92" spans="1:33" ht="10.5" customHeight="1" x14ac:dyDescent="0.2">
      <c r="A92" s="537"/>
      <c r="B92" s="537"/>
      <c r="C92" s="537"/>
      <c r="D92" s="537"/>
      <c r="E92" s="537"/>
      <c r="F92" s="537"/>
      <c r="G92" s="537"/>
      <c r="H92" s="537"/>
      <c r="I92" s="537"/>
      <c r="L92" s="537"/>
      <c r="AA92" s="539"/>
      <c r="AB92" s="539"/>
      <c r="AC92" s="539"/>
      <c r="AD92" s="539"/>
      <c r="AE92" s="539"/>
      <c r="AF92" s="539"/>
      <c r="AG92" s="537"/>
    </row>
    <row r="93" spans="1:33" ht="10.5" customHeight="1" x14ac:dyDescent="0.2">
      <c r="A93" s="537"/>
      <c r="B93" s="537"/>
      <c r="C93" s="537"/>
      <c r="D93" s="537"/>
      <c r="E93" s="537"/>
      <c r="F93" s="537"/>
      <c r="G93" s="537"/>
      <c r="H93" s="537"/>
      <c r="I93" s="537"/>
      <c r="L93" s="537"/>
      <c r="AA93" s="539"/>
      <c r="AB93" s="539"/>
      <c r="AC93" s="539"/>
      <c r="AD93" s="539"/>
      <c r="AE93" s="539"/>
      <c r="AF93" s="539"/>
      <c r="AG93" s="537"/>
    </row>
    <row r="94" spans="1:33" ht="10.5" customHeight="1" x14ac:dyDescent="0.2">
      <c r="A94" s="537"/>
      <c r="B94" s="537"/>
      <c r="C94" s="537"/>
      <c r="D94" s="537"/>
      <c r="E94" s="537"/>
      <c r="F94" s="537"/>
      <c r="G94" s="537"/>
      <c r="H94" s="537"/>
      <c r="I94" s="537"/>
      <c r="L94" s="537"/>
      <c r="AA94" s="539"/>
      <c r="AB94" s="539"/>
      <c r="AC94" s="539"/>
      <c r="AD94" s="539"/>
      <c r="AE94" s="539"/>
      <c r="AF94" s="539"/>
      <c r="AG94" s="537"/>
    </row>
    <row r="95" spans="1:33" ht="10.5" customHeight="1" x14ac:dyDescent="0.2">
      <c r="A95" s="537"/>
      <c r="B95" s="537"/>
      <c r="C95" s="537"/>
      <c r="D95" s="537"/>
      <c r="E95" s="537"/>
      <c r="F95" s="537"/>
      <c r="G95" s="537"/>
      <c r="H95" s="537"/>
      <c r="I95" s="537"/>
      <c r="L95" s="537"/>
      <c r="AA95" s="539"/>
      <c r="AB95" s="539"/>
      <c r="AC95" s="539"/>
      <c r="AD95" s="539"/>
      <c r="AE95" s="539"/>
      <c r="AF95" s="539"/>
      <c r="AG95" s="537"/>
    </row>
    <row r="96" spans="1:33" ht="10.5" customHeight="1" x14ac:dyDescent="0.2">
      <c r="A96" s="537"/>
      <c r="B96" s="537"/>
      <c r="C96" s="537"/>
      <c r="D96" s="537"/>
      <c r="E96" s="537"/>
      <c r="F96" s="537"/>
      <c r="G96" s="537"/>
      <c r="H96" s="537"/>
      <c r="I96" s="537"/>
      <c r="L96" s="537"/>
      <c r="AA96" s="539"/>
      <c r="AB96" s="539"/>
      <c r="AC96" s="539"/>
      <c r="AD96" s="539"/>
      <c r="AE96" s="539"/>
      <c r="AF96" s="539"/>
      <c r="AG96" s="537"/>
    </row>
    <row r="97" spans="1:33" ht="10.5" hidden="1" customHeight="1" x14ac:dyDescent="0.2">
      <c r="A97" s="537"/>
      <c r="B97" s="537"/>
      <c r="C97" s="537"/>
      <c r="D97" s="537"/>
      <c r="E97" s="537"/>
      <c r="F97" s="537"/>
      <c r="G97" s="537"/>
      <c r="H97" s="537"/>
      <c r="I97" s="537"/>
      <c r="L97" s="537"/>
      <c r="AA97" s="615" t="s">
        <v>268</v>
      </c>
      <c r="AB97" s="615" t="s">
        <v>269</v>
      </c>
      <c r="AC97" s="615" t="s">
        <v>270</v>
      </c>
      <c r="AD97" s="615" t="s">
        <v>271</v>
      </c>
      <c r="AE97" s="615" t="s">
        <v>272</v>
      </c>
      <c r="AF97" s="615" t="s">
        <v>273</v>
      </c>
      <c r="AG97" s="616" t="s">
        <v>244</v>
      </c>
    </row>
    <row r="98" spans="1:33" ht="10.5" hidden="1" customHeight="1" x14ac:dyDescent="0.2">
      <c r="A98" s="537"/>
      <c r="B98" s="537"/>
      <c r="C98" s="537"/>
      <c r="D98" s="537"/>
      <c r="E98" s="537"/>
      <c r="F98" s="537"/>
      <c r="G98" s="537"/>
      <c r="H98" s="537"/>
      <c r="I98" s="537"/>
      <c r="L98" s="537"/>
      <c r="AA98" s="617">
        <v>1E-3</v>
      </c>
      <c r="AB98" s="617">
        <v>2E-3</v>
      </c>
      <c r="AC98" s="617">
        <v>2E-3</v>
      </c>
      <c r="AD98" s="617">
        <v>6.0000000000000001E-3</v>
      </c>
      <c r="AE98" s="617">
        <v>2E-3</v>
      </c>
      <c r="AF98" s="617">
        <v>2E-3</v>
      </c>
      <c r="AG98" s="617">
        <v>2E-3</v>
      </c>
    </row>
    <row r="99" spans="1:33" ht="10.5" hidden="1" customHeight="1" x14ac:dyDescent="0.2">
      <c r="A99" s="537"/>
      <c r="B99" s="537"/>
      <c r="C99" s="537"/>
      <c r="D99" s="537"/>
      <c r="E99" s="537"/>
      <c r="F99" s="537"/>
      <c r="G99" s="537"/>
      <c r="H99" s="537"/>
      <c r="I99" s="537"/>
      <c r="L99" s="537"/>
      <c r="AA99" s="617">
        <v>1.5E-3</v>
      </c>
      <c r="AB99" s="617">
        <v>2.5000000000000001E-3</v>
      </c>
      <c r="AC99" s="617">
        <v>2.5000000000000001E-3</v>
      </c>
      <c r="AD99" s="617">
        <v>6.4999999999999997E-3</v>
      </c>
      <c r="AE99" s="617">
        <v>2.5000000000000001E-3</v>
      </c>
      <c r="AF99" s="617">
        <v>2.5000000000000001E-3</v>
      </c>
      <c r="AG99" s="617">
        <v>2.5000000000000001E-3</v>
      </c>
    </row>
    <row r="100" spans="1:33" ht="10.5" hidden="1" customHeight="1" x14ac:dyDescent="0.2">
      <c r="A100" s="537"/>
      <c r="B100" s="537"/>
      <c r="C100" s="537"/>
      <c r="D100" s="537"/>
      <c r="E100" s="537"/>
      <c r="F100" s="537"/>
      <c r="G100" s="537"/>
      <c r="H100" s="537"/>
      <c r="I100" s="537"/>
      <c r="L100" s="537"/>
      <c r="AA100" s="617"/>
      <c r="AB100" s="617">
        <v>3.0000000000000001E-3</v>
      </c>
      <c r="AC100" s="617">
        <v>3.0000000000000001E-3</v>
      </c>
      <c r="AD100" s="617">
        <v>7.0000000000000001E-3</v>
      </c>
      <c r="AE100" s="617">
        <v>3.0000000000000001E-3</v>
      </c>
      <c r="AF100" s="617">
        <v>3.0000000000000001E-3</v>
      </c>
      <c r="AG100" s="617">
        <v>3.0000000000000001E-3</v>
      </c>
    </row>
    <row r="101" spans="1:33" ht="10.5" hidden="1" customHeight="1" x14ac:dyDescent="0.2">
      <c r="A101" s="537"/>
      <c r="B101" s="537"/>
      <c r="C101" s="537"/>
      <c r="D101" s="537"/>
      <c r="E101" s="537"/>
      <c r="F101" s="537"/>
      <c r="G101" s="537"/>
      <c r="H101" s="537"/>
      <c r="I101" s="537"/>
      <c r="L101" s="537"/>
      <c r="AA101" s="617"/>
      <c r="AB101" s="617">
        <v>3.5000000000000001E-3</v>
      </c>
      <c r="AC101" s="617">
        <v>3.5000000000000001E-3</v>
      </c>
      <c r="AD101" s="617">
        <v>7.4999999999999997E-3</v>
      </c>
      <c r="AE101" s="617">
        <v>3.5000000000000001E-3</v>
      </c>
      <c r="AF101" s="617">
        <v>3.5000000000000001E-3</v>
      </c>
      <c r="AG101" s="617">
        <v>3.5000000000000001E-3</v>
      </c>
    </row>
    <row r="102" spans="1:33" ht="10.5" hidden="1" customHeight="1" x14ac:dyDescent="0.2">
      <c r="A102" s="537"/>
      <c r="B102" s="537"/>
      <c r="C102" s="537"/>
      <c r="D102" s="537"/>
      <c r="E102" s="537"/>
      <c r="F102" s="537"/>
      <c r="G102" s="537"/>
      <c r="H102" s="537"/>
      <c r="I102" s="537"/>
      <c r="L102" s="537"/>
      <c r="AA102" s="617"/>
      <c r="AB102" s="617">
        <v>4.0000000000000001E-3</v>
      </c>
      <c r="AC102" s="617">
        <v>4.0000000000000001E-3</v>
      </c>
      <c r="AD102" s="617">
        <v>8.0000000000000002E-3</v>
      </c>
      <c r="AE102" s="617">
        <v>4.0000000000000001E-3</v>
      </c>
      <c r="AF102" s="617">
        <v>4.0000000000000001E-3</v>
      </c>
      <c r="AG102" s="617">
        <v>4.0000000000000001E-3</v>
      </c>
    </row>
    <row r="103" spans="1:33" ht="10.5" hidden="1" customHeight="1" x14ac:dyDescent="0.2">
      <c r="A103" s="537"/>
      <c r="B103" s="537"/>
      <c r="C103" s="537"/>
      <c r="D103" s="537"/>
      <c r="E103" s="537"/>
      <c r="F103" s="537"/>
      <c r="G103" s="537"/>
      <c r="H103" s="537"/>
      <c r="I103" s="537"/>
      <c r="L103" s="537"/>
      <c r="AA103" s="617"/>
      <c r="AB103" s="617">
        <v>4.4999999999999997E-3</v>
      </c>
      <c r="AC103" s="617">
        <v>4.4999999999999997E-3</v>
      </c>
      <c r="AD103" s="617">
        <v>8.5000000000000006E-3</v>
      </c>
      <c r="AE103" s="617">
        <v>4.4999999999999997E-3</v>
      </c>
      <c r="AF103" s="617"/>
      <c r="AG103" s="617">
        <v>4.4999999999999997E-3</v>
      </c>
    </row>
    <row r="104" spans="1:33" ht="10.5" hidden="1" customHeight="1" x14ac:dyDescent="0.2">
      <c r="A104" s="537"/>
      <c r="B104" s="537"/>
      <c r="C104" s="537"/>
      <c r="D104" s="537"/>
      <c r="E104" s="537"/>
      <c r="F104" s="537"/>
      <c r="G104" s="537"/>
      <c r="H104" s="537"/>
      <c r="I104" s="537"/>
      <c r="L104" s="537"/>
      <c r="AA104" s="617"/>
      <c r="AB104" s="617">
        <v>5.0000000000000001E-3</v>
      </c>
      <c r="AC104" s="617">
        <v>5.0000000000000001E-3</v>
      </c>
      <c r="AD104" s="617">
        <v>8.9999999999999993E-3</v>
      </c>
      <c r="AE104" s="617">
        <v>5.0000000000000001E-3</v>
      </c>
      <c r="AF104" s="617"/>
      <c r="AG104" s="617">
        <v>5.0000000000000001E-3</v>
      </c>
    </row>
    <row r="105" spans="1:33" ht="10.5" hidden="1" customHeight="1" x14ac:dyDescent="0.2">
      <c r="A105" s="537"/>
      <c r="B105" s="537"/>
      <c r="C105" s="537"/>
      <c r="D105" s="537"/>
      <c r="E105" s="537"/>
      <c r="F105" s="537"/>
      <c r="G105" s="537"/>
      <c r="H105" s="537"/>
      <c r="I105" s="537"/>
      <c r="L105" s="537"/>
      <c r="AA105" s="617"/>
      <c r="AB105" s="617"/>
      <c r="AC105" s="617">
        <v>5.4999999999999997E-3</v>
      </c>
      <c r="AD105" s="617">
        <v>9.4999999999999998E-3</v>
      </c>
      <c r="AE105" s="617"/>
      <c r="AF105" s="617"/>
      <c r="AG105" s="617">
        <v>5.4999999999999997E-3</v>
      </c>
    </row>
    <row r="106" spans="1:33" ht="10.5" hidden="1" customHeight="1" x14ac:dyDescent="0.2">
      <c r="A106" s="537"/>
      <c r="B106" s="537"/>
      <c r="C106" s="537"/>
      <c r="D106" s="537"/>
      <c r="E106" s="537"/>
      <c r="F106" s="537"/>
      <c r="G106" s="537"/>
      <c r="H106" s="537"/>
      <c r="I106" s="537"/>
      <c r="L106" s="537"/>
      <c r="AA106" s="617"/>
      <c r="AB106" s="617"/>
      <c r="AC106" s="617">
        <v>6.0000000000000001E-3</v>
      </c>
      <c r="AD106" s="617">
        <v>0.01</v>
      </c>
      <c r="AE106" s="617"/>
      <c r="AF106" s="617"/>
      <c r="AG106" s="617">
        <v>6.0000000000000001E-3</v>
      </c>
    </row>
    <row r="107" spans="1:33" ht="10.5" hidden="1" customHeight="1" x14ac:dyDescent="0.2">
      <c r="A107" s="537"/>
      <c r="B107" s="537"/>
      <c r="C107" s="537"/>
      <c r="D107" s="537"/>
      <c r="E107" s="537"/>
      <c r="F107" s="537"/>
      <c r="G107" s="537"/>
      <c r="H107" s="537"/>
      <c r="I107" s="537"/>
      <c r="L107" s="537"/>
      <c r="AA107" s="617"/>
      <c r="AB107" s="617"/>
      <c r="AC107" s="617"/>
      <c r="AD107" s="617">
        <v>1.0500000000000001E-2</v>
      </c>
      <c r="AE107" s="617"/>
      <c r="AF107" s="617"/>
      <c r="AG107" s="617">
        <v>6.4999999999999997E-3</v>
      </c>
    </row>
    <row r="108" spans="1:33" ht="10.5" hidden="1" customHeight="1" x14ac:dyDescent="0.2">
      <c r="A108" s="537"/>
      <c r="B108" s="537"/>
      <c r="C108" s="537"/>
      <c r="D108" s="537"/>
      <c r="E108" s="537"/>
      <c r="F108" s="537"/>
      <c r="G108" s="537"/>
      <c r="H108" s="537"/>
      <c r="I108" s="537"/>
      <c r="L108" s="537"/>
      <c r="AA108" s="617"/>
      <c r="AB108" s="617"/>
      <c r="AC108" s="617"/>
      <c r="AD108" s="617">
        <v>1.0999999999999999E-2</v>
      </c>
      <c r="AE108" s="617"/>
      <c r="AF108" s="617"/>
      <c r="AG108" s="617">
        <v>7.0000000000000001E-3</v>
      </c>
    </row>
    <row r="109" spans="1:33" ht="10.5" hidden="1" customHeight="1" x14ac:dyDescent="0.2">
      <c r="A109" s="537"/>
      <c r="B109" s="537"/>
      <c r="C109" s="537"/>
      <c r="D109" s="537"/>
      <c r="E109" s="537"/>
      <c r="F109" s="537"/>
      <c r="G109" s="537"/>
      <c r="H109" s="537"/>
      <c r="I109" s="537"/>
      <c r="L109" s="537"/>
      <c r="AA109" s="617"/>
      <c r="AB109" s="617"/>
      <c r="AC109" s="617"/>
      <c r="AD109" s="617">
        <v>1.15E-2</v>
      </c>
      <c r="AE109" s="617"/>
      <c r="AF109" s="617"/>
      <c r="AG109" s="617">
        <v>7.4999999999999997E-3</v>
      </c>
    </row>
    <row r="110" spans="1:33" ht="10.5" hidden="1" customHeight="1" x14ac:dyDescent="0.2">
      <c r="A110" s="537"/>
      <c r="B110" s="537"/>
      <c r="C110" s="537"/>
      <c r="D110" s="537"/>
      <c r="E110" s="537"/>
      <c r="F110" s="537"/>
      <c r="G110" s="537"/>
      <c r="H110" s="537"/>
      <c r="I110" s="537"/>
      <c r="L110" s="537"/>
      <c r="AA110" s="617"/>
      <c r="AB110" s="617"/>
      <c r="AC110" s="617"/>
      <c r="AD110" s="617">
        <v>1.2E-2</v>
      </c>
      <c r="AE110" s="617"/>
      <c r="AF110" s="617"/>
      <c r="AG110" s="617">
        <v>8.0000000000000002E-3</v>
      </c>
    </row>
    <row r="111" spans="1:33" ht="10.5" hidden="1" customHeight="1" x14ac:dyDescent="0.2">
      <c r="A111" s="537"/>
      <c r="B111" s="537"/>
      <c r="C111" s="537"/>
      <c r="D111" s="537"/>
      <c r="E111" s="537"/>
      <c r="F111" s="537"/>
      <c r="G111" s="537"/>
      <c r="H111" s="537"/>
      <c r="I111" s="537"/>
      <c r="L111" s="537"/>
      <c r="AA111" s="617"/>
      <c r="AB111" s="617"/>
      <c r="AC111" s="617"/>
      <c r="AD111" s="617">
        <v>1.2500000000000001E-2</v>
      </c>
      <c r="AE111" s="617"/>
      <c r="AF111" s="617"/>
      <c r="AG111" s="617">
        <v>8.5000000000000006E-3</v>
      </c>
    </row>
    <row r="112" spans="1:33" ht="10.5" hidden="1" customHeight="1" x14ac:dyDescent="0.2">
      <c r="A112" s="537"/>
      <c r="B112" s="537"/>
      <c r="C112" s="537"/>
      <c r="D112" s="537"/>
      <c r="E112" s="537"/>
      <c r="F112" s="537"/>
      <c r="G112" s="537"/>
      <c r="H112" s="537"/>
      <c r="I112" s="537"/>
      <c r="L112" s="537"/>
      <c r="AA112" s="617"/>
      <c r="AB112" s="617"/>
      <c r="AC112" s="617"/>
      <c r="AD112" s="617">
        <v>1.2999999999999999E-2</v>
      </c>
      <c r="AE112" s="617"/>
      <c r="AF112" s="617"/>
      <c r="AG112" s="617">
        <v>8.9999999999999993E-3</v>
      </c>
    </row>
    <row r="113" spans="1:33" ht="10.5" hidden="1" customHeight="1" x14ac:dyDescent="0.2">
      <c r="A113" s="537"/>
      <c r="B113" s="537"/>
      <c r="C113" s="537"/>
      <c r="D113" s="537"/>
      <c r="E113" s="537"/>
      <c r="F113" s="537"/>
      <c r="G113" s="537"/>
      <c r="H113" s="537"/>
      <c r="I113" s="537"/>
      <c r="L113" s="537"/>
      <c r="AA113" s="617"/>
      <c r="AB113" s="617"/>
      <c r="AC113" s="617"/>
      <c r="AD113" s="617">
        <v>1.35E-2</v>
      </c>
      <c r="AE113" s="617"/>
      <c r="AF113" s="617"/>
      <c r="AG113" s="617">
        <v>9.4999999999999998E-3</v>
      </c>
    </row>
    <row r="114" spans="1:33" ht="10.5" hidden="1" customHeight="1" x14ac:dyDescent="0.2">
      <c r="A114" s="537"/>
      <c r="B114" s="537"/>
      <c r="C114" s="537"/>
      <c r="D114" s="537"/>
      <c r="E114" s="537"/>
      <c r="F114" s="537"/>
      <c r="G114" s="537"/>
      <c r="H114" s="537"/>
      <c r="I114" s="537"/>
      <c r="L114" s="537"/>
      <c r="AA114" s="617"/>
      <c r="AB114" s="617"/>
      <c r="AC114" s="617"/>
      <c r="AD114" s="617">
        <v>1.4E-2</v>
      </c>
      <c r="AE114" s="617"/>
      <c r="AF114" s="617"/>
      <c r="AG114" s="617">
        <v>0.01</v>
      </c>
    </row>
    <row r="115" spans="1:33" ht="10.5" hidden="1" customHeight="1" x14ac:dyDescent="0.2">
      <c r="A115" s="537"/>
      <c r="B115" s="537"/>
      <c r="C115" s="537"/>
      <c r="D115" s="537"/>
      <c r="E115" s="537"/>
      <c r="F115" s="537"/>
      <c r="G115" s="537"/>
      <c r="H115" s="537"/>
      <c r="I115" s="537"/>
      <c r="L115" s="537"/>
      <c r="AA115" s="617"/>
      <c r="AB115" s="617"/>
      <c r="AC115" s="617"/>
      <c r="AD115" s="617">
        <v>1.4500000000000001E-2</v>
      </c>
      <c r="AE115" s="617"/>
      <c r="AF115" s="617"/>
      <c r="AG115" s="617"/>
    </row>
    <row r="116" spans="1:33" ht="10.5" hidden="1" customHeight="1" x14ac:dyDescent="0.2">
      <c r="A116" s="537"/>
      <c r="B116" s="537"/>
      <c r="C116" s="537"/>
      <c r="D116" s="537"/>
      <c r="E116" s="537"/>
      <c r="F116" s="537"/>
      <c r="G116" s="537"/>
      <c r="H116" s="537"/>
      <c r="I116" s="537"/>
      <c r="L116" s="537"/>
      <c r="AA116" s="617"/>
      <c r="AB116" s="617"/>
      <c r="AC116" s="617"/>
      <c r="AD116" s="617">
        <v>1.4999999999999999E-2</v>
      </c>
      <c r="AE116" s="617"/>
      <c r="AF116" s="617"/>
      <c r="AG116" s="617"/>
    </row>
    <row r="117" spans="1:33" ht="10.5" hidden="1" customHeight="1" x14ac:dyDescent="0.2">
      <c r="A117" s="537"/>
      <c r="B117" s="537"/>
      <c r="C117" s="537"/>
      <c r="D117" s="537"/>
      <c r="E117" s="537"/>
      <c r="F117" s="537"/>
      <c r="G117" s="537"/>
      <c r="H117" s="537"/>
      <c r="I117" s="537"/>
      <c r="L117" s="537"/>
      <c r="AA117" s="617"/>
      <c r="AB117" s="617"/>
      <c r="AC117" s="617"/>
      <c r="AD117" s="617"/>
      <c r="AE117" s="617"/>
      <c r="AF117" s="617"/>
      <c r="AG117" s="617"/>
    </row>
    <row r="118" spans="1:33" ht="10.5" hidden="1" customHeight="1" x14ac:dyDescent="0.2">
      <c r="A118" s="537"/>
      <c r="B118" s="537"/>
      <c r="C118" s="537"/>
      <c r="D118" s="537"/>
      <c r="E118" s="537"/>
      <c r="F118" s="537"/>
      <c r="G118" s="537"/>
      <c r="H118" s="537"/>
      <c r="I118" s="537"/>
      <c r="L118" s="537"/>
      <c r="AA118" s="617"/>
      <c r="AB118" s="617"/>
      <c r="AC118" s="617"/>
      <c r="AD118" s="617"/>
      <c r="AE118" s="617"/>
      <c r="AF118" s="617"/>
      <c r="AG118" s="617"/>
    </row>
    <row r="119" spans="1:33" ht="10.5" hidden="1" customHeight="1" x14ac:dyDescent="0.2">
      <c r="A119" s="537"/>
      <c r="B119" s="537"/>
      <c r="C119" s="537"/>
      <c r="D119" s="537"/>
      <c r="E119" s="537"/>
      <c r="F119" s="537"/>
      <c r="G119" s="537"/>
      <c r="H119" s="537"/>
      <c r="I119" s="537"/>
      <c r="L119" s="537"/>
      <c r="AA119" s="617"/>
      <c r="AB119" s="617"/>
      <c r="AC119" s="617"/>
      <c r="AD119" s="617"/>
      <c r="AE119" s="617"/>
      <c r="AF119" s="617"/>
      <c r="AG119" s="617"/>
    </row>
    <row r="120" spans="1:33" ht="10.5" hidden="1" customHeight="1" x14ac:dyDescent="0.2">
      <c r="A120" s="537"/>
      <c r="B120" s="537"/>
      <c r="C120" s="537"/>
      <c r="D120" s="537"/>
      <c r="E120" s="537"/>
      <c r="F120" s="537"/>
      <c r="G120" s="537"/>
      <c r="H120" s="537"/>
      <c r="I120" s="537"/>
      <c r="L120" s="537"/>
      <c r="AA120" s="617"/>
      <c r="AB120" s="617"/>
      <c r="AC120" s="617"/>
      <c r="AD120" s="617"/>
      <c r="AE120" s="617"/>
      <c r="AF120" s="617"/>
      <c r="AG120" s="617"/>
    </row>
    <row r="121" spans="1:33" ht="10.5" hidden="1" customHeight="1" x14ac:dyDescent="0.2">
      <c r="A121" s="537"/>
      <c r="B121" s="537"/>
      <c r="C121" s="537"/>
      <c r="D121" s="537"/>
      <c r="E121" s="537"/>
      <c r="F121" s="537"/>
      <c r="G121" s="537"/>
      <c r="H121" s="537"/>
      <c r="I121" s="537"/>
      <c r="L121" s="537"/>
      <c r="AA121" s="617"/>
      <c r="AB121" s="617"/>
      <c r="AC121" s="617"/>
      <c r="AD121" s="617"/>
      <c r="AE121" s="617"/>
      <c r="AF121" s="617"/>
      <c r="AG121" s="617"/>
    </row>
    <row r="122" spans="1:33" ht="10.5" hidden="1" customHeight="1" x14ac:dyDescent="0.2">
      <c r="A122" s="537"/>
      <c r="B122" s="537"/>
      <c r="C122" s="537"/>
      <c r="D122" s="537"/>
      <c r="E122" s="537"/>
      <c r="F122" s="537"/>
      <c r="G122" s="537"/>
      <c r="H122" s="537"/>
      <c r="I122" s="537"/>
      <c r="L122" s="537"/>
      <c r="AA122" s="617"/>
      <c r="AB122" s="617"/>
      <c r="AC122" s="617"/>
      <c r="AD122" s="617"/>
      <c r="AE122" s="617"/>
      <c r="AF122" s="617"/>
      <c r="AG122" s="617"/>
    </row>
    <row r="123" spans="1:33" ht="10.5" hidden="1" customHeight="1" x14ac:dyDescent="0.2">
      <c r="A123" s="537"/>
      <c r="B123" s="537"/>
      <c r="C123" s="537"/>
      <c r="D123" s="537"/>
      <c r="E123" s="537"/>
      <c r="F123" s="537"/>
      <c r="G123" s="537"/>
      <c r="H123" s="537"/>
      <c r="I123" s="537"/>
      <c r="L123" s="537"/>
      <c r="AA123" s="617"/>
      <c r="AB123" s="617"/>
      <c r="AC123" s="617"/>
      <c r="AD123" s="617"/>
      <c r="AE123" s="617"/>
      <c r="AF123" s="617"/>
      <c r="AG123" s="617"/>
    </row>
    <row r="124" spans="1:33" ht="10.5" customHeight="1" x14ac:dyDescent="0.2">
      <c r="A124" s="537"/>
      <c r="B124" s="537"/>
      <c r="C124" s="537"/>
      <c r="D124" s="537"/>
      <c r="E124" s="537"/>
      <c r="F124" s="537"/>
      <c r="G124" s="537"/>
      <c r="H124" s="537"/>
      <c r="I124" s="537"/>
      <c r="L124" s="537"/>
      <c r="AA124" s="539"/>
      <c r="AB124" s="539"/>
      <c r="AC124" s="539"/>
      <c r="AD124" s="539"/>
      <c r="AE124" s="539"/>
      <c r="AF124" s="539"/>
      <c r="AG124" s="537"/>
    </row>
    <row r="125" spans="1:33" ht="10.5" customHeight="1" x14ac:dyDescent="0.2">
      <c r="A125" s="537"/>
      <c r="B125" s="537"/>
      <c r="C125" s="537"/>
      <c r="D125" s="537"/>
      <c r="E125" s="537"/>
      <c r="F125" s="537"/>
      <c r="G125" s="537"/>
      <c r="H125" s="537"/>
      <c r="I125" s="537"/>
      <c r="L125" s="537"/>
      <c r="AA125" s="539"/>
      <c r="AB125" s="539"/>
      <c r="AC125" s="539"/>
      <c r="AD125" s="539"/>
      <c r="AE125" s="539"/>
      <c r="AF125" s="539"/>
      <c r="AG125" s="537"/>
    </row>
    <row r="126" spans="1:33" ht="10.5" customHeight="1" x14ac:dyDescent="0.2">
      <c r="A126" s="537"/>
      <c r="B126" s="537"/>
      <c r="C126" s="537"/>
      <c r="D126" s="537"/>
      <c r="E126" s="537"/>
      <c r="F126" s="537"/>
      <c r="G126" s="537"/>
      <c r="H126" s="537"/>
      <c r="I126" s="537"/>
      <c r="L126" s="537"/>
      <c r="AA126" s="539"/>
      <c r="AB126" s="539"/>
      <c r="AC126" s="539"/>
      <c r="AD126" s="539"/>
      <c r="AE126" s="539"/>
      <c r="AF126" s="539"/>
      <c r="AG126" s="537"/>
    </row>
    <row r="127" spans="1:33" ht="10.5" customHeight="1" x14ac:dyDescent="0.2">
      <c r="A127" s="537"/>
      <c r="B127" s="537"/>
      <c r="C127" s="537"/>
      <c r="D127" s="537"/>
      <c r="E127" s="537"/>
      <c r="F127" s="537"/>
      <c r="G127" s="537"/>
      <c r="H127" s="537"/>
      <c r="I127" s="537"/>
      <c r="L127" s="537"/>
      <c r="AA127" s="539"/>
      <c r="AB127" s="539"/>
      <c r="AC127" s="539"/>
      <c r="AD127" s="539"/>
      <c r="AE127" s="539"/>
      <c r="AF127" s="539"/>
      <c r="AG127" s="537"/>
    </row>
    <row r="128" spans="1:33" ht="10.5" customHeight="1" x14ac:dyDescent="0.2">
      <c r="A128" s="537"/>
      <c r="B128" s="537"/>
      <c r="C128" s="537"/>
      <c r="D128" s="537"/>
      <c r="E128" s="537"/>
      <c r="F128" s="537"/>
      <c r="G128" s="537"/>
      <c r="H128" s="537"/>
      <c r="I128" s="537"/>
      <c r="L128" s="537"/>
      <c r="AA128" s="539"/>
      <c r="AB128" s="539"/>
      <c r="AC128" s="539"/>
      <c r="AD128" s="539"/>
      <c r="AE128" s="539"/>
      <c r="AF128" s="539"/>
      <c r="AG128" s="537"/>
    </row>
    <row r="129" spans="1:33" ht="10.5" customHeight="1" x14ac:dyDescent="0.2">
      <c r="A129" s="537"/>
      <c r="B129" s="537"/>
      <c r="C129" s="537"/>
      <c r="D129" s="537"/>
      <c r="E129" s="537"/>
      <c r="F129" s="537"/>
      <c r="G129" s="537"/>
      <c r="H129" s="537"/>
      <c r="I129" s="537"/>
      <c r="L129" s="537"/>
      <c r="AA129" s="539"/>
      <c r="AB129" s="539"/>
      <c r="AC129" s="539"/>
      <c r="AD129" s="539"/>
      <c r="AE129" s="539"/>
      <c r="AF129" s="539"/>
      <c r="AG129" s="537"/>
    </row>
    <row r="130" spans="1:33" ht="10.5" customHeight="1" x14ac:dyDescent="0.2">
      <c r="A130" s="537"/>
      <c r="B130" s="537"/>
      <c r="C130" s="537"/>
      <c r="D130" s="537"/>
      <c r="E130" s="537"/>
      <c r="F130" s="537"/>
      <c r="G130" s="537"/>
      <c r="H130" s="537"/>
      <c r="I130" s="537"/>
      <c r="L130" s="537"/>
      <c r="AA130" s="539"/>
      <c r="AB130" s="539"/>
      <c r="AC130" s="539"/>
      <c r="AD130" s="539"/>
      <c r="AE130" s="539"/>
      <c r="AF130" s="539"/>
      <c r="AG130" s="537"/>
    </row>
    <row r="131" spans="1:33" ht="10.5" customHeight="1" x14ac:dyDescent="0.2">
      <c r="A131" s="537"/>
      <c r="B131" s="537"/>
      <c r="C131" s="537"/>
      <c r="D131" s="537"/>
      <c r="E131" s="537"/>
      <c r="F131" s="537"/>
      <c r="G131" s="537"/>
      <c r="H131" s="537"/>
      <c r="I131" s="537"/>
      <c r="L131" s="537"/>
      <c r="AA131" s="539"/>
      <c r="AB131" s="539"/>
      <c r="AC131" s="539"/>
      <c r="AD131" s="539"/>
      <c r="AE131" s="539"/>
      <c r="AF131" s="539"/>
      <c r="AG131" s="537"/>
    </row>
    <row r="132" spans="1:33" ht="10.5" customHeight="1" x14ac:dyDescent="0.2">
      <c r="A132" s="537"/>
      <c r="B132" s="537"/>
      <c r="C132" s="537"/>
      <c r="D132" s="537"/>
      <c r="E132" s="537"/>
      <c r="F132" s="537"/>
      <c r="G132" s="537"/>
      <c r="H132" s="537"/>
      <c r="I132" s="537"/>
      <c r="L132" s="537"/>
      <c r="AA132" s="539"/>
      <c r="AB132" s="539"/>
      <c r="AC132" s="539"/>
      <c r="AD132" s="539"/>
      <c r="AE132" s="539"/>
      <c r="AF132" s="539"/>
      <c r="AG132" s="537"/>
    </row>
    <row r="133" spans="1:33" ht="10.5" customHeight="1" x14ac:dyDescent="0.2">
      <c r="A133" s="537"/>
      <c r="B133" s="537"/>
      <c r="C133" s="537"/>
      <c r="D133" s="537"/>
      <c r="E133" s="537"/>
      <c r="F133" s="537"/>
      <c r="G133" s="537"/>
      <c r="H133" s="537"/>
      <c r="I133" s="537"/>
      <c r="L133" s="537"/>
      <c r="AA133" s="539"/>
      <c r="AB133" s="539"/>
      <c r="AC133" s="539"/>
      <c r="AD133" s="539"/>
      <c r="AE133" s="539"/>
      <c r="AF133" s="539"/>
      <c r="AG133" s="537"/>
    </row>
    <row r="134" spans="1:33" ht="10.5" customHeight="1" x14ac:dyDescent="0.2">
      <c r="A134" s="537"/>
      <c r="B134" s="537"/>
      <c r="C134" s="537"/>
      <c r="D134" s="537"/>
      <c r="E134" s="537"/>
      <c r="F134" s="537"/>
      <c r="G134" s="537"/>
      <c r="H134" s="537"/>
      <c r="I134" s="537"/>
      <c r="L134" s="537"/>
      <c r="AA134" s="539"/>
      <c r="AB134" s="539"/>
      <c r="AC134" s="539"/>
      <c r="AD134" s="539"/>
      <c r="AE134" s="539"/>
      <c r="AF134" s="539"/>
      <c r="AG134" s="537"/>
    </row>
    <row r="135" spans="1:33" ht="10.5" customHeight="1" x14ac:dyDescent="0.2">
      <c r="A135" s="537"/>
      <c r="B135" s="537"/>
      <c r="C135" s="537"/>
      <c r="D135" s="537"/>
      <c r="E135" s="537"/>
      <c r="F135" s="537"/>
      <c r="G135" s="537"/>
      <c r="H135" s="537"/>
      <c r="I135" s="537"/>
      <c r="L135" s="537"/>
      <c r="AA135" s="539"/>
      <c r="AB135" s="539"/>
      <c r="AC135" s="539"/>
      <c r="AD135" s="539"/>
      <c r="AE135" s="539"/>
      <c r="AF135" s="539"/>
      <c r="AG135" s="537"/>
    </row>
    <row r="136" spans="1:33" ht="10.5" customHeight="1" x14ac:dyDescent="0.2">
      <c r="A136" s="537"/>
      <c r="B136" s="537"/>
      <c r="C136" s="537"/>
      <c r="D136" s="537"/>
      <c r="E136" s="537"/>
      <c r="F136" s="537"/>
      <c r="G136" s="537"/>
      <c r="H136" s="537"/>
      <c r="I136" s="537"/>
      <c r="L136" s="537"/>
      <c r="AA136" s="539"/>
      <c r="AB136" s="539"/>
      <c r="AC136" s="539"/>
      <c r="AD136" s="539"/>
      <c r="AE136" s="539"/>
      <c r="AF136" s="539"/>
      <c r="AG136" s="537"/>
    </row>
    <row r="137" spans="1:33" ht="10.5" customHeight="1" x14ac:dyDescent="0.2">
      <c r="A137" s="537"/>
      <c r="B137" s="537"/>
      <c r="C137" s="537"/>
      <c r="D137" s="537"/>
      <c r="E137" s="537"/>
      <c r="F137" s="537"/>
      <c r="G137" s="537"/>
      <c r="H137" s="537"/>
      <c r="I137" s="537"/>
      <c r="L137" s="537"/>
      <c r="AA137" s="539"/>
      <c r="AB137" s="539"/>
      <c r="AC137" s="539"/>
      <c r="AD137" s="539"/>
      <c r="AE137" s="539"/>
      <c r="AF137" s="539"/>
      <c r="AG137" s="537"/>
    </row>
    <row r="138" spans="1:33" ht="10.5" customHeight="1" x14ac:dyDescent="0.2">
      <c r="A138" s="537"/>
      <c r="B138" s="537"/>
      <c r="C138" s="537"/>
      <c r="D138" s="537"/>
      <c r="E138" s="537"/>
      <c r="F138" s="537"/>
      <c r="G138" s="537"/>
      <c r="H138" s="537"/>
      <c r="I138" s="537"/>
      <c r="L138" s="537"/>
      <c r="AA138" s="539"/>
      <c r="AB138" s="539"/>
      <c r="AC138" s="539"/>
      <c r="AD138" s="539"/>
      <c r="AE138" s="539"/>
      <c r="AF138" s="539"/>
      <c r="AG138" s="537"/>
    </row>
    <row r="139" spans="1:33" ht="10.5" customHeight="1" x14ac:dyDescent="0.2">
      <c r="A139" s="537"/>
      <c r="B139" s="537"/>
      <c r="C139" s="537"/>
      <c r="D139" s="537"/>
      <c r="E139" s="537"/>
      <c r="F139" s="537"/>
      <c r="G139" s="537"/>
      <c r="H139" s="537"/>
      <c r="I139" s="537"/>
      <c r="L139" s="537"/>
      <c r="AA139" s="539"/>
      <c r="AB139" s="539"/>
      <c r="AC139" s="539"/>
      <c r="AD139" s="539"/>
      <c r="AE139" s="539"/>
      <c r="AF139" s="539"/>
      <c r="AG139" s="537"/>
    </row>
    <row r="140" spans="1:33" ht="10.5" customHeight="1" x14ac:dyDescent="0.2">
      <c r="A140" s="537"/>
      <c r="B140" s="537"/>
      <c r="C140" s="537"/>
      <c r="D140" s="537"/>
      <c r="E140" s="537"/>
      <c r="F140" s="537"/>
      <c r="G140" s="537"/>
      <c r="H140" s="537"/>
      <c r="I140" s="537"/>
      <c r="L140" s="537"/>
      <c r="AA140" s="539"/>
      <c r="AB140" s="539"/>
      <c r="AC140" s="539"/>
      <c r="AD140" s="539"/>
      <c r="AE140" s="539"/>
      <c r="AF140" s="539"/>
      <c r="AG140" s="537"/>
    </row>
    <row r="141" spans="1:33" ht="10.5" customHeight="1" x14ac:dyDescent="0.2">
      <c r="A141" s="537"/>
      <c r="B141" s="537"/>
      <c r="C141" s="537"/>
      <c r="D141" s="537"/>
      <c r="E141" s="537"/>
      <c r="F141" s="537"/>
      <c r="G141" s="537"/>
      <c r="H141" s="537"/>
      <c r="I141" s="537"/>
      <c r="L141" s="537"/>
      <c r="AA141" s="539"/>
      <c r="AB141" s="539"/>
      <c r="AC141" s="539"/>
      <c r="AD141" s="539"/>
      <c r="AE141" s="539"/>
      <c r="AF141" s="539"/>
      <c r="AG141" s="537"/>
    </row>
    <row r="142" spans="1:33" ht="10.5" customHeight="1" x14ac:dyDescent="0.2">
      <c r="A142" s="537"/>
      <c r="B142" s="537"/>
      <c r="C142" s="537"/>
      <c r="D142" s="537"/>
      <c r="E142" s="537"/>
      <c r="F142" s="537"/>
      <c r="G142" s="537"/>
      <c r="H142" s="537"/>
      <c r="I142" s="537"/>
      <c r="L142" s="537"/>
      <c r="AA142" s="539"/>
      <c r="AB142" s="539"/>
      <c r="AC142" s="539"/>
      <c r="AD142" s="539"/>
      <c r="AE142" s="539"/>
      <c r="AF142" s="539"/>
      <c r="AG142" s="537"/>
    </row>
    <row r="143" spans="1:33" ht="10.5" customHeight="1" x14ac:dyDescent="0.2">
      <c r="A143" s="537"/>
      <c r="B143" s="537"/>
      <c r="C143" s="537"/>
      <c r="D143" s="537"/>
      <c r="E143" s="537"/>
      <c r="F143" s="537"/>
      <c r="G143" s="537"/>
      <c r="H143" s="537"/>
      <c r="I143" s="537"/>
      <c r="L143" s="537"/>
      <c r="AA143" s="539"/>
      <c r="AB143" s="539"/>
      <c r="AC143" s="539"/>
      <c r="AD143" s="539"/>
      <c r="AE143" s="539"/>
      <c r="AF143" s="539"/>
      <c r="AG143" s="537"/>
    </row>
    <row r="144" spans="1:33" ht="10.5" customHeight="1" x14ac:dyDescent="0.2">
      <c r="A144" s="537"/>
      <c r="B144" s="537"/>
      <c r="C144" s="537"/>
      <c r="D144" s="537"/>
      <c r="E144" s="537"/>
      <c r="F144" s="537"/>
      <c r="G144" s="537"/>
      <c r="H144" s="537"/>
      <c r="I144" s="537"/>
      <c r="L144" s="537"/>
      <c r="AA144" s="539"/>
      <c r="AB144" s="539"/>
      <c r="AC144" s="539"/>
      <c r="AD144" s="539"/>
      <c r="AE144" s="539"/>
      <c r="AF144" s="539"/>
      <c r="AG144" s="537"/>
    </row>
    <row r="145" spans="1:33" ht="10.5" customHeight="1" x14ac:dyDescent="0.2">
      <c r="A145" s="537"/>
      <c r="B145" s="537"/>
      <c r="C145" s="537"/>
      <c r="D145" s="537"/>
      <c r="E145" s="537"/>
      <c r="F145" s="537"/>
      <c r="G145" s="537"/>
      <c r="H145" s="537"/>
      <c r="I145" s="537"/>
      <c r="L145" s="537"/>
      <c r="AA145" s="539"/>
      <c r="AB145" s="539"/>
      <c r="AC145" s="539"/>
      <c r="AD145" s="539"/>
      <c r="AE145" s="539"/>
      <c r="AF145" s="539"/>
      <c r="AG145" s="537"/>
    </row>
    <row r="146" spans="1:33" ht="10.5" customHeight="1" x14ac:dyDescent="0.2">
      <c r="A146" s="537"/>
      <c r="B146" s="537"/>
      <c r="C146" s="537"/>
      <c r="D146" s="537"/>
      <c r="E146" s="537"/>
      <c r="F146" s="537"/>
      <c r="G146" s="537"/>
      <c r="H146" s="537"/>
      <c r="I146" s="537"/>
      <c r="L146" s="537"/>
      <c r="AA146" s="539"/>
      <c r="AB146" s="539"/>
      <c r="AC146" s="539"/>
      <c r="AD146" s="539"/>
      <c r="AE146" s="539"/>
      <c r="AF146" s="539"/>
      <c r="AG146" s="537"/>
    </row>
    <row r="147" spans="1:33" ht="10.5" customHeight="1" x14ac:dyDescent="0.2">
      <c r="A147" s="537"/>
      <c r="B147" s="537"/>
      <c r="C147" s="537"/>
      <c r="D147" s="537"/>
      <c r="E147" s="537"/>
      <c r="F147" s="537"/>
      <c r="G147" s="537"/>
      <c r="H147" s="537"/>
      <c r="I147" s="537"/>
      <c r="L147" s="537"/>
      <c r="AA147" s="539"/>
      <c r="AB147" s="539"/>
      <c r="AC147" s="539"/>
      <c r="AD147" s="539"/>
      <c r="AE147" s="539"/>
      <c r="AF147" s="539"/>
      <c r="AG147" s="537"/>
    </row>
    <row r="148" spans="1:33" ht="10.5" customHeight="1" x14ac:dyDescent="0.2">
      <c r="A148" s="537"/>
      <c r="B148" s="537"/>
      <c r="C148" s="537"/>
      <c r="D148" s="537"/>
      <c r="E148" s="537"/>
      <c r="F148" s="537"/>
      <c r="G148" s="537"/>
      <c r="H148" s="537"/>
      <c r="I148" s="537"/>
      <c r="L148" s="537"/>
      <c r="AA148" s="539"/>
      <c r="AB148" s="539"/>
      <c r="AC148" s="539"/>
      <c r="AD148" s="539"/>
      <c r="AE148" s="539"/>
      <c r="AF148" s="539"/>
      <c r="AG148" s="537"/>
    </row>
    <row r="149" spans="1:33" ht="10.5" customHeight="1" x14ac:dyDescent="0.2">
      <c r="A149" s="537"/>
      <c r="B149" s="537"/>
      <c r="C149" s="537"/>
      <c r="D149" s="537"/>
      <c r="E149" s="537"/>
      <c r="F149" s="537"/>
      <c r="G149" s="537"/>
      <c r="H149" s="537"/>
      <c r="I149" s="537"/>
      <c r="L149" s="537"/>
      <c r="AA149" s="539"/>
      <c r="AB149" s="539"/>
      <c r="AC149" s="539"/>
      <c r="AD149" s="539"/>
      <c r="AE149" s="539"/>
      <c r="AF149" s="539"/>
      <c r="AG149" s="537"/>
    </row>
    <row r="150" spans="1:33" ht="10.5" customHeight="1" x14ac:dyDescent="0.2">
      <c r="A150" s="537"/>
      <c r="B150" s="537"/>
      <c r="C150" s="537"/>
      <c r="D150" s="537"/>
      <c r="E150" s="537"/>
      <c r="F150" s="537"/>
      <c r="G150" s="537"/>
      <c r="H150" s="537"/>
      <c r="I150" s="537"/>
      <c r="L150" s="537"/>
      <c r="AA150" s="539"/>
      <c r="AB150" s="539"/>
      <c r="AC150" s="539"/>
      <c r="AD150" s="539"/>
      <c r="AE150" s="539"/>
      <c r="AF150" s="539"/>
      <c r="AG150" s="537"/>
    </row>
    <row r="151" spans="1:33" ht="10.5" customHeight="1" x14ac:dyDescent="0.2">
      <c r="A151" s="537"/>
      <c r="B151" s="537"/>
      <c r="C151" s="537"/>
      <c r="D151" s="537"/>
      <c r="E151" s="537"/>
      <c r="F151" s="537"/>
      <c r="G151" s="537"/>
      <c r="H151" s="537"/>
      <c r="I151" s="537"/>
      <c r="L151" s="537"/>
      <c r="AA151" s="539"/>
      <c r="AB151" s="539"/>
      <c r="AC151" s="539"/>
      <c r="AD151" s="539"/>
      <c r="AE151" s="539"/>
      <c r="AF151" s="539"/>
      <c r="AG151" s="537"/>
    </row>
    <row r="152" spans="1:33" ht="10.5" customHeight="1" x14ac:dyDescent="0.2">
      <c r="A152" s="537"/>
      <c r="B152" s="537"/>
      <c r="C152" s="537"/>
      <c r="D152" s="537"/>
      <c r="E152" s="537"/>
      <c r="F152" s="537"/>
      <c r="G152" s="537"/>
      <c r="H152" s="537"/>
      <c r="I152" s="537"/>
      <c r="L152" s="537"/>
      <c r="AA152" s="539"/>
      <c r="AB152" s="539"/>
      <c r="AC152" s="539"/>
      <c r="AD152" s="539"/>
      <c r="AE152" s="539"/>
      <c r="AF152" s="539"/>
      <c r="AG152" s="537"/>
    </row>
    <row r="153" spans="1:33" ht="10.5" customHeight="1" x14ac:dyDescent="0.2">
      <c r="A153" s="537"/>
      <c r="B153" s="537"/>
      <c r="C153" s="537"/>
      <c r="D153" s="537"/>
      <c r="E153" s="537"/>
      <c r="F153" s="537"/>
      <c r="G153" s="537"/>
      <c r="H153" s="537"/>
      <c r="I153" s="537"/>
      <c r="L153" s="537"/>
      <c r="AA153" s="539"/>
      <c r="AB153" s="539"/>
      <c r="AC153" s="539"/>
      <c r="AD153" s="539"/>
      <c r="AE153" s="539"/>
      <c r="AF153" s="539"/>
      <c r="AG153" s="537"/>
    </row>
    <row r="154" spans="1:33" ht="10.5" customHeight="1" x14ac:dyDescent="0.2">
      <c r="A154" s="537"/>
      <c r="B154" s="537"/>
      <c r="C154" s="537"/>
      <c r="D154" s="537"/>
      <c r="E154" s="537"/>
      <c r="F154" s="537"/>
      <c r="G154" s="537"/>
      <c r="H154" s="537"/>
      <c r="I154" s="537"/>
      <c r="L154" s="537"/>
      <c r="AA154" s="539"/>
      <c r="AB154" s="539"/>
      <c r="AC154" s="539"/>
      <c r="AD154" s="539"/>
      <c r="AE154" s="539"/>
      <c r="AF154" s="539"/>
      <c r="AG154" s="537"/>
    </row>
    <row r="155" spans="1:33" ht="10.5" customHeight="1" x14ac:dyDescent="0.2">
      <c r="A155" s="537"/>
      <c r="B155" s="537"/>
      <c r="C155" s="537"/>
      <c r="D155" s="537"/>
      <c r="E155" s="537"/>
      <c r="F155" s="537"/>
      <c r="G155" s="537"/>
      <c r="H155" s="537"/>
      <c r="I155" s="537"/>
      <c r="L155" s="537"/>
      <c r="AA155" s="539"/>
      <c r="AB155" s="539"/>
      <c r="AC155" s="539"/>
      <c r="AD155" s="539"/>
      <c r="AE155" s="539"/>
      <c r="AF155" s="539"/>
      <c r="AG155" s="537"/>
    </row>
    <row r="156" spans="1:33" ht="10.5" customHeight="1" x14ac:dyDescent="0.2">
      <c r="A156" s="537"/>
      <c r="B156" s="537"/>
      <c r="C156" s="537"/>
      <c r="D156" s="537"/>
      <c r="E156" s="537"/>
      <c r="F156" s="537"/>
      <c r="G156" s="537"/>
      <c r="H156" s="537"/>
      <c r="I156" s="537"/>
      <c r="L156" s="537"/>
      <c r="AA156" s="539"/>
      <c r="AB156" s="539"/>
      <c r="AC156" s="539"/>
      <c r="AD156" s="539"/>
      <c r="AE156" s="539"/>
      <c r="AF156" s="539"/>
      <c r="AG156" s="537"/>
    </row>
    <row r="157" spans="1:33" ht="10.5" customHeight="1" x14ac:dyDescent="0.2">
      <c r="A157" s="537"/>
      <c r="B157" s="537"/>
      <c r="C157" s="537"/>
      <c r="D157" s="537"/>
      <c r="E157" s="537"/>
      <c r="F157" s="537"/>
      <c r="G157" s="537"/>
      <c r="H157" s="537"/>
      <c r="I157" s="537"/>
      <c r="L157" s="537"/>
      <c r="AA157" s="539"/>
      <c r="AB157" s="539"/>
      <c r="AC157" s="539"/>
      <c r="AD157" s="539"/>
      <c r="AE157" s="539"/>
      <c r="AF157" s="539"/>
      <c r="AG157" s="537"/>
    </row>
    <row r="158" spans="1:33" ht="10.5" customHeight="1" x14ac:dyDescent="0.2">
      <c r="A158" s="537"/>
      <c r="B158" s="537"/>
      <c r="C158" s="537"/>
      <c r="D158" s="537"/>
      <c r="E158" s="537"/>
      <c r="F158" s="537"/>
      <c r="G158" s="537"/>
      <c r="H158" s="537"/>
      <c r="I158" s="537"/>
      <c r="L158" s="537"/>
      <c r="AA158" s="539"/>
      <c r="AB158" s="539"/>
      <c r="AC158" s="539"/>
      <c r="AD158" s="539"/>
      <c r="AE158" s="539"/>
      <c r="AF158" s="539"/>
      <c r="AG158" s="537"/>
    </row>
    <row r="159" spans="1:33" ht="10.5" customHeight="1" x14ac:dyDescent="0.2">
      <c r="A159" s="537"/>
      <c r="B159" s="537"/>
      <c r="C159" s="537"/>
      <c r="D159" s="537"/>
      <c r="E159" s="537"/>
      <c r="F159" s="537"/>
      <c r="G159" s="537"/>
      <c r="H159" s="537"/>
      <c r="I159" s="537"/>
      <c r="L159" s="537"/>
      <c r="AA159" s="539"/>
      <c r="AB159" s="539"/>
      <c r="AC159" s="539"/>
      <c r="AD159" s="539"/>
      <c r="AE159" s="539"/>
      <c r="AF159" s="539"/>
      <c r="AG159" s="537"/>
    </row>
    <row r="160" spans="1:33" ht="10.5" customHeight="1" x14ac:dyDescent="0.2">
      <c r="A160" s="537"/>
      <c r="B160" s="537"/>
      <c r="C160" s="537"/>
      <c r="D160" s="537"/>
      <c r="E160" s="537"/>
      <c r="F160" s="537"/>
      <c r="G160" s="537"/>
      <c r="H160" s="537"/>
      <c r="I160" s="537"/>
      <c r="L160" s="537"/>
      <c r="AA160" s="539"/>
      <c r="AB160" s="539"/>
      <c r="AC160" s="539"/>
      <c r="AD160" s="539"/>
      <c r="AE160" s="539"/>
      <c r="AF160" s="539"/>
      <c r="AG160" s="537"/>
    </row>
    <row r="161" spans="1:33" ht="10.5" customHeight="1" x14ac:dyDescent="0.2">
      <c r="A161" s="537"/>
      <c r="B161" s="537"/>
      <c r="C161" s="537"/>
      <c r="D161" s="537"/>
      <c r="E161" s="537"/>
      <c r="F161" s="537"/>
      <c r="G161" s="537"/>
      <c r="H161" s="537"/>
      <c r="I161" s="537"/>
      <c r="L161" s="537"/>
      <c r="AA161" s="539"/>
      <c r="AB161" s="539"/>
      <c r="AC161" s="539"/>
      <c r="AD161" s="539"/>
      <c r="AE161" s="539"/>
      <c r="AF161" s="539"/>
      <c r="AG161" s="537"/>
    </row>
    <row r="162" spans="1:33" ht="10.5" customHeight="1" x14ac:dyDescent="0.2">
      <c r="A162" s="537"/>
      <c r="B162" s="537"/>
      <c r="C162" s="537"/>
      <c r="D162" s="537"/>
      <c r="E162" s="537"/>
      <c r="F162" s="537"/>
      <c r="G162" s="537"/>
      <c r="H162" s="537"/>
      <c r="I162" s="537"/>
      <c r="L162" s="537"/>
      <c r="AA162" s="539"/>
      <c r="AB162" s="539"/>
      <c r="AC162" s="539"/>
      <c r="AD162" s="539"/>
      <c r="AE162" s="539"/>
      <c r="AF162" s="539"/>
      <c r="AG162" s="537"/>
    </row>
    <row r="163" spans="1:33" ht="10.5" customHeight="1" x14ac:dyDescent="0.2">
      <c r="A163" s="537"/>
      <c r="B163" s="537"/>
      <c r="C163" s="537"/>
      <c r="D163" s="537"/>
      <c r="E163" s="537"/>
      <c r="F163" s="537"/>
      <c r="G163" s="537"/>
      <c r="H163" s="537"/>
      <c r="I163" s="537"/>
      <c r="L163" s="537"/>
      <c r="AA163" s="539"/>
      <c r="AB163" s="539"/>
      <c r="AC163" s="539"/>
      <c r="AD163" s="539"/>
      <c r="AE163" s="539"/>
      <c r="AF163" s="539"/>
      <c r="AG163" s="537"/>
    </row>
    <row r="164" spans="1:33" ht="10.5" customHeight="1" x14ac:dyDescent="0.2">
      <c r="A164" s="537"/>
      <c r="B164" s="537"/>
      <c r="C164" s="537"/>
      <c r="D164" s="537"/>
      <c r="E164" s="537"/>
      <c r="F164" s="537"/>
      <c r="G164" s="537"/>
      <c r="H164" s="537"/>
      <c r="I164" s="537"/>
      <c r="L164" s="537"/>
      <c r="AA164" s="539"/>
      <c r="AB164" s="539"/>
      <c r="AC164" s="539"/>
      <c r="AD164" s="539"/>
      <c r="AE164" s="539"/>
      <c r="AF164" s="539"/>
      <c r="AG164" s="537"/>
    </row>
    <row r="165" spans="1:33" ht="10.5" customHeight="1" x14ac:dyDescent="0.2">
      <c r="A165" s="537"/>
      <c r="B165" s="537"/>
      <c r="C165" s="537"/>
      <c r="D165" s="537"/>
      <c r="E165" s="537"/>
      <c r="F165" s="537"/>
      <c r="G165" s="537"/>
      <c r="H165" s="537"/>
      <c r="I165" s="537"/>
      <c r="L165" s="537"/>
      <c r="AA165" s="539"/>
      <c r="AB165" s="539"/>
      <c r="AC165" s="539"/>
      <c r="AD165" s="539"/>
      <c r="AE165" s="539"/>
      <c r="AF165" s="539"/>
      <c r="AG165" s="537"/>
    </row>
    <row r="166" spans="1:33" ht="10.5" customHeight="1" x14ac:dyDescent="0.2">
      <c r="A166" s="537"/>
      <c r="B166" s="537"/>
      <c r="C166" s="537"/>
      <c r="D166" s="537"/>
      <c r="E166" s="537"/>
      <c r="F166" s="537"/>
      <c r="G166" s="537"/>
      <c r="H166" s="537"/>
      <c r="I166" s="537"/>
      <c r="L166" s="537"/>
      <c r="AA166" s="539"/>
      <c r="AB166" s="539"/>
      <c r="AC166" s="539"/>
      <c r="AD166" s="539"/>
      <c r="AE166" s="539"/>
      <c r="AF166" s="539"/>
      <c r="AG166" s="537"/>
    </row>
    <row r="167" spans="1:33" ht="10.5" customHeight="1" x14ac:dyDescent="0.2">
      <c r="A167" s="537"/>
      <c r="B167" s="537"/>
      <c r="C167" s="537"/>
      <c r="D167" s="537"/>
      <c r="E167" s="537"/>
      <c r="F167" s="537"/>
      <c r="G167" s="537"/>
      <c r="H167" s="537"/>
      <c r="I167" s="537"/>
      <c r="L167" s="537"/>
      <c r="AA167" s="539"/>
      <c r="AB167" s="539"/>
      <c r="AC167" s="539"/>
      <c r="AD167" s="539"/>
      <c r="AE167" s="539"/>
      <c r="AF167" s="539"/>
      <c r="AG167" s="537"/>
    </row>
    <row r="168" spans="1:33" ht="10.5" customHeight="1" x14ac:dyDescent="0.2">
      <c r="A168" s="537"/>
      <c r="B168" s="537"/>
      <c r="C168" s="537"/>
      <c r="D168" s="537"/>
      <c r="E168" s="537"/>
      <c r="F168" s="537"/>
      <c r="G168" s="537"/>
      <c r="H168" s="537"/>
      <c r="I168" s="537"/>
      <c r="L168" s="537"/>
      <c r="AA168" s="539"/>
      <c r="AB168" s="539"/>
      <c r="AC168" s="539"/>
      <c r="AD168" s="539"/>
      <c r="AE168" s="539"/>
      <c r="AF168" s="539"/>
      <c r="AG168" s="537"/>
    </row>
    <row r="169" spans="1:33" ht="10.5" customHeight="1" x14ac:dyDescent="0.2">
      <c r="A169" s="537"/>
      <c r="B169" s="537"/>
      <c r="C169" s="537"/>
      <c r="D169" s="537"/>
      <c r="E169" s="537"/>
      <c r="F169" s="537"/>
      <c r="G169" s="537"/>
      <c r="H169" s="537"/>
      <c r="I169" s="537"/>
      <c r="L169" s="537"/>
      <c r="AA169" s="539"/>
      <c r="AB169" s="539"/>
      <c r="AC169" s="539"/>
      <c r="AD169" s="539"/>
      <c r="AE169" s="539"/>
      <c r="AF169" s="539"/>
      <c r="AG169" s="537"/>
    </row>
    <row r="170" spans="1:33" ht="10.5" customHeight="1" x14ac:dyDescent="0.2">
      <c r="A170" s="537"/>
      <c r="B170" s="537"/>
      <c r="C170" s="537"/>
      <c r="D170" s="537"/>
      <c r="E170" s="537"/>
      <c r="F170" s="537"/>
      <c r="G170" s="537"/>
      <c r="H170" s="537"/>
      <c r="I170" s="537"/>
      <c r="L170" s="537"/>
      <c r="AA170" s="539"/>
      <c r="AB170" s="539"/>
      <c r="AC170" s="539"/>
      <c r="AD170" s="539"/>
      <c r="AE170" s="539"/>
      <c r="AF170" s="539"/>
      <c r="AG170" s="537"/>
    </row>
    <row r="171" spans="1:33" ht="10.5" customHeight="1" x14ac:dyDescent="0.2">
      <c r="A171" s="537"/>
      <c r="B171" s="537"/>
      <c r="C171" s="537"/>
      <c r="D171" s="537"/>
      <c r="E171" s="537"/>
      <c r="F171" s="537"/>
      <c r="G171" s="537"/>
      <c r="H171" s="537"/>
      <c r="I171" s="537"/>
      <c r="L171" s="537"/>
      <c r="AA171" s="539"/>
      <c r="AB171" s="539"/>
      <c r="AC171" s="539"/>
      <c r="AD171" s="539"/>
      <c r="AE171" s="539"/>
      <c r="AF171" s="539"/>
      <c r="AG171" s="537"/>
    </row>
    <row r="172" spans="1:33" ht="10.5" customHeight="1" x14ac:dyDescent="0.2">
      <c r="A172" s="537"/>
      <c r="B172" s="537"/>
      <c r="C172" s="537"/>
      <c r="D172" s="537"/>
      <c r="E172" s="537"/>
      <c r="F172" s="537"/>
      <c r="G172" s="537"/>
      <c r="H172" s="537"/>
      <c r="I172" s="537"/>
      <c r="L172" s="537"/>
      <c r="AA172" s="539"/>
      <c r="AB172" s="539"/>
      <c r="AC172" s="539"/>
      <c r="AD172" s="539"/>
      <c r="AE172" s="539"/>
      <c r="AF172" s="539"/>
      <c r="AG172" s="537"/>
    </row>
    <row r="173" spans="1:33" ht="10.5" customHeight="1" x14ac:dyDescent="0.2">
      <c r="A173" s="537"/>
      <c r="B173" s="537"/>
      <c r="C173" s="537"/>
      <c r="D173" s="537"/>
      <c r="E173" s="537"/>
      <c r="F173" s="537"/>
      <c r="G173" s="537"/>
      <c r="H173" s="537"/>
      <c r="I173" s="537"/>
      <c r="L173" s="537"/>
      <c r="AA173" s="539"/>
      <c r="AB173" s="539"/>
      <c r="AC173" s="539"/>
      <c r="AD173" s="539"/>
      <c r="AE173" s="539"/>
      <c r="AF173" s="539"/>
      <c r="AG173" s="537"/>
    </row>
    <row r="174" spans="1:33" ht="10.5" customHeight="1" x14ac:dyDescent="0.2">
      <c r="A174" s="537"/>
      <c r="B174" s="537"/>
      <c r="C174" s="537"/>
      <c r="D174" s="537"/>
      <c r="E174" s="537"/>
      <c r="F174" s="537"/>
      <c r="G174" s="537"/>
      <c r="H174" s="537"/>
      <c r="I174" s="537"/>
      <c r="L174" s="537"/>
      <c r="AA174" s="539"/>
      <c r="AB174" s="539"/>
      <c r="AC174" s="539"/>
      <c r="AD174" s="539"/>
      <c r="AE174" s="539"/>
      <c r="AF174" s="539"/>
      <c r="AG174" s="537"/>
    </row>
    <row r="175" spans="1:33" ht="10.5" customHeight="1" x14ac:dyDescent="0.2">
      <c r="A175" s="537"/>
      <c r="B175" s="537"/>
      <c r="C175" s="537"/>
      <c r="D175" s="537"/>
      <c r="E175" s="537"/>
      <c r="F175" s="537"/>
      <c r="G175" s="537"/>
      <c r="H175" s="537"/>
      <c r="I175" s="537"/>
      <c r="L175" s="537"/>
      <c r="AA175" s="539"/>
      <c r="AB175" s="539"/>
      <c r="AC175" s="539"/>
      <c r="AD175" s="539"/>
      <c r="AE175" s="539"/>
      <c r="AF175" s="539"/>
      <c r="AG175" s="537"/>
    </row>
    <row r="176" spans="1:33" ht="10.5" customHeight="1" x14ac:dyDescent="0.2">
      <c r="A176" s="537"/>
      <c r="B176" s="537"/>
      <c r="C176" s="537"/>
      <c r="D176" s="537"/>
      <c r="E176" s="537"/>
      <c r="F176" s="537"/>
      <c r="G176" s="537"/>
      <c r="H176" s="537"/>
      <c r="I176" s="537"/>
      <c r="L176" s="537"/>
      <c r="AA176" s="539"/>
      <c r="AB176" s="539"/>
      <c r="AC176" s="539"/>
      <c r="AD176" s="539"/>
      <c r="AE176" s="539"/>
      <c r="AF176" s="539"/>
      <c r="AG176" s="537"/>
    </row>
    <row r="177" spans="1:33" ht="10.5" customHeight="1" x14ac:dyDescent="0.2">
      <c r="A177" s="537"/>
      <c r="B177" s="537"/>
      <c r="C177" s="537"/>
      <c r="D177" s="537"/>
      <c r="E177" s="537"/>
      <c r="F177" s="537"/>
      <c r="G177" s="537"/>
      <c r="H177" s="537"/>
      <c r="I177" s="537"/>
      <c r="L177" s="537"/>
      <c r="AA177" s="539"/>
      <c r="AB177" s="539"/>
      <c r="AC177" s="539"/>
      <c r="AD177" s="539"/>
      <c r="AE177" s="539"/>
      <c r="AF177" s="539"/>
      <c r="AG177" s="537"/>
    </row>
    <row r="178" spans="1:33" ht="10.5" customHeight="1" x14ac:dyDescent="0.2">
      <c r="A178" s="537"/>
      <c r="B178" s="537"/>
      <c r="C178" s="537"/>
      <c r="D178" s="537"/>
      <c r="E178" s="537"/>
      <c r="F178" s="537"/>
      <c r="G178" s="537"/>
      <c r="H178" s="537"/>
      <c r="I178" s="537"/>
      <c r="L178" s="537"/>
      <c r="AA178" s="539"/>
      <c r="AB178" s="539"/>
      <c r="AC178" s="539"/>
      <c r="AD178" s="539"/>
      <c r="AE178" s="539"/>
      <c r="AF178" s="539"/>
      <c r="AG178" s="537"/>
    </row>
    <row r="179" spans="1:33" ht="10.5" customHeight="1" x14ac:dyDescent="0.2">
      <c r="A179" s="537"/>
      <c r="B179" s="537"/>
      <c r="C179" s="537"/>
      <c r="D179" s="537"/>
      <c r="E179" s="537"/>
      <c r="F179" s="537"/>
      <c r="G179" s="537"/>
      <c r="H179" s="537"/>
      <c r="I179" s="537"/>
      <c r="L179" s="537"/>
      <c r="AA179" s="539"/>
      <c r="AB179" s="539"/>
      <c r="AC179" s="539"/>
      <c r="AD179" s="539"/>
      <c r="AE179" s="539"/>
      <c r="AF179" s="539"/>
      <c r="AG179" s="537"/>
    </row>
    <row r="180" spans="1:33" ht="10.5" customHeight="1" x14ac:dyDescent="0.2">
      <c r="A180" s="537"/>
      <c r="B180" s="537"/>
      <c r="C180" s="537"/>
      <c r="D180" s="537"/>
      <c r="E180" s="537"/>
      <c r="F180" s="537"/>
      <c r="G180" s="537"/>
      <c r="H180" s="537"/>
      <c r="I180" s="537"/>
      <c r="L180" s="537"/>
      <c r="AA180" s="539"/>
      <c r="AB180" s="539"/>
      <c r="AC180" s="539"/>
      <c r="AD180" s="539"/>
      <c r="AE180" s="539"/>
      <c r="AF180" s="539"/>
      <c r="AG180" s="537"/>
    </row>
    <row r="181" spans="1:33" ht="10.5" customHeight="1" x14ac:dyDescent="0.2">
      <c r="A181" s="537"/>
      <c r="B181" s="537"/>
      <c r="C181" s="537"/>
      <c r="D181" s="537"/>
      <c r="E181" s="537"/>
      <c r="F181" s="537"/>
      <c r="G181" s="537"/>
      <c r="H181" s="537"/>
      <c r="I181" s="537"/>
      <c r="L181" s="537"/>
      <c r="AA181" s="539"/>
      <c r="AB181" s="539"/>
      <c r="AC181" s="539"/>
      <c r="AD181" s="539"/>
      <c r="AE181" s="539"/>
      <c r="AF181" s="539"/>
      <c r="AG181" s="537"/>
    </row>
    <row r="182" spans="1:33" ht="10.5" customHeight="1" x14ac:dyDescent="0.2">
      <c r="A182" s="537"/>
      <c r="B182" s="537"/>
      <c r="C182" s="537"/>
      <c r="D182" s="537"/>
      <c r="E182" s="537"/>
      <c r="F182" s="537"/>
      <c r="G182" s="537"/>
      <c r="H182" s="537"/>
      <c r="I182" s="537"/>
      <c r="L182" s="537"/>
      <c r="AA182" s="539"/>
      <c r="AB182" s="539"/>
      <c r="AC182" s="539"/>
      <c r="AD182" s="539"/>
      <c r="AE182" s="539"/>
      <c r="AF182" s="539"/>
      <c r="AG182" s="537"/>
    </row>
    <row r="183" spans="1:33" ht="10.5" customHeight="1" x14ac:dyDescent="0.2">
      <c r="A183" s="537"/>
      <c r="B183" s="537"/>
      <c r="C183" s="537"/>
      <c r="D183" s="537"/>
      <c r="E183" s="537"/>
      <c r="F183" s="537"/>
      <c r="G183" s="537"/>
      <c r="H183" s="537"/>
      <c r="I183" s="537"/>
      <c r="L183" s="537"/>
      <c r="AA183" s="539"/>
      <c r="AB183" s="539"/>
      <c r="AC183" s="539"/>
      <c r="AD183" s="539"/>
      <c r="AE183" s="539"/>
      <c r="AF183" s="539"/>
      <c r="AG183" s="537"/>
    </row>
    <row r="184" spans="1:33" ht="10.5" customHeight="1" x14ac:dyDescent="0.2">
      <c r="A184" s="537"/>
      <c r="B184" s="537"/>
      <c r="C184" s="537"/>
      <c r="D184" s="537"/>
      <c r="E184" s="537"/>
      <c r="F184" s="537"/>
      <c r="G184" s="537"/>
      <c r="H184" s="537"/>
      <c r="I184" s="537"/>
      <c r="L184" s="537"/>
      <c r="AA184" s="539"/>
      <c r="AB184" s="539"/>
      <c r="AC184" s="539"/>
      <c r="AD184" s="539"/>
      <c r="AE184" s="539"/>
      <c r="AF184" s="539"/>
      <c r="AG184" s="537"/>
    </row>
    <row r="185" spans="1:33" ht="10.5" customHeight="1" x14ac:dyDescent="0.2">
      <c r="A185" s="537"/>
      <c r="B185" s="537"/>
      <c r="C185" s="537"/>
      <c r="D185" s="537"/>
      <c r="E185" s="537"/>
      <c r="F185" s="537"/>
      <c r="G185" s="537"/>
      <c r="H185" s="537"/>
      <c r="I185" s="537"/>
      <c r="L185" s="537"/>
      <c r="AA185" s="539"/>
      <c r="AB185" s="539"/>
      <c r="AC185" s="539"/>
      <c r="AD185" s="539"/>
      <c r="AE185" s="539"/>
      <c r="AF185" s="539"/>
      <c r="AG185" s="537"/>
    </row>
    <row r="186" spans="1:33" ht="10.5" customHeight="1" x14ac:dyDescent="0.2">
      <c r="A186" s="537"/>
      <c r="B186" s="537"/>
      <c r="C186" s="537"/>
      <c r="D186" s="537"/>
      <c r="E186" s="537"/>
      <c r="F186" s="537"/>
      <c r="G186" s="537"/>
      <c r="H186" s="537"/>
      <c r="I186" s="537"/>
      <c r="L186" s="537"/>
      <c r="AA186" s="539"/>
      <c r="AB186" s="539"/>
      <c r="AC186" s="539"/>
      <c r="AD186" s="539"/>
      <c r="AE186" s="539"/>
      <c r="AF186" s="539"/>
      <c r="AG186" s="537"/>
    </row>
    <row r="187" spans="1:33" ht="10.5" customHeight="1" x14ac:dyDescent="0.2">
      <c r="A187" s="537"/>
      <c r="B187" s="537"/>
      <c r="C187" s="537"/>
      <c r="D187" s="537"/>
      <c r="E187" s="537"/>
      <c r="F187" s="537"/>
      <c r="G187" s="537"/>
      <c r="H187" s="537"/>
      <c r="I187" s="537"/>
      <c r="L187" s="537"/>
      <c r="AA187" s="539"/>
      <c r="AB187" s="539"/>
      <c r="AC187" s="539"/>
      <c r="AD187" s="539"/>
      <c r="AE187" s="539"/>
      <c r="AF187" s="539"/>
      <c r="AG187" s="537"/>
    </row>
    <row r="188" spans="1:33" ht="10.5" customHeight="1" x14ac:dyDescent="0.2">
      <c r="A188" s="537"/>
      <c r="B188" s="537"/>
      <c r="C188" s="537"/>
      <c r="D188" s="537"/>
      <c r="E188" s="537"/>
      <c r="F188" s="537"/>
      <c r="G188" s="537"/>
      <c r="H188" s="537"/>
      <c r="I188" s="537"/>
      <c r="L188" s="537"/>
      <c r="AA188" s="539"/>
      <c r="AB188" s="539"/>
      <c r="AC188" s="539"/>
      <c r="AD188" s="539"/>
      <c r="AE188" s="539"/>
      <c r="AF188" s="539"/>
      <c r="AG188" s="537"/>
    </row>
    <row r="189" spans="1:33" ht="10.5" customHeight="1" x14ac:dyDescent="0.2">
      <c r="A189" s="537"/>
      <c r="B189" s="537"/>
      <c r="C189" s="537"/>
      <c r="D189" s="537"/>
      <c r="E189" s="537"/>
      <c r="F189" s="537"/>
      <c r="G189" s="537"/>
      <c r="H189" s="537"/>
      <c r="I189" s="537"/>
      <c r="L189" s="537"/>
      <c r="AA189" s="539"/>
      <c r="AB189" s="539"/>
      <c r="AC189" s="539"/>
      <c r="AD189" s="539"/>
      <c r="AE189" s="539"/>
      <c r="AF189" s="539"/>
      <c r="AG189" s="537"/>
    </row>
    <row r="190" spans="1:33" ht="10.5" customHeight="1" x14ac:dyDescent="0.2">
      <c r="A190" s="537"/>
      <c r="B190" s="537"/>
      <c r="C190" s="537"/>
      <c r="D190" s="537"/>
      <c r="E190" s="537"/>
      <c r="F190" s="537"/>
      <c r="G190" s="537"/>
      <c r="H190" s="537"/>
      <c r="I190" s="537"/>
      <c r="L190" s="537"/>
      <c r="AA190" s="539"/>
      <c r="AB190" s="539"/>
      <c r="AC190" s="539"/>
      <c r="AD190" s="539"/>
      <c r="AE190" s="539"/>
      <c r="AF190" s="539"/>
      <c r="AG190" s="537"/>
    </row>
    <row r="191" spans="1:33" ht="10.5" customHeight="1" x14ac:dyDescent="0.2">
      <c r="A191" s="537"/>
      <c r="B191" s="537"/>
      <c r="C191" s="537"/>
      <c r="D191" s="537"/>
      <c r="E191" s="537"/>
      <c r="F191" s="537"/>
      <c r="G191" s="537"/>
      <c r="H191" s="537"/>
      <c r="I191" s="537"/>
      <c r="L191" s="537"/>
      <c r="AA191" s="539"/>
      <c r="AB191" s="539"/>
      <c r="AC191" s="539"/>
      <c r="AD191" s="539"/>
      <c r="AE191" s="539"/>
      <c r="AF191" s="539"/>
      <c r="AG191" s="537"/>
    </row>
    <row r="192" spans="1:33" ht="10.5" customHeight="1" x14ac:dyDescent="0.2">
      <c r="A192" s="537"/>
      <c r="B192" s="537"/>
      <c r="C192" s="537"/>
      <c r="D192" s="537"/>
      <c r="E192" s="537"/>
      <c r="F192" s="537"/>
      <c r="G192" s="537"/>
      <c r="H192" s="537"/>
      <c r="I192" s="537"/>
      <c r="L192" s="537"/>
      <c r="AA192" s="539"/>
      <c r="AB192" s="539"/>
      <c r="AC192" s="539"/>
      <c r="AD192" s="539"/>
      <c r="AE192" s="539"/>
      <c r="AF192" s="539"/>
      <c r="AG192" s="537"/>
    </row>
    <row r="193" spans="1:33" ht="10.5" customHeight="1" x14ac:dyDescent="0.2">
      <c r="A193" s="537"/>
      <c r="B193" s="537"/>
      <c r="C193" s="537"/>
      <c r="D193" s="537"/>
      <c r="E193" s="537"/>
      <c r="F193" s="537"/>
      <c r="G193" s="537"/>
      <c r="H193" s="537"/>
      <c r="I193" s="537"/>
      <c r="L193" s="537"/>
      <c r="AA193" s="539"/>
      <c r="AB193" s="539"/>
      <c r="AC193" s="539"/>
      <c r="AD193" s="539"/>
      <c r="AE193" s="539"/>
      <c r="AF193" s="539"/>
      <c r="AG193" s="537"/>
    </row>
    <row r="194" spans="1:33" ht="10.5" customHeight="1" x14ac:dyDescent="0.2">
      <c r="A194" s="537"/>
      <c r="B194" s="537"/>
      <c r="C194" s="537"/>
      <c r="D194" s="537"/>
      <c r="E194" s="537"/>
      <c r="F194" s="537"/>
      <c r="G194" s="537"/>
      <c r="H194" s="537"/>
      <c r="I194" s="537"/>
      <c r="L194" s="537"/>
      <c r="AA194" s="539"/>
      <c r="AB194" s="539"/>
      <c r="AC194" s="539"/>
      <c r="AD194" s="539"/>
      <c r="AE194" s="539"/>
      <c r="AF194" s="539"/>
      <c r="AG194" s="537"/>
    </row>
    <row r="195" spans="1:33" ht="10.5" customHeight="1" x14ac:dyDescent="0.2">
      <c r="A195" s="537"/>
      <c r="B195" s="537"/>
      <c r="C195" s="537"/>
      <c r="D195" s="537"/>
      <c r="E195" s="537"/>
      <c r="F195" s="537"/>
      <c r="G195" s="537"/>
      <c r="H195" s="537"/>
      <c r="I195" s="537"/>
      <c r="L195" s="537"/>
      <c r="AA195" s="539"/>
      <c r="AB195" s="539"/>
      <c r="AC195" s="539"/>
      <c r="AD195" s="539"/>
      <c r="AE195" s="539"/>
      <c r="AF195" s="539"/>
      <c r="AG195" s="537"/>
    </row>
    <row r="196" spans="1:33" ht="10.5" customHeight="1" x14ac:dyDescent="0.2">
      <c r="A196" s="537"/>
      <c r="B196" s="537"/>
      <c r="C196" s="537"/>
      <c r="D196" s="537"/>
      <c r="E196" s="537"/>
      <c r="F196" s="537"/>
      <c r="G196" s="537"/>
      <c r="H196" s="537"/>
      <c r="I196" s="537"/>
      <c r="L196" s="537"/>
      <c r="AA196" s="539"/>
      <c r="AB196" s="539"/>
      <c r="AC196" s="539"/>
      <c r="AD196" s="539"/>
      <c r="AE196" s="539"/>
      <c r="AF196" s="539"/>
      <c r="AG196" s="537"/>
    </row>
    <row r="197" spans="1:33" ht="10.5" customHeight="1" x14ac:dyDescent="0.2">
      <c r="A197" s="537"/>
      <c r="B197" s="537"/>
      <c r="C197" s="537"/>
      <c r="D197" s="537"/>
      <c r="E197" s="537"/>
      <c r="F197" s="537"/>
      <c r="G197" s="537"/>
      <c r="H197" s="537"/>
      <c r="I197" s="537"/>
      <c r="L197" s="537"/>
      <c r="AA197" s="539"/>
      <c r="AB197" s="539"/>
      <c r="AC197" s="539"/>
      <c r="AD197" s="539"/>
      <c r="AE197" s="539"/>
      <c r="AF197" s="539"/>
      <c r="AG197" s="537"/>
    </row>
    <row r="198" spans="1:33" ht="10.5" customHeight="1" x14ac:dyDescent="0.2">
      <c r="A198" s="537"/>
      <c r="B198" s="537"/>
      <c r="C198" s="537"/>
      <c r="D198" s="537"/>
      <c r="E198" s="537"/>
      <c r="F198" s="537"/>
      <c r="G198" s="537"/>
      <c r="H198" s="537"/>
      <c r="I198" s="537"/>
      <c r="L198" s="537"/>
      <c r="AA198" s="539"/>
      <c r="AB198" s="539"/>
      <c r="AC198" s="539"/>
      <c r="AD198" s="539"/>
      <c r="AE198" s="539"/>
      <c r="AF198" s="539"/>
      <c r="AG198" s="537"/>
    </row>
    <row r="199" spans="1:33" ht="10.5" customHeight="1" x14ac:dyDescent="0.2">
      <c r="A199" s="537"/>
      <c r="B199" s="537"/>
      <c r="C199" s="537"/>
      <c r="D199" s="537"/>
      <c r="E199" s="537"/>
      <c r="F199" s="537"/>
      <c r="G199" s="537"/>
      <c r="H199" s="537"/>
      <c r="I199" s="537"/>
      <c r="L199" s="537"/>
      <c r="AA199" s="539"/>
      <c r="AB199" s="539"/>
      <c r="AC199" s="539"/>
      <c r="AD199" s="539"/>
      <c r="AE199" s="539"/>
      <c r="AF199" s="539"/>
      <c r="AG199" s="537"/>
    </row>
    <row r="200" spans="1:33" ht="10.5" customHeight="1" x14ac:dyDescent="0.2">
      <c r="A200" s="537"/>
      <c r="B200" s="537"/>
      <c r="C200" s="537"/>
      <c r="D200" s="537"/>
      <c r="E200" s="537"/>
      <c r="F200" s="537"/>
      <c r="G200" s="537"/>
      <c r="H200" s="537"/>
      <c r="I200" s="537"/>
      <c r="L200" s="537"/>
      <c r="AA200" s="539"/>
      <c r="AB200" s="539"/>
      <c r="AC200" s="539"/>
      <c r="AD200" s="539"/>
      <c r="AE200" s="539"/>
      <c r="AF200" s="539"/>
      <c r="AG200" s="537"/>
    </row>
    <row r="201" spans="1:33" ht="10.5" customHeight="1" x14ac:dyDescent="0.2">
      <c r="A201" s="537"/>
      <c r="B201" s="537"/>
      <c r="C201" s="537"/>
      <c r="D201" s="537"/>
      <c r="E201" s="537"/>
      <c r="F201" s="537"/>
      <c r="G201" s="537"/>
      <c r="H201" s="537"/>
      <c r="I201" s="537"/>
      <c r="L201" s="537"/>
      <c r="AA201" s="539"/>
      <c r="AB201" s="539"/>
      <c r="AC201" s="539"/>
      <c r="AD201" s="539"/>
      <c r="AE201" s="539"/>
      <c r="AF201" s="539"/>
      <c r="AG201" s="537"/>
    </row>
    <row r="202" spans="1:33" ht="10.5" customHeight="1" x14ac:dyDescent="0.2">
      <c r="A202" s="537"/>
      <c r="B202" s="537"/>
      <c r="C202" s="537"/>
      <c r="D202" s="537"/>
      <c r="E202" s="537"/>
      <c r="F202" s="537"/>
      <c r="G202" s="537"/>
      <c r="H202" s="537"/>
      <c r="I202" s="537"/>
      <c r="L202" s="537"/>
      <c r="AA202" s="539"/>
      <c r="AB202" s="539"/>
      <c r="AC202" s="539"/>
      <c r="AD202" s="539"/>
      <c r="AE202" s="539"/>
      <c r="AF202" s="539"/>
      <c r="AG202" s="537"/>
    </row>
    <row r="203" spans="1:33" ht="10.5" customHeight="1" x14ac:dyDescent="0.2">
      <c r="A203" s="537"/>
      <c r="B203" s="537"/>
      <c r="C203" s="537"/>
      <c r="D203" s="537"/>
      <c r="E203" s="537"/>
      <c r="F203" s="537"/>
      <c r="G203" s="537"/>
      <c r="H203" s="537"/>
      <c r="I203" s="537"/>
      <c r="L203" s="537"/>
      <c r="AA203" s="539"/>
      <c r="AB203" s="539"/>
      <c r="AC203" s="539"/>
      <c r="AD203" s="539"/>
      <c r="AE203" s="539"/>
      <c r="AF203" s="539"/>
      <c r="AG203" s="537"/>
    </row>
    <row r="204" spans="1:33" ht="10.5" customHeight="1" x14ac:dyDescent="0.2">
      <c r="A204" s="537"/>
      <c r="B204" s="537"/>
      <c r="C204" s="537"/>
      <c r="D204" s="537"/>
      <c r="E204" s="537"/>
      <c r="F204" s="537"/>
      <c r="G204" s="537"/>
      <c r="H204" s="537"/>
      <c r="I204" s="537"/>
      <c r="L204" s="537"/>
      <c r="AA204" s="539"/>
      <c r="AB204" s="539"/>
      <c r="AC204" s="539"/>
      <c r="AD204" s="539"/>
      <c r="AE204" s="539"/>
      <c r="AF204" s="539"/>
      <c r="AG204" s="537"/>
    </row>
    <row r="205" spans="1:33" ht="10.5" customHeight="1" x14ac:dyDescent="0.2">
      <c r="A205" s="537"/>
      <c r="B205" s="537"/>
      <c r="C205" s="537"/>
      <c r="D205" s="537"/>
      <c r="E205" s="537"/>
      <c r="F205" s="537"/>
      <c r="G205" s="537"/>
      <c r="H205" s="537"/>
      <c r="I205" s="537"/>
      <c r="L205" s="537"/>
      <c r="AA205" s="539"/>
      <c r="AB205" s="539"/>
      <c r="AC205" s="539"/>
      <c r="AD205" s="539"/>
      <c r="AE205" s="539"/>
      <c r="AF205" s="539"/>
      <c r="AG205" s="537"/>
    </row>
    <row r="206" spans="1:33" ht="10.5" customHeight="1" x14ac:dyDescent="0.2">
      <c r="A206" s="537"/>
      <c r="B206" s="537"/>
      <c r="C206" s="537"/>
      <c r="D206" s="537"/>
      <c r="E206" s="537"/>
      <c r="F206" s="537"/>
      <c r="G206" s="537"/>
      <c r="H206" s="537"/>
      <c r="I206" s="537"/>
      <c r="L206" s="537"/>
      <c r="AA206" s="539"/>
      <c r="AB206" s="539"/>
      <c r="AC206" s="539"/>
      <c r="AD206" s="539"/>
      <c r="AE206" s="539"/>
      <c r="AF206" s="539"/>
      <c r="AG206" s="537"/>
    </row>
    <row r="207" spans="1:33" ht="10.5" customHeight="1" x14ac:dyDescent="0.2">
      <c r="A207" s="537"/>
      <c r="B207" s="537"/>
      <c r="C207" s="537"/>
      <c r="D207" s="537"/>
      <c r="E207" s="537"/>
      <c r="F207" s="537"/>
      <c r="G207" s="537"/>
      <c r="H207" s="537"/>
      <c r="I207" s="537"/>
      <c r="L207" s="537"/>
      <c r="AA207" s="539"/>
      <c r="AB207" s="539"/>
      <c r="AC207" s="539"/>
      <c r="AD207" s="539"/>
      <c r="AE207" s="539"/>
      <c r="AF207" s="539"/>
      <c r="AG207" s="537"/>
    </row>
    <row r="208" spans="1:33" ht="10.5" customHeight="1" x14ac:dyDescent="0.2">
      <c r="A208" s="537"/>
      <c r="B208" s="537"/>
      <c r="C208" s="537"/>
      <c r="D208" s="537"/>
      <c r="E208" s="537"/>
      <c r="F208" s="537"/>
      <c r="G208" s="537"/>
      <c r="H208" s="537"/>
      <c r="I208" s="537"/>
      <c r="L208" s="537"/>
      <c r="AA208" s="539"/>
      <c r="AB208" s="539"/>
      <c r="AC208" s="539"/>
      <c r="AD208" s="539"/>
      <c r="AE208" s="539"/>
      <c r="AF208" s="539"/>
      <c r="AG208" s="537"/>
    </row>
    <row r="209" spans="1:33" ht="10.5" customHeight="1" x14ac:dyDescent="0.2">
      <c r="A209" s="537"/>
      <c r="B209" s="537"/>
      <c r="C209" s="537"/>
      <c r="D209" s="537"/>
      <c r="E209" s="537"/>
      <c r="F209" s="537"/>
      <c r="G209" s="537"/>
      <c r="H209" s="537"/>
      <c r="I209" s="537"/>
      <c r="L209" s="537"/>
      <c r="AA209" s="539"/>
      <c r="AB209" s="539"/>
      <c r="AC209" s="539"/>
      <c r="AD209" s="539"/>
      <c r="AE209" s="539"/>
      <c r="AF209" s="539"/>
      <c r="AG209" s="537"/>
    </row>
    <row r="210" spans="1:33" ht="10.5" customHeight="1" x14ac:dyDescent="0.2">
      <c r="A210" s="537"/>
      <c r="B210" s="537"/>
      <c r="C210" s="537"/>
      <c r="D210" s="537"/>
      <c r="E210" s="537"/>
      <c r="F210" s="537"/>
      <c r="G210" s="537"/>
      <c r="H210" s="537"/>
      <c r="I210" s="537"/>
      <c r="L210" s="537"/>
      <c r="AA210" s="539"/>
      <c r="AB210" s="539"/>
      <c r="AC210" s="539"/>
      <c r="AD210" s="539"/>
      <c r="AE210" s="539"/>
      <c r="AF210" s="539"/>
      <c r="AG210" s="537"/>
    </row>
    <row r="211" spans="1:33" ht="10.5" customHeight="1" x14ac:dyDescent="0.2">
      <c r="A211" s="537"/>
      <c r="B211" s="537"/>
      <c r="C211" s="537"/>
      <c r="D211" s="537"/>
      <c r="E211" s="537"/>
      <c r="F211" s="537"/>
      <c r="G211" s="537"/>
      <c r="H211" s="537"/>
      <c r="I211" s="537"/>
      <c r="L211" s="537"/>
      <c r="AA211" s="539"/>
      <c r="AB211" s="539"/>
      <c r="AC211" s="539"/>
      <c r="AD211" s="539"/>
      <c r="AE211" s="539"/>
      <c r="AF211" s="539"/>
      <c r="AG211" s="537"/>
    </row>
    <row r="212" spans="1:33" ht="10.5" customHeight="1" x14ac:dyDescent="0.2">
      <c r="A212" s="537"/>
      <c r="B212" s="537"/>
      <c r="C212" s="537"/>
      <c r="D212" s="537"/>
      <c r="E212" s="537"/>
      <c r="F212" s="537"/>
      <c r="G212" s="537"/>
      <c r="H212" s="537"/>
      <c r="I212" s="537"/>
      <c r="L212" s="537"/>
      <c r="AA212" s="539"/>
      <c r="AB212" s="539"/>
      <c r="AC212" s="539"/>
      <c r="AD212" s="539"/>
      <c r="AE212" s="539"/>
      <c r="AF212" s="539"/>
      <c r="AG212" s="537"/>
    </row>
    <row r="213" spans="1:33" ht="10.5" customHeight="1" x14ac:dyDescent="0.2">
      <c r="A213" s="537"/>
      <c r="B213" s="537"/>
      <c r="C213" s="537"/>
      <c r="D213" s="537"/>
      <c r="E213" s="537"/>
      <c r="F213" s="537"/>
      <c r="G213" s="537"/>
      <c r="H213" s="537"/>
      <c r="I213" s="537"/>
      <c r="L213" s="537"/>
      <c r="AA213" s="539"/>
      <c r="AB213" s="539"/>
      <c r="AC213" s="539"/>
      <c r="AD213" s="539"/>
      <c r="AE213" s="539"/>
      <c r="AF213" s="539"/>
      <c r="AG213" s="537"/>
    </row>
    <row r="214" spans="1:33" ht="10.5" customHeight="1" x14ac:dyDescent="0.2">
      <c r="A214" s="537"/>
      <c r="B214" s="537"/>
      <c r="C214" s="537"/>
      <c r="D214" s="537"/>
      <c r="E214" s="537"/>
      <c r="F214" s="537"/>
      <c r="G214" s="537"/>
      <c r="H214" s="537"/>
      <c r="I214" s="537"/>
      <c r="L214" s="537"/>
      <c r="AA214" s="539"/>
      <c r="AB214" s="539"/>
      <c r="AC214" s="539"/>
      <c r="AD214" s="539"/>
      <c r="AE214" s="539"/>
      <c r="AF214" s="539"/>
      <c r="AG214" s="537"/>
    </row>
    <row r="215" spans="1:33" ht="10.5" customHeight="1" x14ac:dyDescent="0.2">
      <c r="A215" s="537"/>
      <c r="B215" s="537"/>
      <c r="C215" s="537"/>
      <c r="D215" s="537"/>
      <c r="E215" s="537"/>
      <c r="F215" s="537"/>
      <c r="G215" s="537"/>
      <c r="H215" s="537"/>
      <c r="I215" s="537"/>
      <c r="L215" s="537"/>
      <c r="AA215" s="539"/>
      <c r="AB215" s="539"/>
      <c r="AC215" s="539"/>
      <c r="AD215" s="539"/>
      <c r="AE215" s="539"/>
      <c r="AF215" s="539"/>
      <c r="AG215" s="537"/>
    </row>
    <row r="216" spans="1:33" ht="10.5" customHeight="1" x14ac:dyDescent="0.2">
      <c r="A216" s="537"/>
      <c r="B216" s="537"/>
      <c r="C216" s="537"/>
      <c r="D216" s="537"/>
      <c r="E216" s="537"/>
      <c r="F216" s="537"/>
      <c r="G216" s="537"/>
      <c r="H216" s="537"/>
      <c r="I216" s="537"/>
      <c r="L216" s="537"/>
      <c r="AA216" s="539"/>
      <c r="AB216" s="539"/>
      <c r="AC216" s="539"/>
      <c r="AD216" s="539"/>
      <c r="AE216" s="539"/>
      <c r="AF216" s="539"/>
      <c r="AG216" s="537"/>
    </row>
    <row r="217" spans="1:33" ht="10.5" customHeight="1" x14ac:dyDescent="0.2">
      <c r="A217" s="537"/>
      <c r="B217" s="537"/>
      <c r="C217" s="537"/>
      <c r="D217" s="537"/>
      <c r="E217" s="537"/>
      <c r="F217" s="537"/>
      <c r="G217" s="537"/>
      <c r="H217" s="537"/>
      <c r="I217" s="537"/>
      <c r="L217" s="537"/>
      <c r="AA217" s="539"/>
      <c r="AB217" s="539"/>
      <c r="AC217" s="539"/>
      <c r="AD217" s="539"/>
      <c r="AE217" s="539"/>
      <c r="AF217" s="539"/>
      <c r="AG217" s="537"/>
    </row>
    <row r="218" spans="1:33" ht="10.5" customHeight="1" x14ac:dyDescent="0.2">
      <c r="A218" s="537"/>
      <c r="B218" s="537"/>
      <c r="C218" s="537"/>
      <c r="D218" s="537"/>
      <c r="E218" s="537"/>
      <c r="F218" s="537"/>
      <c r="G218" s="537"/>
      <c r="H218" s="537"/>
      <c r="I218" s="537"/>
      <c r="L218" s="537"/>
      <c r="AA218" s="539"/>
      <c r="AB218" s="539"/>
      <c r="AC218" s="539"/>
      <c r="AD218" s="539"/>
      <c r="AE218" s="539"/>
      <c r="AF218" s="539"/>
      <c r="AG218" s="537"/>
    </row>
    <row r="219" spans="1:33" ht="10.5" customHeight="1" x14ac:dyDescent="0.2">
      <c r="A219" s="537"/>
      <c r="B219" s="537"/>
      <c r="C219" s="537"/>
      <c r="D219" s="537"/>
      <c r="E219" s="537"/>
      <c r="F219" s="537"/>
      <c r="G219" s="537"/>
      <c r="H219" s="537"/>
      <c r="I219" s="537"/>
      <c r="L219" s="537"/>
      <c r="AA219" s="539"/>
      <c r="AB219" s="539"/>
      <c r="AC219" s="539"/>
      <c r="AD219" s="539"/>
      <c r="AE219" s="539"/>
      <c r="AF219" s="539"/>
      <c r="AG219" s="537"/>
    </row>
    <row r="220" spans="1:33" ht="10.5" customHeight="1" x14ac:dyDescent="0.2">
      <c r="A220" s="537"/>
      <c r="B220" s="537"/>
      <c r="C220" s="537"/>
      <c r="D220" s="537"/>
      <c r="E220" s="537"/>
      <c r="F220" s="537"/>
      <c r="G220" s="537"/>
      <c r="H220" s="537"/>
      <c r="I220" s="537"/>
      <c r="L220" s="537"/>
      <c r="AA220" s="539"/>
      <c r="AB220" s="539"/>
      <c r="AC220" s="539"/>
      <c r="AD220" s="539"/>
      <c r="AE220" s="539"/>
      <c r="AF220" s="539"/>
      <c r="AG220" s="537"/>
    </row>
    <row r="221" spans="1:33" ht="10.5" customHeight="1" x14ac:dyDescent="0.2">
      <c r="A221" s="537"/>
      <c r="B221" s="537"/>
      <c r="C221" s="537"/>
      <c r="D221" s="537"/>
      <c r="E221" s="537"/>
      <c r="F221" s="537"/>
      <c r="G221" s="537"/>
      <c r="H221" s="537"/>
      <c r="I221" s="537"/>
      <c r="L221" s="537"/>
      <c r="AA221" s="539"/>
      <c r="AB221" s="539"/>
      <c r="AC221" s="539"/>
      <c r="AD221" s="539"/>
      <c r="AE221" s="539"/>
      <c r="AF221" s="539"/>
      <c r="AG221" s="537"/>
    </row>
    <row r="222" spans="1:33" ht="10.5" customHeight="1" x14ac:dyDescent="0.2">
      <c r="A222" s="537"/>
      <c r="B222" s="537"/>
      <c r="C222" s="537"/>
      <c r="D222" s="537"/>
      <c r="E222" s="537"/>
      <c r="F222" s="537"/>
      <c r="G222" s="537"/>
      <c r="H222" s="537"/>
      <c r="I222" s="537"/>
      <c r="L222" s="537"/>
      <c r="AA222" s="539"/>
      <c r="AB222" s="539"/>
      <c r="AC222" s="539"/>
      <c r="AD222" s="539"/>
      <c r="AE222" s="539"/>
      <c r="AF222" s="539"/>
      <c r="AG222" s="537"/>
    </row>
    <row r="223" spans="1:33" ht="10.5" customHeight="1" x14ac:dyDescent="0.2">
      <c r="A223" s="537"/>
      <c r="B223" s="537"/>
      <c r="C223" s="537"/>
      <c r="D223" s="537"/>
      <c r="E223" s="537"/>
      <c r="F223" s="537"/>
      <c r="G223" s="537"/>
      <c r="H223" s="537"/>
      <c r="I223" s="537"/>
      <c r="L223" s="537"/>
      <c r="AA223" s="539"/>
      <c r="AB223" s="539"/>
      <c r="AC223" s="539"/>
      <c r="AD223" s="539"/>
      <c r="AE223" s="539"/>
      <c r="AF223" s="539"/>
      <c r="AG223" s="537"/>
    </row>
    <row r="224" spans="1:33" ht="10.5" customHeight="1" x14ac:dyDescent="0.2">
      <c r="A224" s="537"/>
      <c r="B224" s="537"/>
      <c r="C224" s="537"/>
      <c r="D224" s="537"/>
      <c r="E224" s="537"/>
      <c r="F224" s="537"/>
      <c r="G224" s="537"/>
      <c r="H224" s="537"/>
      <c r="I224" s="537"/>
      <c r="L224" s="537"/>
      <c r="AA224" s="539"/>
      <c r="AB224" s="539"/>
      <c r="AC224" s="539"/>
      <c r="AD224" s="539"/>
      <c r="AE224" s="539"/>
      <c r="AF224" s="539"/>
      <c r="AG224" s="537"/>
    </row>
    <row r="225" spans="1:33" ht="10.5" customHeight="1" x14ac:dyDescent="0.2">
      <c r="A225" s="537"/>
      <c r="B225" s="537"/>
      <c r="C225" s="537"/>
      <c r="D225" s="537"/>
      <c r="E225" s="537"/>
      <c r="F225" s="537"/>
      <c r="G225" s="537"/>
      <c r="H225" s="537"/>
      <c r="I225" s="537"/>
      <c r="L225" s="537"/>
      <c r="AA225" s="539"/>
      <c r="AB225" s="539"/>
      <c r="AC225" s="539"/>
      <c r="AD225" s="539"/>
      <c r="AE225" s="539"/>
      <c r="AF225" s="539"/>
      <c r="AG225" s="537"/>
    </row>
    <row r="226" spans="1:33" ht="10.5" customHeight="1" x14ac:dyDescent="0.2">
      <c r="A226" s="537"/>
      <c r="B226" s="537"/>
      <c r="C226" s="537"/>
      <c r="D226" s="537"/>
      <c r="E226" s="537"/>
      <c r="F226" s="537"/>
      <c r="G226" s="537"/>
      <c r="H226" s="537"/>
      <c r="I226" s="537"/>
      <c r="L226" s="537"/>
      <c r="AA226" s="539"/>
      <c r="AB226" s="539"/>
      <c r="AC226" s="539"/>
      <c r="AD226" s="539"/>
      <c r="AE226" s="539"/>
      <c r="AF226" s="539"/>
      <c r="AG226" s="537"/>
    </row>
    <row r="227" spans="1:33" ht="10.5" customHeight="1" x14ac:dyDescent="0.2">
      <c r="A227" s="537"/>
      <c r="B227" s="537"/>
      <c r="C227" s="537"/>
      <c r="D227" s="537"/>
      <c r="E227" s="537"/>
      <c r="F227" s="537"/>
      <c r="G227" s="537"/>
      <c r="H227" s="537"/>
      <c r="I227" s="537"/>
      <c r="L227" s="537"/>
      <c r="AA227" s="539"/>
      <c r="AB227" s="539"/>
      <c r="AC227" s="539"/>
      <c r="AD227" s="539"/>
      <c r="AE227" s="539"/>
      <c r="AF227" s="539"/>
      <c r="AG227" s="537"/>
    </row>
    <row r="228" spans="1:33" ht="10.5" customHeight="1" x14ac:dyDescent="0.2">
      <c r="A228" s="537"/>
      <c r="B228" s="537"/>
      <c r="C228" s="537"/>
      <c r="D228" s="537"/>
      <c r="E228" s="537"/>
      <c r="F228" s="537"/>
      <c r="G228" s="537"/>
      <c r="H228" s="537"/>
      <c r="I228" s="537"/>
      <c r="L228" s="537"/>
      <c r="AA228" s="539"/>
      <c r="AB228" s="539"/>
      <c r="AC228" s="539"/>
      <c r="AD228" s="539"/>
      <c r="AE228" s="539"/>
      <c r="AF228" s="539"/>
      <c r="AG228" s="537"/>
    </row>
    <row r="229" spans="1:33" ht="10.5" customHeight="1" x14ac:dyDescent="0.2">
      <c r="A229" s="537"/>
      <c r="B229" s="537"/>
      <c r="C229" s="537"/>
      <c r="D229" s="537"/>
      <c r="E229" s="537"/>
      <c r="F229" s="537"/>
      <c r="G229" s="537"/>
      <c r="H229" s="537"/>
      <c r="I229" s="537"/>
      <c r="L229" s="537"/>
      <c r="AA229" s="539"/>
      <c r="AB229" s="539"/>
      <c r="AC229" s="539"/>
      <c r="AD229" s="539"/>
      <c r="AE229" s="539"/>
      <c r="AF229" s="539"/>
      <c r="AG229" s="537"/>
    </row>
    <row r="230" spans="1:33" ht="10.5" customHeight="1" x14ac:dyDescent="0.2">
      <c r="A230" s="537"/>
      <c r="B230" s="537"/>
      <c r="C230" s="537"/>
      <c r="D230" s="537"/>
      <c r="E230" s="537"/>
      <c r="F230" s="537"/>
      <c r="G230" s="537"/>
      <c r="H230" s="537"/>
      <c r="I230" s="537"/>
      <c r="L230" s="537"/>
      <c r="AA230" s="539"/>
      <c r="AB230" s="539"/>
      <c r="AC230" s="539"/>
      <c r="AD230" s="539"/>
      <c r="AE230" s="539"/>
      <c r="AF230" s="539"/>
      <c r="AG230" s="537"/>
    </row>
    <row r="231" spans="1:33" ht="10.5" customHeight="1" x14ac:dyDescent="0.2">
      <c r="A231" s="537"/>
      <c r="B231" s="537"/>
      <c r="C231" s="537"/>
      <c r="D231" s="537"/>
      <c r="E231" s="537"/>
      <c r="F231" s="537"/>
      <c r="G231" s="537"/>
      <c r="H231" s="537"/>
      <c r="I231" s="537"/>
      <c r="L231" s="537"/>
      <c r="AA231" s="539"/>
      <c r="AB231" s="539"/>
      <c r="AC231" s="539"/>
      <c r="AD231" s="539"/>
      <c r="AE231" s="539"/>
      <c r="AF231" s="539"/>
      <c r="AG231" s="537"/>
    </row>
    <row r="232" spans="1:33" ht="10.5" customHeight="1" x14ac:dyDescent="0.2">
      <c r="A232" s="537"/>
      <c r="B232" s="537"/>
      <c r="C232" s="537"/>
      <c r="D232" s="537"/>
      <c r="E232" s="537"/>
      <c r="F232" s="537"/>
      <c r="G232" s="537"/>
      <c r="H232" s="537"/>
      <c r="I232" s="537"/>
      <c r="L232" s="537"/>
      <c r="AA232" s="539"/>
      <c r="AB232" s="539"/>
      <c r="AC232" s="539"/>
      <c r="AD232" s="539"/>
      <c r="AE232" s="539"/>
      <c r="AF232" s="539"/>
      <c r="AG232" s="537"/>
    </row>
    <row r="233" spans="1:33" ht="10.5" customHeight="1" x14ac:dyDescent="0.2">
      <c r="A233" s="537"/>
      <c r="B233" s="537"/>
      <c r="C233" s="537"/>
      <c r="D233" s="537"/>
      <c r="E233" s="537"/>
      <c r="F233" s="537"/>
      <c r="G233" s="537"/>
      <c r="H233" s="537"/>
      <c r="I233" s="537"/>
      <c r="L233" s="537"/>
      <c r="AA233" s="539"/>
      <c r="AB233" s="539"/>
      <c r="AC233" s="539"/>
      <c r="AD233" s="539"/>
      <c r="AE233" s="539"/>
      <c r="AF233" s="539"/>
      <c r="AG233" s="537"/>
    </row>
    <row r="234" spans="1:33" ht="10.5" customHeight="1" x14ac:dyDescent="0.2">
      <c r="A234" s="537"/>
      <c r="B234" s="537"/>
      <c r="C234" s="537"/>
      <c r="D234" s="537"/>
      <c r="E234" s="537"/>
      <c r="F234" s="537"/>
      <c r="G234" s="537"/>
      <c r="H234" s="537"/>
      <c r="I234" s="537"/>
      <c r="L234" s="537"/>
      <c r="AA234" s="539"/>
      <c r="AB234" s="539"/>
      <c r="AC234" s="539"/>
      <c r="AD234" s="539"/>
      <c r="AE234" s="539"/>
      <c r="AF234" s="539"/>
      <c r="AG234" s="537"/>
    </row>
    <row r="235" spans="1:33" ht="10.5" customHeight="1" x14ac:dyDescent="0.2">
      <c r="A235" s="537"/>
      <c r="B235" s="537"/>
      <c r="C235" s="537"/>
      <c r="D235" s="537"/>
      <c r="E235" s="537"/>
      <c r="F235" s="537"/>
      <c r="G235" s="537"/>
      <c r="H235" s="537"/>
      <c r="I235" s="537"/>
      <c r="L235" s="537"/>
      <c r="AA235" s="539"/>
      <c r="AB235" s="539"/>
      <c r="AC235" s="539"/>
      <c r="AD235" s="539"/>
      <c r="AE235" s="539"/>
      <c r="AF235" s="539"/>
      <c r="AG235" s="537"/>
    </row>
    <row r="236" spans="1:33" ht="10.5" customHeight="1" x14ac:dyDescent="0.2">
      <c r="A236" s="537"/>
      <c r="B236" s="537"/>
      <c r="C236" s="537"/>
      <c r="D236" s="537"/>
      <c r="E236" s="537"/>
      <c r="F236" s="537"/>
      <c r="G236" s="537"/>
      <c r="H236" s="537"/>
      <c r="I236" s="537"/>
      <c r="L236" s="537"/>
      <c r="AA236" s="539"/>
      <c r="AB236" s="539"/>
      <c r="AC236" s="539"/>
      <c r="AD236" s="539"/>
      <c r="AE236" s="539"/>
      <c r="AF236" s="539"/>
      <c r="AG236" s="537"/>
    </row>
    <row r="237" spans="1:33" ht="10.5" customHeight="1" x14ac:dyDescent="0.2">
      <c r="A237" s="537"/>
      <c r="B237" s="537"/>
      <c r="C237" s="537"/>
      <c r="D237" s="537"/>
      <c r="E237" s="537"/>
      <c r="F237" s="537"/>
      <c r="G237" s="537"/>
      <c r="H237" s="537"/>
      <c r="I237" s="537"/>
      <c r="L237" s="537"/>
      <c r="AA237" s="539"/>
      <c r="AB237" s="539"/>
      <c r="AC237" s="539"/>
      <c r="AD237" s="539"/>
      <c r="AE237" s="539"/>
      <c r="AF237" s="539"/>
      <c r="AG237" s="537"/>
    </row>
    <row r="238" spans="1:33" ht="10.5" customHeight="1" x14ac:dyDescent="0.2">
      <c r="A238" s="537"/>
      <c r="B238" s="537"/>
      <c r="C238" s="537"/>
      <c r="D238" s="537"/>
      <c r="E238" s="537"/>
      <c r="F238" s="537"/>
      <c r="G238" s="537"/>
      <c r="H238" s="537"/>
      <c r="I238" s="537"/>
      <c r="L238" s="537"/>
      <c r="AA238" s="539"/>
      <c r="AB238" s="539"/>
      <c r="AC238" s="539"/>
      <c r="AD238" s="539"/>
      <c r="AE238" s="539"/>
      <c r="AF238" s="539"/>
      <c r="AG238" s="537"/>
    </row>
    <row r="239" spans="1:33" ht="10.5" customHeight="1" x14ac:dyDescent="0.2">
      <c r="A239" s="537"/>
      <c r="B239" s="537"/>
      <c r="C239" s="537"/>
      <c r="D239" s="537"/>
      <c r="E239" s="537"/>
      <c r="F239" s="537"/>
      <c r="G239" s="537"/>
      <c r="H239" s="537"/>
      <c r="I239" s="537"/>
      <c r="L239" s="537"/>
      <c r="AA239" s="539"/>
      <c r="AB239" s="539"/>
      <c r="AC239" s="539"/>
      <c r="AD239" s="539"/>
      <c r="AE239" s="539"/>
      <c r="AF239" s="539"/>
      <c r="AG239" s="537"/>
    </row>
    <row r="240" spans="1:33" ht="10.5" customHeight="1" x14ac:dyDescent="0.2">
      <c r="A240" s="537"/>
      <c r="B240" s="537"/>
      <c r="C240" s="537"/>
      <c r="D240" s="537"/>
      <c r="E240" s="537"/>
      <c r="F240" s="537"/>
      <c r="G240" s="537"/>
      <c r="H240" s="537"/>
      <c r="I240" s="537"/>
      <c r="L240" s="537"/>
      <c r="AA240" s="539"/>
      <c r="AB240" s="539"/>
      <c r="AC240" s="539"/>
      <c r="AD240" s="539"/>
      <c r="AE240" s="539"/>
      <c r="AF240" s="539"/>
      <c r="AG240" s="537"/>
    </row>
    <row r="241" spans="1:33" ht="10.5" customHeight="1" x14ac:dyDescent="0.2">
      <c r="A241" s="537"/>
      <c r="B241" s="537"/>
      <c r="C241" s="537"/>
      <c r="D241" s="537"/>
      <c r="E241" s="537"/>
      <c r="F241" s="537"/>
      <c r="G241" s="537"/>
      <c r="H241" s="537"/>
      <c r="I241" s="537"/>
      <c r="L241" s="537"/>
      <c r="AA241" s="539"/>
      <c r="AB241" s="539"/>
      <c r="AC241" s="539"/>
      <c r="AD241" s="539"/>
      <c r="AE241" s="539"/>
      <c r="AF241" s="539"/>
      <c r="AG241" s="537"/>
    </row>
    <row r="242" spans="1:33" ht="10.5" customHeight="1" x14ac:dyDescent="0.2">
      <c r="A242" s="537"/>
      <c r="B242" s="537"/>
      <c r="C242" s="537"/>
      <c r="D242" s="537"/>
      <c r="E242" s="537"/>
      <c r="F242" s="537"/>
      <c r="G242" s="537"/>
      <c r="H242" s="537"/>
      <c r="I242" s="537"/>
      <c r="L242" s="537"/>
      <c r="AA242" s="539"/>
      <c r="AB242" s="539"/>
      <c r="AC242" s="539"/>
      <c r="AD242" s="539"/>
      <c r="AE242" s="539"/>
      <c r="AF242" s="539"/>
      <c r="AG242" s="537"/>
    </row>
    <row r="243" spans="1:33" ht="10.5" customHeight="1" x14ac:dyDescent="0.2">
      <c r="A243" s="537"/>
      <c r="B243" s="537"/>
      <c r="C243" s="537"/>
      <c r="D243" s="537"/>
      <c r="E243" s="537"/>
      <c r="F243" s="537"/>
      <c r="G243" s="537"/>
      <c r="H243" s="537"/>
      <c r="I243" s="537"/>
      <c r="L243" s="537"/>
      <c r="AA243" s="539"/>
      <c r="AB243" s="539"/>
      <c r="AC243" s="539"/>
      <c r="AD243" s="539"/>
      <c r="AE243" s="539"/>
      <c r="AF243" s="539"/>
      <c r="AG243" s="537"/>
    </row>
    <row r="244" spans="1:33" ht="10.5" customHeight="1" x14ac:dyDescent="0.2">
      <c r="A244" s="537"/>
      <c r="B244" s="537"/>
      <c r="C244" s="537"/>
      <c r="D244" s="537"/>
      <c r="E244" s="537"/>
      <c r="F244" s="537"/>
      <c r="G244" s="537"/>
      <c r="H244" s="537"/>
      <c r="I244" s="537"/>
      <c r="L244" s="537"/>
      <c r="AA244" s="539"/>
      <c r="AB244" s="539"/>
      <c r="AC244" s="539"/>
      <c r="AD244" s="539"/>
      <c r="AE244" s="539"/>
      <c r="AF244" s="539"/>
      <c r="AG244" s="537"/>
    </row>
    <row r="245" spans="1:33" ht="10.5" customHeight="1" x14ac:dyDescent="0.2">
      <c r="A245" s="537"/>
      <c r="B245" s="537"/>
      <c r="C245" s="537"/>
      <c r="D245" s="537"/>
      <c r="E245" s="537"/>
      <c r="F245" s="537"/>
      <c r="G245" s="537"/>
      <c r="H245" s="537"/>
      <c r="I245" s="537"/>
      <c r="L245" s="537"/>
      <c r="AA245" s="539"/>
      <c r="AB245" s="539"/>
      <c r="AC245" s="539"/>
      <c r="AD245" s="539"/>
      <c r="AE245" s="539"/>
      <c r="AF245" s="539"/>
      <c r="AG245" s="537"/>
    </row>
    <row r="246" spans="1:33" ht="10.5" customHeight="1" x14ac:dyDescent="0.2">
      <c r="A246" s="537"/>
      <c r="B246" s="537"/>
      <c r="C246" s="537"/>
      <c r="D246" s="537"/>
      <c r="E246" s="537"/>
      <c r="F246" s="537"/>
      <c r="G246" s="537"/>
      <c r="H246" s="537"/>
      <c r="I246" s="537"/>
      <c r="L246" s="537"/>
      <c r="AA246" s="539"/>
      <c r="AB246" s="539"/>
      <c r="AC246" s="539"/>
      <c r="AD246" s="539"/>
      <c r="AE246" s="539"/>
      <c r="AF246" s="539"/>
      <c r="AG246" s="537"/>
    </row>
    <row r="247" spans="1:33" ht="10.5" customHeight="1" x14ac:dyDescent="0.2">
      <c r="A247" s="537"/>
      <c r="B247" s="537"/>
      <c r="C247" s="537"/>
      <c r="D247" s="537"/>
      <c r="E247" s="537"/>
      <c r="F247" s="537"/>
      <c r="G247" s="537"/>
      <c r="H247" s="537"/>
      <c r="I247" s="537"/>
      <c r="L247" s="537"/>
      <c r="AA247" s="539"/>
      <c r="AB247" s="539"/>
      <c r="AC247" s="539"/>
      <c r="AD247" s="539"/>
      <c r="AE247" s="539"/>
      <c r="AF247" s="539"/>
      <c r="AG247" s="537"/>
    </row>
    <row r="248" spans="1:33" ht="10.5" customHeight="1" x14ac:dyDescent="0.2">
      <c r="A248" s="537"/>
      <c r="B248" s="537"/>
      <c r="C248" s="537"/>
      <c r="D248" s="537"/>
      <c r="E248" s="537"/>
      <c r="F248" s="537"/>
      <c r="G248" s="537"/>
      <c r="H248" s="537"/>
      <c r="I248" s="537"/>
      <c r="L248" s="537"/>
      <c r="AA248" s="539"/>
      <c r="AB248" s="539"/>
      <c r="AC248" s="539"/>
      <c r="AD248" s="539"/>
      <c r="AE248" s="539"/>
      <c r="AF248" s="539"/>
      <c r="AG248" s="537"/>
    </row>
    <row r="249" spans="1:33" ht="10.5" customHeight="1" x14ac:dyDescent="0.2">
      <c r="A249" s="537"/>
      <c r="B249" s="537"/>
      <c r="C249" s="537"/>
      <c r="D249" s="537"/>
      <c r="E249" s="537"/>
      <c r="F249" s="537"/>
      <c r="G249" s="537"/>
      <c r="H249" s="537"/>
      <c r="I249" s="537"/>
      <c r="L249" s="537"/>
      <c r="AA249" s="539"/>
      <c r="AB249" s="539"/>
      <c r="AC249" s="539"/>
      <c r="AD249" s="539"/>
      <c r="AE249" s="539"/>
      <c r="AF249" s="539"/>
      <c r="AG249" s="537"/>
    </row>
    <row r="250" spans="1:33" ht="10.5" customHeight="1" x14ac:dyDescent="0.2">
      <c r="A250" s="537"/>
      <c r="B250" s="537"/>
      <c r="C250" s="537"/>
      <c r="D250" s="537"/>
      <c r="E250" s="537"/>
      <c r="F250" s="537"/>
      <c r="G250" s="537"/>
      <c r="H250" s="537"/>
      <c r="I250" s="537"/>
      <c r="L250" s="537"/>
      <c r="AA250" s="539"/>
      <c r="AB250" s="539"/>
      <c r="AC250" s="539"/>
      <c r="AD250" s="539"/>
      <c r="AE250" s="539"/>
      <c r="AF250" s="539"/>
      <c r="AG250" s="537"/>
    </row>
    <row r="251" spans="1:33" ht="10.5" customHeight="1" x14ac:dyDescent="0.2">
      <c r="A251" s="537"/>
      <c r="B251" s="537"/>
      <c r="C251" s="537"/>
      <c r="D251" s="537"/>
      <c r="E251" s="537"/>
      <c r="F251" s="537"/>
      <c r="G251" s="537"/>
      <c r="H251" s="537"/>
      <c r="I251" s="537"/>
      <c r="L251" s="537"/>
      <c r="AA251" s="539"/>
      <c r="AB251" s="539"/>
      <c r="AC251" s="539"/>
      <c r="AD251" s="539"/>
      <c r="AE251" s="539"/>
      <c r="AF251" s="539"/>
      <c r="AG251" s="537"/>
    </row>
    <row r="252" spans="1:33" ht="10.5" customHeight="1" x14ac:dyDescent="0.2">
      <c r="A252" s="537"/>
      <c r="B252" s="537"/>
      <c r="C252" s="537"/>
      <c r="D252" s="537"/>
      <c r="E252" s="537"/>
      <c r="F252" s="537"/>
      <c r="G252" s="537"/>
      <c r="H252" s="537"/>
      <c r="I252" s="537"/>
      <c r="L252" s="537"/>
      <c r="AA252" s="539"/>
      <c r="AB252" s="539"/>
      <c r="AC252" s="539"/>
      <c r="AD252" s="539"/>
      <c r="AE252" s="539"/>
      <c r="AF252" s="539"/>
      <c r="AG252" s="537"/>
    </row>
    <row r="253" spans="1:33" ht="10.5" customHeight="1" x14ac:dyDescent="0.2">
      <c r="A253" s="537"/>
      <c r="B253" s="537"/>
      <c r="C253" s="537"/>
      <c r="D253" s="537"/>
      <c r="E253" s="537"/>
      <c r="F253" s="537"/>
      <c r="G253" s="537"/>
      <c r="H253" s="537"/>
      <c r="I253" s="537"/>
      <c r="L253" s="537"/>
      <c r="AA253" s="539"/>
      <c r="AB253" s="539"/>
      <c r="AC253" s="539"/>
      <c r="AD253" s="539"/>
      <c r="AE253" s="539"/>
      <c r="AF253" s="539"/>
      <c r="AG253" s="537"/>
    </row>
    <row r="254" spans="1:33" ht="10.5" customHeight="1" x14ac:dyDescent="0.2">
      <c r="A254" s="537"/>
      <c r="B254" s="537"/>
      <c r="C254" s="537"/>
      <c r="D254" s="537"/>
      <c r="E254" s="537"/>
      <c r="F254" s="537"/>
      <c r="G254" s="537"/>
      <c r="H254" s="537"/>
      <c r="I254" s="537"/>
      <c r="L254" s="537"/>
      <c r="AA254" s="539"/>
      <c r="AB254" s="539"/>
      <c r="AC254" s="539"/>
      <c r="AD254" s="539"/>
      <c r="AE254" s="539"/>
      <c r="AF254" s="539"/>
      <c r="AG254" s="537"/>
    </row>
    <row r="255" spans="1:33" ht="10.5" customHeight="1" x14ac:dyDescent="0.2">
      <c r="A255" s="537"/>
      <c r="B255" s="537"/>
      <c r="C255" s="537"/>
      <c r="D255" s="537"/>
      <c r="E255" s="537"/>
      <c r="F255" s="537"/>
      <c r="G255" s="537"/>
      <c r="H255" s="537"/>
      <c r="I255" s="537"/>
      <c r="L255" s="537"/>
      <c r="AA255" s="539"/>
      <c r="AB255" s="539"/>
      <c r="AC255" s="539"/>
      <c r="AD255" s="539"/>
      <c r="AE255" s="539"/>
      <c r="AF255" s="539"/>
      <c r="AG255" s="537"/>
    </row>
    <row r="256" spans="1:33" ht="10.5" customHeight="1" x14ac:dyDescent="0.2">
      <c r="A256" s="537"/>
      <c r="B256" s="537"/>
      <c r="C256" s="537"/>
      <c r="D256" s="537"/>
      <c r="E256" s="537"/>
      <c r="F256" s="537"/>
      <c r="G256" s="537"/>
      <c r="H256" s="537"/>
      <c r="I256" s="537"/>
      <c r="L256" s="537"/>
      <c r="AA256" s="539"/>
      <c r="AB256" s="539"/>
      <c r="AC256" s="539"/>
      <c r="AD256" s="539"/>
      <c r="AE256" s="539"/>
      <c r="AF256" s="539"/>
      <c r="AG256" s="537"/>
    </row>
    <row r="257" spans="1:33" ht="10.5" customHeight="1" x14ac:dyDescent="0.2">
      <c r="A257" s="537"/>
      <c r="B257" s="537"/>
      <c r="C257" s="537"/>
      <c r="D257" s="537"/>
      <c r="E257" s="537"/>
      <c r="F257" s="537"/>
      <c r="G257" s="537"/>
      <c r="H257" s="537"/>
      <c r="I257" s="537"/>
      <c r="L257" s="537"/>
      <c r="AA257" s="539"/>
      <c r="AB257" s="539"/>
      <c r="AC257" s="539"/>
      <c r="AD257" s="539"/>
      <c r="AE257" s="539"/>
      <c r="AF257" s="539"/>
      <c r="AG257" s="537"/>
    </row>
    <row r="258" spans="1:33" ht="10.5" customHeight="1" x14ac:dyDescent="0.2">
      <c r="A258" s="537"/>
      <c r="B258" s="537"/>
      <c r="C258" s="537"/>
      <c r="D258" s="537"/>
      <c r="E258" s="537"/>
      <c r="F258" s="537"/>
      <c r="G258" s="537"/>
      <c r="H258" s="537"/>
      <c r="I258" s="537"/>
      <c r="L258" s="537"/>
      <c r="AA258" s="539"/>
      <c r="AB258" s="539"/>
      <c r="AC258" s="539"/>
      <c r="AD258" s="539"/>
      <c r="AE258" s="539"/>
      <c r="AF258" s="539"/>
      <c r="AG258" s="537"/>
    </row>
    <row r="259" spans="1:33" ht="10.5" customHeight="1" x14ac:dyDescent="0.2">
      <c r="A259" s="537"/>
      <c r="B259" s="537"/>
      <c r="C259" s="537"/>
      <c r="D259" s="537"/>
      <c r="E259" s="537"/>
      <c r="F259" s="537"/>
      <c r="G259" s="537"/>
      <c r="H259" s="537"/>
      <c r="I259" s="537"/>
      <c r="L259" s="537"/>
      <c r="AA259" s="539"/>
      <c r="AB259" s="539"/>
      <c r="AC259" s="539"/>
      <c r="AD259" s="539"/>
      <c r="AE259" s="539"/>
      <c r="AF259" s="539"/>
      <c r="AG259" s="537"/>
    </row>
    <row r="260" spans="1:33" ht="10.5" customHeight="1" x14ac:dyDescent="0.2">
      <c r="A260" s="537"/>
      <c r="B260" s="537"/>
      <c r="C260" s="537"/>
      <c r="D260" s="537"/>
      <c r="E260" s="537"/>
      <c r="F260" s="537"/>
      <c r="G260" s="537"/>
      <c r="H260" s="537"/>
      <c r="I260" s="537"/>
      <c r="L260" s="537"/>
      <c r="AA260" s="539"/>
      <c r="AB260" s="539"/>
      <c r="AC260" s="539"/>
      <c r="AD260" s="539"/>
      <c r="AE260" s="539"/>
      <c r="AF260" s="539"/>
      <c r="AG260" s="537"/>
    </row>
    <row r="261" spans="1:33" ht="10.5" customHeight="1" x14ac:dyDescent="0.2">
      <c r="A261" s="537"/>
      <c r="B261" s="537"/>
      <c r="C261" s="537"/>
      <c r="D261" s="537"/>
      <c r="E261" s="537"/>
      <c r="F261" s="537"/>
      <c r="G261" s="537"/>
      <c r="H261" s="537"/>
      <c r="I261" s="537"/>
      <c r="L261" s="537"/>
      <c r="AA261" s="539"/>
      <c r="AB261" s="539"/>
      <c r="AC261" s="539"/>
      <c r="AD261" s="539"/>
      <c r="AE261" s="539"/>
      <c r="AF261" s="539"/>
      <c r="AG261" s="537"/>
    </row>
    <row r="262" spans="1:33" ht="10.5" customHeight="1" x14ac:dyDescent="0.2">
      <c r="A262" s="537"/>
      <c r="B262" s="537"/>
      <c r="C262" s="537"/>
      <c r="D262" s="537"/>
      <c r="E262" s="537"/>
      <c r="F262" s="537"/>
      <c r="G262" s="537"/>
      <c r="H262" s="537"/>
      <c r="I262" s="537"/>
      <c r="L262" s="537"/>
      <c r="AA262" s="539"/>
      <c r="AB262" s="539"/>
      <c r="AC262" s="539"/>
      <c r="AD262" s="539"/>
      <c r="AE262" s="539"/>
      <c r="AF262" s="539"/>
      <c r="AG262" s="537"/>
    </row>
    <row r="263" spans="1:33" ht="10.5" customHeight="1" x14ac:dyDescent="0.2">
      <c r="A263" s="537"/>
      <c r="B263" s="537"/>
      <c r="C263" s="537"/>
      <c r="D263" s="537"/>
      <c r="E263" s="537"/>
      <c r="F263" s="537"/>
      <c r="G263" s="537"/>
      <c r="H263" s="537"/>
      <c r="I263" s="537"/>
      <c r="L263" s="537"/>
      <c r="AA263" s="539"/>
      <c r="AB263" s="539"/>
      <c r="AC263" s="539"/>
      <c r="AD263" s="539"/>
      <c r="AE263" s="539"/>
      <c r="AF263" s="539"/>
      <c r="AG263" s="537"/>
    </row>
    <row r="264" spans="1:33" ht="10.5" customHeight="1" x14ac:dyDescent="0.2">
      <c r="A264" s="537"/>
      <c r="B264" s="537"/>
      <c r="C264" s="537"/>
      <c r="D264" s="537"/>
      <c r="E264" s="537"/>
      <c r="F264" s="537"/>
      <c r="G264" s="537"/>
      <c r="H264" s="537"/>
      <c r="I264" s="537"/>
      <c r="L264" s="537"/>
      <c r="AA264" s="539"/>
      <c r="AB264" s="539"/>
      <c r="AC264" s="539"/>
      <c r="AD264" s="539"/>
      <c r="AE264" s="539"/>
      <c r="AF264" s="539"/>
      <c r="AG264" s="537"/>
    </row>
    <row r="265" spans="1:33" ht="10.5" customHeight="1" x14ac:dyDescent="0.2">
      <c r="A265" s="537"/>
      <c r="B265" s="537"/>
      <c r="C265" s="537"/>
      <c r="D265" s="537"/>
      <c r="E265" s="537"/>
      <c r="F265" s="537"/>
      <c r="G265" s="537"/>
      <c r="H265" s="537"/>
      <c r="I265" s="537"/>
      <c r="L265" s="537"/>
      <c r="AA265" s="539"/>
      <c r="AB265" s="539"/>
      <c r="AC265" s="539"/>
      <c r="AD265" s="539"/>
      <c r="AE265" s="539"/>
      <c r="AF265" s="539"/>
      <c r="AG265" s="537"/>
    </row>
    <row r="266" spans="1:33" ht="10.5" customHeight="1" x14ac:dyDescent="0.2">
      <c r="A266" s="537"/>
      <c r="B266" s="537"/>
      <c r="C266" s="537"/>
      <c r="D266" s="537"/>
      <c r="E266" s="537"/>
      <c r="F266" s="537"/>
      <c r="G266" s="537"/>
      <c r="H266" s="537"/>
      <c r="I266" s="537"/>
      <c r="L266" s="537"/>
      <c r="AA266" s="539"/>
      <c r="AB266" s="539"/>
      <c r="AC266" s="539"/>
      <c r="AD266" s="539"/>
      <c r="AE266" s="539"/>
      <c r="AF266" s="539"/>
      <c r="AG266" s="537"/>
    </row>
    <row r="267" spans="1:33" ht="10.5" customHeight="1" x14ac:dyDescent="0.2">
      <c r="A267" s="537"/>
      <c r="B267" s="537"/>
      <c r="C267" s="537"/>
      <c r="D267" s="537"/>
      <c r="E267" s="537"/>
      <c r="F267" s="537"/>
      <c r="G267" s="537"/>
      <c r="H267" s="537"/>
      <c r="I267" s="537"/>
      <c r="L267" s="537"/>
      <c r="AA267" s="539"/>
      <c r="AB267" s="539"/>
      <c r="AC267" s="539"/>
      <c r="AD267" s="539"/>
      <c r="AE267" s="539"/>
      <c r="AF267" s="539"/>
      <c r="AG267" s="537"/>
    </row>
    <row r="268" spans="1:33" ht="10.5" customHeight="1" x14ac:dyDescent="0.2">
      <c r="A268" s="537"/>
      <c r="B268" s="537"/>
      <c r="C268" s="537"/>
      <c r="D268" s="537"/>
      <c r="E268" s="537"/>
      <c r="F268" s="537"/>
      <c r="G268" s="537"/>
      <c r="H268" s="537"/>
      <c r="I268" s="537"/>
      <c r="L268" s="537"/>
      <c r="AA268" s="539"/>
      <c r="AB268" s="539"/>
      <c r="AC268" s="539"/>
      <c r="AD268" s="539"/>
      <c r="AE268" s="539"/>
      <c r="AF268" s="539"/>
      <c r="AG268" s="537"/>
    </row>
    <row r="269" spans="1:33" ht="10.5" customHeight="1" x14ac:dyDescent="0.2">
      <c r="A269" s="537"/>
      <c r="B269" s="537"/>
      <c r="C269" s="537"/>
      <c r="D269" s="537"/>
      <c r="E269" s="537"/>
      <c r="F269" s="537"/>
      <c r="G269" s="537"/>
      <c r="H269" s="537"/>
      <c r="I269" s="537"/>
      <c r="L269" s="537"/>
      <c r="AA269" s="539"/>
      <c r="AB269" s="539"/>
      <c r="AC269" s="539"/>
      <c r="AD269" s="539"/>
      <c r="AE269" s="539"/>
      <c r="AF269" s="539"/>
      <c r="AG269" s="537"/>
    </row>
    <row r="270" spans="1:33" ht="10.5" customHeight="1" x14ac:dyDescent="0.2">
      <c r="A270" s="537"/>
      <c r="B270" s="537"/>
      <c r="C270" s="537"/>
      <c r="D270" s="537"/>
      <c r="E270" s="537"/>
      <c r="F270" s="537"/>
      <c r="G270" s="537"/>
      <c r="H270" s="537"/>
      <c r="I270" s="537"/>
      <c r="L270" s="537"/>
      <c r="AA270" s="539"/>
      <c r="AB270" s="539"/>
      <c r="AC270" s="539"/>
      <c r="AD270" s="539"/>
      <c r="AE270" s="539"/>
      <c r="AF270" s="539"/>
      <c r="AG270" s="537"/>
    </row>
    <row r="271" spans="1:33" ht="10.5" customHeight="1" x14ac:dyDescent="0.2">
      <c r="A271" s="537"/>
      <c r="B271" s="537"/>
      <c r="C271" s="537"/>
      <c r="D271" s="537"/>
      <c r="E271" s="537"/>
      <c r="F271" s="537"/>
      <c r="G271" s="537"/>
      <c r="H271" s="537"/>
      <c r="I271" s="537"/>
      <c r="L271" s="537"/>
      <c r="AA271" s="539"/>
      <c r="AB271" s="539"/>
      <c r="AC271" s="539"/>
      <c r="AD271" s="539"/>
      <c r="AE271" s="539"/>
      <c r="AF271" s="539"/>
      <c r="AG271" s="537"/>
    </row>
    <row r="272" spans="1:33" ht="10.5" customHeight="1" x14ac:dyDescent="0.2">
      <c r="A272" s="537"/>
      <c r="B272" s="537"/>
      <c r="C272" s="537"/>
      <c r="D272" s="537"/>
      <c r="E272" s="537"/>
      <c r="F272" s="537"/>
      <c r="G272" s="537"/>
      <c r="H272" s="537"/>
      <c r="I272" s="537"/>
      <c r="L272" s="537"/>
      <c r="AA272" s="539"/>
      <c r="AB272" s="539"/>
      <c r="AC272" s="539"/>
      <c r="AD272" s="539"/>
      <c r="AE272" s="539"/>
      <c r="AF272" s="539"/>
      <c r="AG272" s="537"/>
    </row>
    <row r="273" spans="1:33" ht="10.5" customHeight="1" x14ac:dyDescent="0.2">
      <c r="A273" s="537"/>
      <c r="B273" s="537"/>
      <c r="C273" s="537"/>
      <c r="D273" s="537"/>
      <c r="E273" s="537"/>
      <c r="F273" s="537"/>
      <c r="G273" s="537"/>
      <c r="H273" s="537"/>
      <c r="I273" s="537"/>
      <c r="L273" s="537"/>
      <c r="AA273" s="539"/>
      <c r="AB273" s="539"/>
      <c r="AC273" s="539"/>
      <c r="AD273" s="539"/>
      <c r="AE273" s="539"/>
      <c r="AF273" s="539"/>
      <c r="AG273" s="537"/>
    </row>
    <row r="274" spans="1:33" ht="10.5" customHeight="1" x14ac:dyDescent="0.2">
      <c r="A274" s="537"/>
      <c r="B274" s="537"/>
      <c r="C274" s="537"/>
      <c r="D274" s="537"/>
      <c r="E274" s="537"/>
      <c r="F274" s="537"/>
      <c r="G274" s="537"/>
      <c r="H274" s="537"/>
      <c r="I274" s="537"/>
      <c r="L274" s="537"/>
      <c r="AA274" s="539"/>
      <c r="AB274" s="539"/>
      <c r="AC274" s="539"/>
      <c r="AD274" s="539"/>
      <c r="AE274" s="539"/>
      <c r="AF274" s="539"/>
      <c r="AG274" s="537"/>
    </row>
    <row r="275" spans="1:33" ht="10.5" customHeight="1" x14ac:dyDescent="0.2">
      <c r="A275" s="537"/>
      <c r="B275" s="537"/>
      <c r="C275" s="537"/>
      <c r="D275" s="537"/>
      <c r="E275" s="537"/>
      <c r="F275" s="537"/>
      <c r="G275" s="537"/>
      <c r="H275" s="537"/>
      <c r="I275" s="537"/>
      <c r="L275" s="537"/>
      <c r="AA275" s="539"/>
      <c r="AB275" s="539"/>
      <c r="AC275" s="539"/>
      <c r="AD275" s="539"/>
      <c r="AE275" s="539"/>
      <c r="AF275" s="539"/>
      <c r="AG275" s="537"/>
    </row>
    <row r="276" spans="1:33" ht="10.5" customHeight="1" x14ac:dyDescent="0.2">
      <c r="A276" s="537"/>
      <c r="B276" s="537"/>
      <c r="C276" s="537"/>
      <c r="D276" s="537"/>
      <c r="E276" s="537"/>
      <c r="F276" s="537"/>
      <c r="G276" s="537"/>
      <c r="H276" s="537"/>
      <c r="I276" s="537"/>
      <c r="L276" s="537"/>
      <c r="AA276" s="539"/>
      <c r="AB276" s="539"/>
      <c r="AC276" s="539"/>
      <c r="AD276" s="539"/>
      <c r="AE276" s="539"/>
      <c r="AF276" s="539"/>
      <c r="AG276" s="537"/>
    </row>
    <row r="277" spans="1:33" ht="10.5" customHeight="1" x14ac:dyDescent="0.2">
      <c r="A277" s="537"/>
      <c r="B277" s="537"/>
      <c r="C277" s="537"/>
      <c r="D277" s="537"/>
      <c r="E277" s="537"/>
      <c r="F277" s="537"/>
      <c r="G277" s="537"/>
      <c r="H277" s="537"/>
      <c r="I277" s="537"/>
      <c r="L277" s="537"/>
      <c r="AA277" s="539"/>
      <c r="AB277" s="539"/>
      <c r="AC277" s="539"/>
      <c r="AD277" s="539"/>
      <c r="AE277" s="539"/>
      <c r="AF277" s="539"/>
      <c r="AG277" s="537"/>
    </row>
    <row r="278" spans="1:33" ht="10.5" customHeight="1" x14ac:dyDescent="0.2">
      <c r="A278" s="537"/>
      <c r="B278" s="537"/>
      <c r="C278" s="537"/>
      <c r="D278" s="537"/>
      <c r="E278" s="537"/>
      <c r="F278" s="537"/>
      <c r="G278" s="537"/>
      <c r="H278" s="537"/>
      <c r="I278" s="537"/>
      <c r="L278" s="537"/>
      <c r="AA278" s="539"/>
      <c r="AB278" s="539"/>
      <c r="AC278" s="539"/>
      <c r="AD278" s="539"/>
      <c r="AE278" s="539"/>
      <c r="AF278" s="539"/>
      <c r="AG278" s="537"/>
    </row>
    <row r="279" spans="1:33" ht="10.5" customHeight="1" x14ac:dyDescent="0.2">
      <c r="A279" s="537"/>
      <c r="B279" s="537"/>
      <c r="C279" s="537"/>
      <c r="D279" s="537"/>
      <c r="E279" s="537"/>
      <c r="F279" s="537"/>
      <c r="G279" s="537"/>
      <c r="H279" s="537"/>
      <c r="I279" s="537"/>
      <c r="L279" s="537"/>
      <c r="AA279" s="539"/>
      <c r="AB279" s="539"/>
      <c r="AC279" s="539"/>
      <c r="AD279" s="539"/>
      <c r="AE279" s="539"/>
      <c r="AF279" s="539"/>
      <c r="AG279" s="537"/>
    </row>
    <row r="280" spans="1:33" ht="10.5" customHeight="1" x14ac:dyDescent="0.2">
      <c r="A280" s="537"/>
      <c r="B280" s="537"/>
      <c r="C280" s="537"/>
      <c r="D280" s="537"/>
      <c r="E280" s="537"/>
      <c r="F280" s="537"/>
      <c r="G280" s="537"/>
      <c r="H280" s="537"/>
      <c r="I280" s="537"/>
      <c r="L280" s="537"/>
      <c r="AA280" s="539"/>
      <c r="AB280" s="539"/>
      <c r="AC280" s="539"/>
      <c r="AD280" s="539"/>
      <c r="AE280" s="539"/>
      <c r="AF280" s="539"/>
      <c r="AG280" s="537"/>
    </row>
    <row r="281" spans="1:33" ht="10.5" customHeight="1" x14ac:dyDescent="0.2">
      <c r="A281" s="537"/>
      <c r="B281" s="537"/>
      <c r="C281" s="537"/>
      <c r="D281" s="537"/>
      <c r="E281" s="537"/>
      <c r="F281" s="537"/>
      <c r="G281" s="537"/>
      <c r="H281" s="537"/>
      <c r="I281" s="537"/>
      <c r="L281" s="537"/>
      <c r="AA281" s="539"/>
      <c r="AB281" s="539"/>
      <c r="AC281" s="539"/>
      <c r="AD281" s="539"/>
      <c r="AE281" s="539"/>
      <c r="AF281" s="539"/>
      <c r="AG281" s="537"/>
    </row>
    <row r="282" spans="1:33" ht="10.5" customHeight="1" x14ac:dyDescent="0.2">
      <c r="A282" s="537"/>
      <c r="B282" s="537"/>
      <c r="C282" s="537"/>
      <c r="D282" s="537"/>
      <c r="E282" s="537"/>
      <c r="F282" s="537"/>
      <c r="G282" s="537"/>
      <c r="H282" s="537"/>
      <c r="I282" s="537"/>
      <c r="L282" s="537"/>
      <c r="AA282" s="539"/>
      <c r="AB282" s="539"/>
      <c r="AC282" s="539"/>
      <c r="AD282" s="539"/>
      <c r="AE282" s="539"/>
      <c r="AF282" s="539"/>
      <c r="AG282" s="537"/>
    </row>
    <row r="283" spans="1:33" ht="10.5" customHeight="1" x14ac:dyDescent="0.2">
      <c r="A283" s="537"/>
      <c r="B283" s="537"/>
      <c r="C283" s="537"/>
      <c r="D283" s="537"/>
      <c r="E283" s="537"/>
      <c r="F283" s="537"/>
      <c r="G283" s="537"/>
      <c r="H283" s="537"/>
      <c r="I283" s="537"/>
      <c r="L283" s="537"/>
      <c r="AA283" s="539"/>
      <c r="AB283" s="539"/>
      <c r="AC283" s="539"/>
      <c r="AD283" s="539"/>
      <c r="AE283" s="539"/>
      <c r="AF283" s="539"/>
      <c r="AG283" s="537"/>
    </row>
    <row r="284" spans="1:33" ht="10.5" customHeight="1" x14ac:dyDescent="0.2">
      <c r="A284" s="537"/>
      <c r="B284" s="537"/>
      <c r="C284" s="537"/>
      <c r="D284" s="537"/>
      <c r="E284" s="537"/>
      <c r="F284" s="537"/>
      <c r="G284" s="537"/>
      <c r="H284" s="537"/>
      <c r="I284" s="537"/>
      <c r="L284" s="537"/>
      <c r="AA284" s="539"/>
      <c r="AB284" s="539"/>
      <c r="AC284" s="539"/>
      <c r="AD284" s="539"/>
      <c r="AE284" s="539"/>
      <c r="AF284" s="539"/>
      <c r="AG284" s="537"/>
    </row>
    <row r="285" spans="1:33" ht="10.5" customHeight="1" x14ac:dyDescent="0.2">
      <c r="A285" s="537"/>
      <c r="B285" s="537"/>
      <c r="C285" s="537"/>
      <c r="D285" s="537"/>
      <c r="E285" s="537"/>
      <c r="F285" s="537"/>
      <c r="G285" s="537"/>
      <c r="H285" s="537"/>
      <c r="I285" s="537"/>
      <c r="L285" s="537"/>
      <c r="AA285" s="539"/>
      <c r="AB285" s="539"/>
      <c r="AC285" s="539"/>
      <c r="AD285" s="539"/>
      <c r="AE285" s="539"/>
      <c r="AF285" s="539"/>
      <c r="AG285" s="537"/>
    </row>
    <row r="286" spans="1:33" ht="10.5" customHeight="1" x14ac:dyDescent="0.2">
      <c r="A286" s="537"/>
      <c r="B286" s="537"/>
      <c r="C286" s="537"/>
      <c r="D286" s="537"/>
      <c r="E286" s="537"/>
      <c r="F286" s="537"/>
      <c r="G286" s="537"/>
      <c r="H286" s="537"/>
      <c r="I286" s="537"/>
      <c r="L286" s="537"/>
      <c r="AA286" s="539"/>
      <c r="AB286" s="539"/>
      <c r="AC286" s="539"/>
      <c r="AD286" s="539"/>
      <c r="AE286" s="539"/>
      <c r="AF286" s="539"/>
      <c r="AG286" s="537"/>
    </row>
    <row r="287" spans="1:33" ht="10.5" customHeight="1" x14ac:dyDescent="0.2">
      <c r="A287" s="537"/>
      <c r="B287" s="537"/>
      <c r="C287" s="537"/>
      <c r="D287" s="537"/>
      <c r="E287" s="537"/>
      <c r="F287" s="537"/>
      <c r="G287" s="537"/>
      <c r="H287" s="537"/>
      <c r="I287" s="537"/>
      <c r="L287" s="537"/>
      <c r="AA287" s="539"/>
      <c r="AB287" s="539"/>
      <c r="AC287" s="539"/>
      <c r="AD287" s="539"/>
      <c r="AE287" s="539"/>
      <c r="AF287" s="539"/>
      <c r="AG287" s="537"/>
    </row>
    <row r="288" spans="1:33" ht="10.5" customHeight="1" x14ac:dyDescent="0.2">
      <c r="A288" s="537"/>
      <c r="B288" s="537"/>
      <c r="C288" s="537"/>
      <c r="D288" s="537"/>
      <c r="E288" s="537"/>
      <c r="F288" s="537"/>
      <c r="G288" s="537"/>
      <c r="H288" s="537"/>
      <c r="I288" s="537"/>
      <c r="L288" s="537"/>
      <c r="AA288" s="539"/>
      <c r="AB288" s="539"/>
      <c r="AC288" s="539"/>
      <c r="AD288" s="539"/>
      <c r="AE288" s="539"/>
      <c r="AF288" s="539"/>
      <c r="AG288" s="537"/>
    </row>
    <row r="289" spans="1:33" ht="10.5" customHeight="1" x14ac:dyDescent="0.2">
      <c r="A289" s="537"/>
      <c r="B289" s="537"/>
      <c r="C289" s="537"/>
      <c r="D289" s="537"/>
      <c r="E289" s="537"/>
      <c r="F289" s="537"/>
      <c r="G289" s="537"/>
      <c r="H289" s="537"/>
      <c r="I289" s="537"/>
      <c r="L289" s="537"/>
      <c r="AA289" s="539"/>
      <c r="AB289" s="539"/>
      <c r="AC289" s="539"/>
      <c r="AD289" s="539"/>
      <c r="AE289" s="539"/>
      <c r="AF289" s="539"/>
      <c r="AG289" s="537"/>
    </row>
    <row r="290" spans="1:33" ht="10.5" customHeight="1" x14ac:dyDescent="0.2">
      <c r="A290" s="537"/>
      <c r="B290" s="537"/>
      <c r="C290" s="537"/>
      <c r="D290" s="537"/>
      <c r="E290" s="537"/>
      <c r="F290" s="537"/>
      <c r="G290" s="537"/>
      <c r="H290" s="537"/>
      <c r="I290" s="537"/>
      <c r="L290" s="537"/>
      <c r="AA290" s="539"/>
      <c r="AB290" s="539"/>
      <c r="AC290" s="539"/>
      <c r="AD290" s="539"/>
      <c r="AE290" s="539"/>
      <c r="AF290" s="539"/>
      <c r="AG290" s="537"/>
    </row>
    <row r="291" spans="1:33" ht="10.5" customHeight="1" x14ac:dyDescent="0.2">
      <c r="A291" s="537"/>
      <c r="B291" s="537"/>
      <c r="C291" s="537"/>
      <c r="D291" s="537"/>
      <c r="E291" s="537"/>
      <c r="F291" s="537"/>
      <c r="G291" s="537"/>
      <c r="H291" s="537"/>
      <c r="I291" s="537"/>
      <c r="L291" s="537"/>
      <c r="AA291" s="539"/>
      <c r="AB291" s="539"/>
      <c r="AC291" s="539"/>
      <c r="AD291" s="539"/>
      <c r="AE291" s="539"/>
      <c r="AF291" s="539"/>
      <c r="AG291" s="537"/>
    </row>
    <row r="292" spans="1:33" ht="10.5" customHeight="1" x14ac:dyDescent="0.2">
      <c r="A292" s="537"/>
      <c r="B292" s="537"/>
      <c r="C292" s="537"/>
      <c r="D292" s="537"/>
      <c r="E292" s="537"/>
      <c r="F292" s="537"/>
      <c r="G292" s="537"/>
      <c r="H292" s="537"/>
      <c r="I292" s="537"/>
      <c r="L292" s="537"/>
      <c r="AA292" s="539"/>
      <c r="AB292" s="539"/>
      <c r="AC292" s="539"/>
      <c r="AD292" s="539"/>
      <c r="AE292" s="539"/>
      <c r="AF292" s="539"/>
      <c r="AG292" s="537"/>
    </row>
    <row r="293" spans="1:33" ht="10.5" customHeight="1" x14ac:dyDescent="0.2">
      <c r="A293" s="537"/>
      <c r="B293" s="537"/>
      <c r="C293" s="537"/>
      <c r="D293" s="537"/>
      <c r="E293" s="537"/>
      <c r="F293" s="537"/>
      <c r="G293" s="537"/>
      <c r="H293" s="537"/>
      <c r="I293" s="537"/>
      <c r="L293" s="537"/>
      <c r="AA293" s="539"/>
      <c r="AB293" s="539"/>
      <c r="AC293" s="539"/>
      <c r="AD293" s="539"/>
      <c r="AE293" s="539"/>
      <c r="AF293" s="539"/>
      <c r="AG293" s="537"/>
    </row>
    <row r="294" spans="1:33" ht="10.5" customHeight="1" x14ac:dyDescent="0.2">
      <c r="A294" s="537"/>
      <c r="B294" s="537"/>
      <c r="C294" s="537"/>
      <c r="D294" s="537"/>
      <c r="E294" s="537"/>
      <c r="F294" s="537"/>
      <c r="G294" s="537"/>
      <c r="H294" s="537"/>
      <c r="I294" s="537"/>
      <c r="L294" s="537"/>
      <c r="AA294" s="539"/>
      <c r="AB294" s="539"/>
      <c r="AC294" s="539"/>
      <c r="AD294" s="539"/>
      <c r="AE294" s="539"/>
      <c r="AF294" s="539"/>
      <c r="AG294" s="537"/>
    </row>
    <row r="295" spans="1:33" ht="10.5" customHeight="1" x14ac:dyDescent="0.2">
      <c r="A295" s="537"/>
      <c r="B295" s="537"/>
      <c r="C295" s="537"/>
      <c r="D295" s="537"/>
      <c r="E295" s="537"/>
      <c r="F295" s="537"/>
      <c r="G295" s="537"/>
      <c r="H295" s="537"/>
      <c r="I295" s="537"/>
      <c r="L295" s="537"/>
      <c r="AA295" s="539"/>
      <c r="AB295" s="539"/>
      <c r="AC295" s="539"/>
      <c r="AD295" s="539"/>
      <c r="AE295" s="539"/>
      <c r="AF295" s="539"/>
      <c r="AG295" s="537"/>
    </row>
    <row r="296" spans="1:33" ht="10.5" customHeight="1" x14ac:dyDescent="0.2">
      <c r="A296" s="537"/>
      <c r="B296" s="537"/>
      <c r="C296" s="537"/>
      <c r="D296" s="537"/>
      <c r="E296" s="537"/>
      <c r="F296" s="537"/>
      <c r="G296" s="537"/>
      <c r="H296" s="537"/>
      <c r="I296" s="537"/>
      <c r="L296" s="537"/>
      <c r="AA296" s="539"/>
      <c r="AB296" s="539"/>
      <c r="AC296" s="539"/>
      <c r="AD296" s="539"/>
      <c r="AE296" s="539"/>
      <c r="AF296" s="539"/>
      <c r="AG296" s="537"/>
    </row>
    <row r="297" spans="1:33" ht="10.5" customHeight="1" x14ac:dyDescent="0.2">
      <c r="A297" s="537"/>
      <c r="B297" s="537"/>
      <c r="C297" s="537"/>
      <c r="D297" s="537"/>
      <c r="E297" s="537"/>
      <c r="F297" s="537"/>
      <c r="G297" s="537"/>
      <c r="H297" s="537"/>
      <c r="I297" s="537"/>
      <c r="L297" s="537"/>
      <c r="AA297" s="539"/>
      <c r="AB297" s="539"/>
      <c r="AC297" s="539"/>
      <c r="AD297" s="539"/>
      <c r="AE297" s="539"/>
      <c r="AF297" s="539"/>
      <c r="AG297" s="537"/>
    </row>
    <row r="298" spans="1:33" ht="10.5" customHeight="1" x14ac:dyDescent="0.2">
      <c r="A298" s="537"/>
      <c r="B298" s="537"/>
      <c r="C298" s="537"/>
      <c r="D298" s="537"/>
      <c r="E298" s="537"/>
      <c r="F298" s="537"/>
      <c r="G298" s="537"/>
      <c r="H298" s="537"/>
      <c r="I298" s="537"/>
      <c r="L298" s="537"/>
      <c r="AA298" s="539"/>
      <c r="AB298" s="539"/>
      <c r="AC298" s="539"/>
      <c r="AD298" s="539"/>
      <c r="AE298" s="539"/>
      <c r="AF298" s="539"/>
      <c r="AG298" s="537"/>
    </row>
    <row r="299" spans="1:33" ht="10.5" customHeight="1" x14ac:dyDescent="0.2">
      <c r="A299" s="537"/>
      <c r="B299" s="537"/>
      <c r="C299" s="537"/>
      <c r="D299" s="537"/>
      <c r="E299" s="537"/>
      <c r="F299" s="537"/>
      <c r="G299" s="537"/>
      <c r="H299" s="537"/>
      <c r="I299" s="537"/>
      <c r="L299" s="537"/>
      <c r="AA299" s="539"/>
      <c r="AB299" s="539"/>
      <c r="AC299" s="539"/>
      <c r="AD299" s="539"/>
      <c r="AE299" s="539"/>
      <c r="AF299" s="539"/>
      <c r="AG299" s="537"/>
    </row>
    <row r="300" spans="1:33" ht="10.5" customHeight="1" x14ac:dyDescent="0.2">
      <c r="A300" s="537"/>
      <c r="B300" s="537"/>
      <c r="C300" s="537"/>
      <c r="D300" s="537"/>
      <c r="E300" s="537"/>
      <c r="F300" s="537"/>
      <c r="G300" s="537"/>
      <c r="H300" s="537"/>
      <c r="I300" s="537"/>
      <c r="L300" s="537"/>
      <c r="AA300" s="539"/>
      <c r="AB300" s="539"/>
      <c r="AC300" s="539"/>
      <c r="AD300" s="539"/>
      <c r="AE300" s="539"/>
      <c r="AF300" s="539"/>
      <c r="AG300" s="537"/>
    </row>
    <row r="301" spans="1:33" ht="10.5" customHeight="1" x14ac:dyDescent="0.2">
      <c r="A301" s="537"/>
      <c r="B301" s="537"/>
      <c r="C301" s="537"/>
      <c r="D301" s="537"/>
      <c r="E301" s="537"/>
      <c r="F301" s="537"/>
      <c r="G301" s="537"/>
      <c r="H301" s="537"/>
      <c r="I301" s="537"/>
      <c r="L301" s="537"/>
      <c r="AA301" s="539"/>
      <c r="AB301" s="539"/>
      <c r="AC301" s="539"/>
      <c r="AD301" s="539"/>
      <c r="AE301" s="539"/>
      <c r="AF301" s="539"/>
      <c r="AG301" s="537"/>
    </row>
    <row r="302" spans="1:33" ht="10.5" customHeight="1" x14ac:dyDescent="0.2">
      <c r="A302" s="537"/>
      <c r="B302" s="537"/>
      <c r="C302" s="537"/>
      <c r="D302" s="537"/>
      <c r="E302" s="537"/>
      <c r="F302" s="537"/>
      <c r="G302" s="537"/>
      <c r="H302" s="537"/>
      <c r="I302" s="537"/>
      <c r="L302" s="537"/>
      <c r="AA302" s="539"/>
      <c r="AB302" s="539"/>
      <c r="AC302" s="539"/>
      <c r="AD302" s="539"/>
      <c r="AE302" s="539"/>
      <c r="AF302" s="539"/>
      <c r="AG302" s="537"/>
    </row>
    <row r="303" spans="1:33" ht="10.5" customHeight="1" x14ac:dyDescent="0.2">
      <c r="A303" s="537"/>
      <c r="B303" s="537"/>
      <c r="C303" s="537"/>
      <c r="D303" s="537"/>
      <c r="E303" s="537"/>
      <c r="F303" s="537"/>
      <c r="G303" s="537"/>
      <c r="H303" s="537"/>
      <c r="I303" s="537"/>
      <c r="L303" s="537"/>
      <c r="AA303" s="539"/>
      <c r="AB303" s="539"/>
      <c r="AC303" s="539"/>
      <c r="AD303" s="539"/>
      <c r="AE303" s="539"/>
      <c r="AF303" s="539"/>
      <c r="AG303" s="537"/>
    </row>
    <row r="304" spans="1:33" ht="10.5" customHeight="1" x14ac:dyDescent="0.2">
      <c r="A304" s="537"/>
      <c r="B304" s="537"/>
      <c r="C304" s="537"/>
      <c r="D304" s="537"/>
      <c r="E304" s="537"/>
      <c r="F304" s="537"/>
      <c r="G304" s="537"/>
      <c r="H304" s="537"/>
      <c r="I304" s="537"/>
      <c r="L304" s="537"/>
      <c r="AA304" s="539"/>
      <c r="AB304" s="539"/>
      <c r="AC304" s="539"/>
      <c r="AD304" s="539"/>
      <c r="AE304" s="539"/>
      <c r="AF304" s="539"/>
      <c r="AG304" s="537"/>
    </row>
    <row r="305" spans="1:33" ht="10.5" customHeight="1" x14ac:dyDescent="0.2">
      <c r="A305" s="537"/>
      <c r="B305" s="537"/>
      <c r="C305" s="537"/>
      <c r="D305" s="537"/>
      <c r="E305" s="537"/>
      <c r="F305" s="537"/>
      <c r="G305" s="537"/>
      <c r="H305" s="537"/>
      <c r="I305" s="537"/>
      <c r="L305" s="537"/>
      <c r="AA305" s="539"/>
      <c r="AB305" s="539"/>
      <c r="AC305" s="539"/>
      <c r="AD305" s="539"/>
      <c r="AE305" s="539"/>
      <c r="AF305" s="539"/>
      <c r="AG305" s="537"/>
    </row>
    <row r="306" spans="1:33" ht="10.5" customHeight="1" x14ac:dyDescent="0.2">
      <c r="A306" s="537"/>
      <c r="B306" s="537"/>
      <c r="C306" s="537"/>
      <c r="D306" s="537"/>
      <c r="E306" s="537"/>
      <c r="F306" s="537"/>
      <c r="G306" s="537"/>
      <c r="H306" s="537"/>
      <c r="I306" s="537"/>
      <c r="L306" s="537"/>
      <c r="AA306" s="539"/>
      <c r="AB306" s="539"/>
      <c r="AC306" s="539"/>
      <c r="AD306" s="539"/>
      <c r="AE306" s="539"/>
      <c r="AF306" s="539"/>
      <c r="AG306" s="537"/>
    </row>
    <row r="307" spans="1:33" ht="10.5" customHeight="1" x14ac:dyDescent="0.2">
      <c r="A307" s="537"/>
      <c r="B307" s="537"/>
      <c r="C307" s="537"/>
      <c r="D307" s="537"/>
      <c r="E307" s="537"/>
      <c r="F307" s="537"/>
      <c r="G307" s="537"/>
      <c r="H307" s="537"/>
      <c r="I307" s="537"/>
      <c r="L307" s="537"/>
      <c r="AA307" s="539"/>
      <c r="AB307" s="539"/>
      <c r="AC307" s="539"/>
      <c r="AD307" s="539"/>
      <c r="AE307" s="539"/>
      <c r="AF307" s="539"/>
      <c r="AG307" s="537"/>
    </row>
    <row r="308" spans="1:33" ht="10.5" customHeight="1" x14ac:dyDescent="0.2">
      <c r="A308" s="537"/>
      <c r="B308" s="537"/>
      <c r="C308" s="537"/>
      <c r="D308" s="537"/>
      <c r="E308" s="537"/>
      <c r="F308" s="537"/>
      <c r="G308" s="537"/>
      <c r="H308" s="537"/>
      <c r="I308" s="537"/>
      <c r="L308" s="537"/>
      <c r="AA308" s="539"/>
      <c r="AB308" s="539"/>
      <c r="AC308" s="539"/>
      <c r="AD308" s="539"/>
      <c r="AE308" s="539"/>
      <c r="AF308" s="539"/>
      <c r="AG308" s="537"/>
    </row>
    <row r="309" spans="1:33" ht="10.5" customHeight="1" x14ac:dyDescent="0.2">
      <c r="A309" s="537"/>
      <c r="B309" s="537"/>
      <c r="C309" s="537"/>
      <c r="D309" s="537"/>
      <c r="E309" s="537"/>
      <c r="F309" s="537"/>
      <c r="G309" s="537"/>
      <c r="H309" s="537"/>
      <c r="I309" s="537"/>
      <c r="L309" s="537"/>
      <c r="AA309" s="539"/>
      <c r="AB309" s="539"/>
      <c r="AC309" s="539"/>
      <c r="AD309" s="539"/>
      <c r="AE309" s="539"/>
      <c r="AF309" s="539"/>
      <c r="AG309" s="537"/>
    </row>
    <row r="310" spans="1:33" ht="10.5" customHeight="1" x14ac:dyDescent="0.2">
      <c r="A310" s="537"/>
      <c r="B310" s="537"/>
      <c r="C310" s="537"/>
      <c r="D310" s="537"/>
      <c r="E310" s="537"/>
      <c r="F310" s="537"/>
      <c r="G310" s="537"/>
      <c r="H310" s="537"/>
      <c r="I310" s="537"/>
      <c r="L310" s="537"/>
      <c r="AA310" s="539"/>
      <c r="AB310" s="539"/>
      <c r="AC310" s="539"/>
      <c r="AD310" s="539"/>
      <c r="AE310" s="539"/>
      <c r="AF310" s="539"/>
      <c r="AG310" s="537"/>
    </row>
    <row r="311" spans="1:33" ht="10.5" customHeight="1" x14ac:dyDescent="0.2">
      <c r="A311" s="537"/>
      <c r="B311" s="537"/>
      <c r="C311" s="537"/>
      <c r="D311" s="537"/>
      <c r="E311" s="537"/>
      <c r="F311" s="537"/>
      <c r="G311" s="537"/>
      <c r="H311" s="537"/>
      <c r="I311" s="537"/>
      <c r="L311" s="537"/>
      <c r="AA311" s="539"/>
      <c r="AB311" s="539"/>
      <c r="AC311" s="539"/>
      <c r="AD311" s="539"/>
      <c r="AE311" s="539"/>
      <c r="AF311" s="539"/>
      <c r="AG311" s="537"/>
    </row>
    <row r="312" spans="1:33" ht="10.5" customHeight="1" x14ac:dyDescent="0.2">
      <c r="A312" s="537"/>
      <c r="B312" s="537"/>
      <c r="C312" s="537"/>
      <c r="D312" s="537"/>
      <c r="E312" s="537"/>
      <c r="F312" s="537"/>
      <c r="G312" s="537"/>
      <c r="H312" s="537"/>
      <c r="I312" s="537"/>
      <c r="L312" s="537"/>
      <c r="AA312" s="539"/>
      <c r="AB312" s="539"/>
      <c r="AC312" s="539"/>
      <c r="AD312" s="539"/>
      <c r="AE312" s="539"/>
      <c r="AF312" s="539"/>
      <c r="AG312" s="537"/>
    </row>
    <row r="313" spans="1:33" ht="10.5" customHeight="1" x14ac:dyDescent="0.2">
      <c r="A313" s="537"/>
      <c r="B313" s="537"/>
      <c r="C313" s="537"/>
      <c r="D313" s="537"/>
      <c r="E313" s="537"/>
      <c r="F313" s="537"/>
      <c r="G313" s="537"/>
      <c r="H313" s="537"/>
      <c r="I313" s="537"/>
      <c r="L313" s="537"/>
      <c r="AA313" s="539"/>
      <c r="AB313" s="539"/>
      <c r="AC313" s="539"/>
      <c r="AD313" s="539"/>
      <c r="AE313" s="539"/>
      <c r="AF313" s="539"/>
      <c r="AG313" s="537"/>
    </row>
    <row r="314" spans="1:33" ht="10.5" customHeight="1" x14ac:dyDescent="0.2">
      <c r="A314" s="537"/>
      <c r="B314" s="537"/>
      <c r="C314" s="537"/>
      <c r="D314" s="537"/>
      <c r="E314" s="537"/>
      <c r="F314" s="537"/>
      <c r="G314" s="537"/>
      <c r="H314" s="537"/>
      <c r="I314" s="537"/>
      <c r="L314" s="537"/>
      <c r="AA314" s="539"/>
      <c r="AB314" s="539"/>
      <c r="AC314" s="539"/>
      <c r="AD314" s="539"/>
      <c r="AE314" s="539"/>
      <c r="AF314" s="539"/>
      <c r="AG314" s="537"/>
    </row>
    <row r="315" spans="1:33" ht="10.5" customHeight="1" x14ac:dyDescent="0.2">
      <c r="A315" s="537"/>
      <c r="B315" s="537"/>
      <c r="C315" s="537"/>
      <c r="D315" s="537"/>
      <c r="E315" s="537"/>
      <c r="F315" s="537"/>
      <c r="G315" s="537"/>
      <c r="H315" s="537"/>
      <c r="I315" s="537"/>
      <c r="L315" s="537"/>
      <c r="AA315" s="539"/>
      <c r="AB315" s="539"/>
      <c r="AC315" s="539"/>
      <c r="AD315" s="539"/>
      <c r="AE315" s="539"/>
      <c r="AF315" s="539"/>
      <c r="AG315" s="537"/>
    </row>
    <row r="316" spans="1:33" ht="10.5" customHeight="1" x14ac:dyDescent="0.2">
      <c r="A316" s="537"/>
      <c r="B316" s="537"/>
      <c r="C316" s="537"/>
      <c r="D316" s="537"/>
      <c r="E316" s="537"/>
      <c r="F316" s="537"/>
      <c r="G316" s="537"/>
      <c r="H316" s="537"/>
      <c r="I316" s="537"/>
      <c r="L316" s="537"/>
      <c r="AA316" s="539"/>
      <c r="AB316" s="539"/>
      <c r="AC316" s="539"/>
      <c r="AD316" s="539"/>
      <c r="AE316" s="539"/>
      <c r="AF316" s="539"/>
      <c r="AG316" s="537"/>
    </row>
    <row r="317" spans="1:33" ht="10.5" customHeight="1" x14ac:dyDescent="0.2">
      <c r="A317" s="537"/>
      <c r="B317" s="537"/>
      <c r="C317" s="537"/>
      <c r="D317" s="537"/>
      <c r="E317" s="537"/>
      <c r="F317" s="537"/>
      <c r="G317" s="537"/>
      <c r="H317" s="537"/>
      <c r="I317" s="537"/>
      <c r="L317" s="537"/>
      <c r="AA317" s="539"/>
      <c r="AB317" s="539"/>
      <c r="AC317" s="539"/>
      <c r="AD317" s="539"/>
      <c r="AE317" s="539"/>
      <c r="AF317" s="539"/>
      <c r="AG317" s="537"/>
    </row>
    <row r="318" spans="1:33" ht="10.5" customHeight="1" x14ac:dyDescent="0.2">
      <c r="A318" s="537"/>
      <c r="B318" s="537"/>
      <c r="C318" s="537"/>
      <c r="D318" s="537"/>
      <c r="E318" s="537"/>
      <c r="F318" s="537"/>
      <c r="G318" s="537"/>
      <c r="H318" s="537"/>
      <c r="I318" s="537"/>
      <c r="L318" s="537"/>
      <c r="AA318" s="539"/>
      <c r="AB318" s="539"/>
      <c r="AC318" s="539"/>
      <c r="AD318" s="539"/>
      <c r="AE318" s="539"/>
      <c r="AF318" s="539"/>
      <c r="AG318" s="537"/>
    </row>
    <row r="319" spans="1:33" ht="10.5" customHeight="1" x14ac:dyDescent="0.2">
      <c r="A319" s="537"/>
      <c r="B319" s="537"/>
      <c r="C319" s="537"/>
      <c r="D319" s="537"/>
      <c r="E319" s="537"/>
      <c r="F319" s="537"/>
      <c r="G319" s="537"/>
      <c r="H319" s="537"/>
      <c r="I319" s="537"/>
      <c r="L319" s="537"/>
      <c r="AA319" s="539"/>
      <c r="AB319" s="539"/>
      <c r="AC319" s="539"/>
      <c r="AD319" s="539"/>
      <c r="AE319" s="539"/>
      <c r="AF319" s="539"/>
      <c r="AG319" s="537"/>
    </row>
    <row r="320" spans="1:33" ht="10.5" customHeight="1" x14ac:dyDescent="0.2">
      <c r="A320" s="537"/>
      <c r="B320" s="537"/>
      <c r="C320" s="537"/>
      <c r="D320" s="537"/>
      <c r="E320" s="537"/>
      <c r="F320" s="537"/>
      <c r="G320" s="537"/>
      <c r="H320" s="537"/>
      <c r="I320" s="537"/>
      <c r="L320" s="537"/>
      <c r="AA320" s="539"/>
      <c r="AB320" s="539"/>
      <c r="AC320" s="539"/>
      <c r="AD320" s="539"/>
      <c r="AE320" s="539"/>
      <c r="AF320" s="539"/>
      <c r="AG320" s="537"/>
    </row>
    <row r="321" spans="1:33" ht="10.5" customHeight="1" x14ac:dyDescent="0.2">
      <c r="A321" s="537"/>
      <c r="B321" s="537"/>
      <c r="C321" s="537"/>
      <c r="D321" s="537"/>
      <c r="E321" s="537"/>
      <c r="F321" s="537"/>
      <c r="G321" s="537"/>
      <c r="H321" s="537"/>
      <c r="I321" s="537"/>
      <c r="L321" s="537"/>
      <c r="AA321" s="539"/>
      <c r="AB321" s="539"/>
      <c r="AC321" s="539"/>
      <c r="AD321" s="539"/>
      <c r="AE321" s="539"/>
      <c r="AF321" s="539"/>
      <c r="AG321" s="537"/>
    </row>
    <row r="322" spans="1:33" ht="10.5" customHeight="1" x14ac:dyDescent="0.2">
      <c r="A322" s="537"/>
      <c r="B322" s="537"/>
      <c r="C322" s="537"/>
      <c r="D322" s="537"/>
      <c r="E322" s="537"/>
      <c r="F322" s="537"/>
      <c r="G322" s="537"/>
      <c r="H322" s="537"/>
      <c r="I322" s="537"/>
      <c r="L322" s="537"/>
      <c r="AA322" s="539"/>
      <c r="AB322" s="539"/>
      <c r="AC322" s="539"/>
      <c r="AD322" s="539"/>
      <c r="AE322" s="539"/>
      <c r="AF322" s="539"/>
      <c r="AG322" s="537"/>
    </row>
    <row r="323" spans="1:33" ht="10.5" customHeight="1" x14ac:dyDescent="0.2">
      <c r="A323" s="537"/>
      <c r="B323" s="537"/>
      <c r="C323" s="537"/>
      <c r="D323" s="537"/>
      <c r="E323" s="537"/>
      <c r="F323" s="537"/>
      <c r="G323" s="537"/>
      <c r="H323" s="537"/>
      <c r="I323" s="537"/>
      <c r="L323" s="537"/>
      <c r="AA323" s="539"/>
      <c r="AB323" s="539"/>
      <c r="AC323" s="539"/>
      <c r="AD323" s="539"/>
      <c r="AE323" s="539"/>
      <c r="AF323" s="539"/>
      <c r="AG323" s="537"/>
    </row>
    <row r="324" spans="1:33" ht="10.5" customHeight="1" x14ac:dyDescent="0.2">
      <c r="A324" s="537"/>
      <c r="B324" s="537"/>
      <c r="C324" s="537"/>
      <c r="D324" s="537"/>
      <c r="E324" s="537"/>
      <c r="F324" s="537"/>
      <c r="G324" s="537"/>
      <c r="H324" s="537"/>
      <c r="I324" s="537"/>
      <c r="L324" s="537"/>
      <c r="AA324" s="539"/>
      <c r="AB324" s="539"/>
      <c r="AC324" s="539"/>
      <c r="AD324" s="539"/>
      <c r="AE324" s="539"/>
      <c r="AF324" s="539"/>
      <c r="AG324" s="537"/>
    </row>
    <row r="325" spans="1:33" ht="10.5" customHeight="1" x14ac:dyDescent="0.2">
      <c r="A325" s="537"/>
      <c r="B325" s="537"/>
      <c r="C325" s="537"/>
      <c r="D325" s="537"/>
      <c r="E325" s="537"/>
      <c r="F325" s="537"/>
      <c r="G325" s="537"/>
      <c r="H325" s="537"/>
      <c r="I325" s="537"/>
      <c r="L325" s="537"/>
      <c r="AA325" s="539"/>
      <c r="AB325" s="539"/>
      <c r="AC325" s="539"/>
      <c r="AD325" s="539"/>
      <c r="AE325" s="539"/>
      <c r="AF325" s="539"/>
      <c r="AG325" s="537"/>
    </row>
    <row r="326" spans="1:33" ht="10.5" customHeight="1" x14ac:dyDescent="0.2">
      <c r="A326" s="537"/>
      <c r="B326" s="537"/>
      <c r="C326" s="537"/>
      <c r="D326" s="537"/>
      <c r="E326" s="537"/>
      <c r="F326" s="537"/>
      <c r="G326" s="537"/>
      <c r="H326" s="537"/>
      <c r="I326" s="537"/>
      <c r="L326" s="537"/>
      <c r="AA326" s="539"/>
      <c r="AB326" s="539"/>
      <c r="AC326" s="539"/>
      <c r="AD326" s="539"/>
      <c r="AE326" s="539"/>
      <c r="AF326" s="539"/>
      <c r="AG326" s="537"/>
    </row>
    <row r="327" spans="1:33" ht="10.5" customHeight="1" x14ac:dyDescent="0.2">
      <c r="A327" s="537"/>
      <c r="B327" s="537"/>
      <c r="C327" s="537"/>
      <c r="D327" s="537"/>
      <c r="E327" s="537"/>
      <c r="F327" s="537"/>
      <c r="G327" s="537"/>
      <c r="H327" s="537"/>
      <c r="I327" s="537"/>
      <c r="L327" s="537"/>
      <c r="AA327" s="539"/>
      <c r="AB327" s="539"/>
      <c r="AC327" s="539"/>
      <c r="AD327" s="539"/>
      <c r="AE327" s="539"/>
      <c r="AF327" s="539"/>
      <c r="AG327" s="537"/>
    </row>
    <row r="328" spans="1:33" ht="10.5" customHeight="1" x14ac:dyDescent="0.2">
      <c r="A328" s="537"/>
      <c r="B328" s="537"/>
      <c r="C328" s="537"/>
      <c r="D328" s="537"/>
      <c r="E328" s="537"/>
      <c r="F328" s="537"/>
      <c r="G328" s="537"/>
      <c r="H328" s="537"/>
      <c r="I328" s="537"/>
      <c r="L328" s="537"/>
      <c r="AA328" s="539"/>
      <c r="AB328" s="539"/>
      <c r="AC328" s="539"/>
      <c r="AD328" s="539"/>
      <c r="AE328" s="539"/>
      <c r="AF328" s="539"/>
      <c r="AG328" s="537"/>
    </row>
    <row r="329" spans="1:33" ht="10.5" customHeight="1" x14ac:dyDescent="0.2">
      <c r="A329" s="537"/>
      <c r="B329" s="537"/>
      <c r="C329" s="537"/>
      <c r="D329" s="537"/>
      <c r="E329" s="537"/>
      <c r="F329" s="537"/>
      <c r="G329" s="537"/>
      <c r="H329" s="537"/>
      <c r="I329" s="537"/>
      <c r="L329" s="537"/>
      <c r="AA329" s="539"/>
      <c r="AB329" s="539"/>
      <c r="AC329" s="539"/>
      <c r="AD329" s="539"/>
      <c r="AE329" s="539"/>
      <c r="AF329" s="539"/>
      <c r="AG329" s="537"/>
    </row>
    <row r="330" spans="1:33" ht="10.5" customHeight="1" x14ac:dyDescent="0.2">
      <c r="A330" s="537"/>
      <c r="B330" s="537"/>
      <c r="C330" s="537"/>
      <c r="D330" s="537"/>
      <c r="E330" s="537"/>
      <c r="F330" s="537"/>
      <c r="G330" s="537"/>
      <c r="H330" s="537"/>
      <c r="I330" s="537"/>
      <c r="L330" s="537"/>
      <c r="AA330" s="539"/>
      <c r="AB330" s="539"/>
      <c r="AC330" s="539"/>
      <c r="AD330" s="539"/>
      <c r="AE330" s="539"/>
      <c r="AF330" s="539"/>
      <c r="AG330" s="537"/>
    </row>
    <row r="331" spans="1:33" ht="10.5" customHeight="1" x14ac:dyDescent="0.2">
      <c r="A331" s="537"/>
      <c r="B331" s="537"/>
      <c r="C331" s="537"/>
      <c r="D331" s="537"/>
      <c r="E331" s="537"/>
      <c r="F331" s="537"/>
      <c r="G331" s="537"/>
      <c r="H331" s="537"/>
      <c r="I331" s="537"/>
      <c r="L331" s="537"/>
      <c r="AA331" s="539"/>
      <c r="AB331" s="539"/>
      <c r="AC331" s="539"/>
      <c r="AD331" s="539"/>
      <c r="AE331" s="539"/>
      <c r="AF331" s="539"/>
      <c r="AG331" s="537"/>
    </row>
    <row r="332" spans="1:33" ht="10.5" customHeight="1" x14ac:dyDescent="0.2">
      <c r="A332" s="537"/>
      <c r="B332" s="537"/>
      <c r="C332" s="537"/>
      <c r="D332" s="537"/>
      <c r="E332" s="537"/>
      <c r="F332" s="537"/>
      <c r="G332" s="537"/>
      <c r="H332" s="537"/>
      <c r="I332" s="537"/>
      <c r="L332" s="537"/>
      <c r="AA332" s="539"/>
      <c r="AB332" s="539"/>
      <c r="AC332" s="539"/>
      <c r="AD332" s="539"/>
      <c r="AE332" s="539"/>
      <c r="AF332" s="539"/>
      <c r="AG332" s="537"/>
    </row>
    <row r="333" spans="1:33" ht="10.5" customHeight="1" x14ac:dyDescent="0.2">
      <c r="A333" s="537"/>
      <c r="B333" s="537"/>
      <c r="C333" s="537"/>
      <c r="D333" s="537"/>
      <c r="E333" s="537"/>
      <c r="F333" s="537"/>
      <c r="G333" s="537"/>
      <c r="H333" s="537"/>
      <c r="I333" s="537"/>
      <c r="L333" s="537"/>
      <c r="AA333" s="539"/>
      <c r="AB333" s="539"/>
      <c r="AC333" s="539"/>
      <c r="AD333" s="539"/>
      <c r="AE333" s="539"/>
      <c r="AF333" s="539"/>
      <c r="AG333" s="537"/>
    </row>
    <row r="334" spans="1:33" ht="10.5" customHeight="1" x14ac:dyDescent="0.2">
      <c r="A334" s="537"/>
      <c r="B334" s="537"/>
      <c r="C334" s="537"/>
      <c r="D334" s="537"/>
      <c r="E334" s="537"/>
      <c r="F334" s="537"/>
      <c r="G334" s="537"/>
      <c r="H334" s="537"/>
      <c r="I334" s="537"/>
      <c r="L334" s="537"/>
      <c r="AA334" s="539"/>
      <c r="AB334" s="539"/>
      <c r="AC334" s="539"/>
      <c r="AD334" s="539"/>
      <c r="AE334" s="539"/>
      <c r="AF334" s="539"/>
      <c r="AG334" s="537"/>
    </row>
    <row r="335" spans="1:33" ht="10.5" customHeight="1" x14ac:dyDescent="0.2">
      <c r="A335" s="537"/>
      <c r="B335" s="537"/>
      <c r="C335" s="537"/>
      <c r="D335" s="537"/>
      <c r="E335" s="537"/>
      <c r="F335" s="537"/>
      <c r="G335" s="537"/>
      <c r="H335" s="537"/>
      <c r="I335" s="537"/>
      <c r="L335" s="537"/>
      <c r="AA335" s="539"/>
      <c r="AB335" s="539"/>
      <c r="AC335" s="539"/>
      <c r="AD335" s="539"/>
      <c r="AE335" s="539"/>
      <c r="AF335" s="539"/>
      <c r="AG335" s="537"/>
    </row>
    <row r="336" spans="1:33" ht="10.5" customHeight="1" x14ac:dyDescent="0.2">
      <c r="A336" s="537"/>
      <c r="B336" s="537"/>
      <c r="C336" s="537"/>
      <c r="D336" s="537"/>
      <c r="E336" s="537"/>
      <c r="F336" s="537"/>
      <c r="G336" s="537"/>
      <c r="H336" s="537"/>
      <c r="I336" s="537"/>
      <c r="L336" s="537"/>
      <c r="AA336" s="539"/>
      <c r="AB336" s="539"/>
      <c r="AC336" s="539"/>
      <c r="AD336" s="539"/>
      <c r="AE336" s="539"/>
      <c r="AF336" s="539"/>
      <c r="AG336" s="537"/>
    </row>
    <row r="337" spans="1:33" ht="10.5" customHeight="1" x14ac:dyDescent="0.2">
      <c r="A337" s="537"/>
      <c r="B337" s="537"/>
      <c r="C337" s="537"/>
      <c r="D337" s="537"/>
      <c r="E337" s="537"/>
      <c r="F337" s="537"/>
      <c r="G337" s="537"/>
      <c r="H337" s="537"/>
      <c r="I337" s="537"/>
      <c r="L337" s="537"/>
      <c r="AA337" s="539"/>
      <c r="AB337" s="539"/>
      <c r="AC337" s="539"/>
      <c r="AD337" s="539"/>
      <c r="AE337" s="539"/>
      <c r="AF337" s="539"/>
      <c r="AG337" s="537"/>
    </row>
    <row r="338" spans="1:33" ht="10.5" customHeight="1" x14ac:dyDescent="0.2">
      <c r="A338" s="537"/>
      <c r="B338" s="537"/>
      <c r="C338" s="537"/>
      <c r="D338" s="537"/>
      <c r="E338" s="537"/>
      <c r="F338" s="537"/>
      <c r="G338" s="537"/>
      <c r="H338" s="537"/>
      <c r="I338" s="537"/>
      <c r="L338" s="537"/>
      <c r="AA338" s="539"/>
      <c r="AB338" s="539"/>
      <c r="AC338" s="539"/>
      <c r="AD338" s="539"/>
      <c r="AE338" s="539"/>
      <c r="AF338" s="539"/>
      <c r="AG338" s="537"/>
    </row>
    <row r="339" spans="1:33" ht="10.5" customHeight="1" x14ac:dyDescent="0.2">
      <c r="A339" s="537"/>
      <c r="B339" s="537"/>
      <c r="C339" s="537"/>
      <c r="D339" s="537"/>
      <c r="E339" s="537"/>
      <c r="F339" s="537"/>
      <c r="G339" s="537"/>
      <c r="H339" s="537"/>
      <c r="I339" s="537"/>
      <c r="L339" s="537"/>
      <c r="AA339" s="539"/>
      <c r="AB339" s="539"/>
      <c r="AC339" s="539"/>
      <c r="AD339" s="539"/>
      <c r="AE339" s="539"/>
      <c r="AF339" s="539"/>
      <c r="AG339" s="537"/>
    </row>
    <row r="340" spans="1:33" ht="10.5" customHeight="1" x14ac:dyDescent="0.2">
      <c r="A340" s="537"/>
      <c r="B340" s="537"/>
      <c r="C340" s="537"/>
      <c r="D340" s="537"/>
      <c r="E340" s="537"/>
      <c r="F340" s="537"/>
      <c r="G340" s="537"/>
      <c r="H340" s="537"/>
      <c r="I340" s="537"/>
      <c r="L340" s="537"/>
      <c r="AA340" s="539"/>
      <c r="AB340" s="539"/>
      <c r="AC340" s="539"/>
      <c r="AD340" s="539"/>
      <c r="AE340" s="539"/>
      <c r="AF340" s="539"/>
      <c r="AG340" s="537"/>
    </row>
    <row r="341" spans="1:33" ht="10.5" customHeight="1" x14ac:dyDescent="0.2">
      <c r="A341" s="537"/>
      <c r="B341" s="537"/>
      <c r="C341" s="537"/>
      <c r="D341" s="537"/>
      <c r="E341" s="537"/>
      <c r="F341" s="537"/>
      <c r="G341" s="537"/>
      <c r="H341" s="537"/>
      <c r="I341" s="537"/>
      <c r="L341" s="537"/>
      <c r="AA341" s="539"/>
      <c r="AB341" s="539"/>
      <c r="AC341" s="539"/>
      <c r="AD341" s="539"/>
      <c r="AE341" s="539"/>
      <c r="AF341" s="539"/>
      <c r="AG341" s="537"/>
    </row>
    <row r="342" spans="1:33" ht="10.5" customHeight="1" x14ac:dyDescent="0.2">
      <c r="A342" s="537"/>
      <c r="B342" s="537"/>
      <c r="C342" s="537"/>
      <c r="D342" s="537"/>
      <c r="E342" s="537"/>
      <c r="F342" s="537"/>
      <c r="G342" s="537"/>
      <c r="H342" s="537"/>
      <c r="I342" s="537"/>
      <c r="L342" s="537"/>
      <c r="AA342" s="539"/>
      <c r="AB342" s="539"/>
      <c r="AC342" s="539"/>
      <c r="AD342" s="539"/>
      <c r="AE342" s="539"/>
      <c r="AF342" s="539"/>
      <c r="AG342" s="537"/>
    </row>
    <row r="343" spans="1:33" ht="10.5" customHeight="1" x14ac:dyDescent="0.2">
      <c r="A343" s="537"/>
      <c r="B343" s="537"/>
      <c r="C343" s="537"/>
      <c r="D343" s="537"/>
      <c r="E343" s="537"/>
      <c r="F343" s="537"/>
      <c r="G343" s="537"/>
      <c r="H343" s="537"/>
      <c r="I343" s="537"/>
      <c r="L343" s="537"/>
      <c r="AA343" s="539"/>
      <c r="AB343" s="539"/>
      <c r="AC343" s="539"/>
      <c r="AD343" s="539"/>
      <c r="AE343" s="539"/>
      <c r="AF343" s="539"/>
      <c r="AG343" s="537"/>
    </row>
    <row r="344" spans="1:33" ht="10.5" customHeight="1" x14ac:dyDescent="0.2">
      <c r="A344" s="537"/>
      <c r="B344" s="537"/>
      <c r="C344" s="537"/>
      <c r="D344" s="537"/>
      <c r="E344" s="537"/>
      <c r="F344" s="537"/>
      <c r="G344" s="537"/>
      <c r="H344" s="537"/>
      <c r="I344" s="537"/>
      <c r="L344" s="537"/>
      <c r="AA344" s="539"/>
      <c r="AB344" s="539"/>
      <c r="AC344" s="539"/>
      <c r="AD344" s="539"/>
      <c r="AE344" s="539"/>
      <c r="AF344" s="539"/>
      <c r="AG344" s="537"/>
    </row>
    <row r="345" spans="1:33" ht="10.5" customHeight="1" x14ac:dyDescent="0.2">
      <c r="A345" s="537"/>
      <c r="B345" s="537"/>
      <c r="C345" s="537"/>
      <c r="D345" s="537"/>
      <c r="E345" s="537"/>
      <c r="F345" s="537"/>
      <c r="G345" s="537"/>
      <c r="H345" s="537"/>
      <c r="I345" s="537"/>
      <c r="L345" s="537"/>
      <c r="AA345" s="539"/>
      <c r="AB345" s="539"/>
      <c r="AC345" s="539"/>
      <c r="AD345" s="539"/>
      <c r="AE345" s="539"/>
      <c r="AF345" s="539"/>
      <c r="AG345" s="537"/>
    </row>
    <row r="346" spans="1:33" ht="10.5" customHeight="1" x14ac:dyDescent="0.2">
      <c r="A346" s="537"/>
      <c r="B346" s="537"/>
      <c r="C346" s="537"/>
      <c r="D346" s="537"/>
      <c r="E346" s="537"/>
      <c r="F346" s="537"/>
      <c r="G346" s="537"/>
      <c r="H346" s="537"/>
      <c r="I346" s="537"/>
      <c r="L346" s="537"/>
      <c r="AA346" s="539"/>
      <c r="AB346" s="539"/>
      <c r="AC346" s="539"/>
      <c r="AD346" s="539"/>
      <c r="AE346" s="539"/>
      <c r="AF346" s="539"/>
      <c r="AG346" s="537"/>
    </row>
    <row r="347" spans="1:33" ht="10.5" customHeight="1" x14ac:dyDescent="0.2">
      <c r="A347" s="537"/>
      <c r="B347" s="537"/>
      <c r="C347" s="537"/>
      <c r="D347" s="537"/>
      <c r="E347" s="537"/>
      <c r="F347" s="537"/>
      <c r="G347" s="537"/>
      <c r="H347" s="537"/>
      <c r="I347" s="537"/>
      <c r="L347" s="537"/>
      <c r="AA347" s="539"/>
      <c r="AB347" s="539"/>
      <c r="AC347" s="539"/>
      <c r="AD347" s="539"/>
      <c r="AE347" s="539"/>
      <c r="AF347" s="539"/>
      <c r="AG347" s="537"/>
    </row>
    <row r="348" spans="1:33" ht="10.5" customHeight="1" x14ac:dyDescent="0.2">
      <c r="A348" s="537"/>
      <c r="B348" s="537"/>
      <c r="C348" s="537"/>
      <c r="D348" s="537"/>
      <c r="E348" s="537"/>
      <c r="F348" s="537"/>
      <c r="G348" s="537"/>
      <c r="H348" s="537"/>
      <c r="I348" s="537"/>
      <c r="L348" s="537"/>
      <c r="AA348" s="539"/>
      <c r="AB348" s="539"/>
      <c r="AC348" s="539"/>
      <c r="AD348" s="539"/>
      <c r="AE348" s="539"/>
      <c r="AF348" s="539"/>
      <c r="AG348" s="537"/>
    </row>
    <row r="349" spans="1:33" ht="10.5" customHeight="1" x14ac:dyDescent="0.2">
      <c r="A349" s="537"/>
      <c r="B349" s="537"/>
      <c r="C349" s="537"/>
      <c r="D349" s="537"/>
      <c r="E349" s="537"/>
      <c r="F349" s="537"/>
      <c r="G349" s="537"/>
      <c r="H349" s="537"/>
      <c r="I349" s="537"/>
      <c r="L349" s="537"/>
      <c r="AA349" s="539"/>
      <c r="AB349" s="539"/>
      <c r="AC349" s="539"/>
      <c r="AD349" s="539"/>
      <c r="AE349" s="539"/>
      <c r="AF349" s="539"/>
      <c r="AG349" s="537"/>
    </row>
    <row r="350" spans="1:33" ht="10.5" customHeight="1" x14ac:dyDescent="0.2">
      <c r="A350" s="537"/>
      <c r="B350" s="537"/>
      <c r="C350" s="537"/>
      <c r="D350" s="537"/>
      <c r="E350" s="537"/>
      <c r="F350" s="537"/>
      <c r="G350" s="537"/>
      <c r="H350" s="537"/>
      <c r="I350" s="537"/>
      <c r="L350" s="537"/>
      <c r="AA350" s="539"/>
      <c r="AB350" s="539"/>
      <c r="AC350" s="539"/>
      <c r="AD350" s="539"/>
      <c r="AE350" s="539"/>
      <c r="AF350" s="539"/>
      <c r="AG350" s="537"/>
    </row>
    <row r="351" spans="1:33" ht="10.5" customHeight="1" x14ac:dyDescent="0.2">
      <c r="A351" s="537"/>
      <c r="B351" s="537"/>
      <c r="C351" s="537"/>
      <c r="D351" s="537"/>
      <c r="E351" s="537"/>
      <c r="F351" s="537"/>
      <c r="G351" s="537"/>
      <c r="H351" s="537"/>
      <c r="I351" s="537"/>
      <c r="L351" s="537"/>
      <c r="AA351" s="539"/>
      <c r="AB351" s="539"/>
      <c r="AC351" s="539"/>
      <c r="AD351" s="539"/>
      <c r="AE351" s="539"/>
      <c r="AF351" s="539"/>
      <c r="AG351" s="537"/>
    </row>
    <row r="352" spans="1:33" ht="10.5" customHeight="1" x14ac:dyDescent="0.2">
      <c r="A352" s="537"/>
      <c r="B352" s="537"/>
      <c r="C352" s="537"/>
      <c r="D352" s="537"/>
      <c r="E352" s="537"/>
      <c r="F352" s="537"/>
      <c r="G352" s="537"/>
      <c r="H352" s="537"/>
      <c r="I352" s="537"/>
      <c r="L352" s="537"/>
      <c r="AA352" s="539"/>
      <c r="AB352" s="539"/>
      <c r="AC352" s="539"/>
      <c r="AD352" s="539"/>
      <c r="AE352" s="539"/>
      <c r="AF352" s="539"/>
      <c r="AG352" s="537"/>
    </row>
    <row r="353" spans="1:33" ht="10.5" customHeight="1" x14ac:dyDescent="0.2">
      <c r="A353" s="537"/>
      <c r="B353" s="537"/>
      <c r="C353" s="537"/>
      <c r="D353" s="537"/>
      <c r="E353" s="537"/>
      <c r="F353" s="537"/>
      <c r="G353" s="537"/>
      <c r="H353" s="537"/>
      <c r="I353" s="537"/>
      <c r="L353" s="537"/>
      <c r="AA353" s="539"/>
      <c r="AB353" s="539"/>
      <c r="AC353" s="539"/>
      <c r="AD353" s="539"/>
      <c r="AE353" s="539"/>
      <c r="AF353" s="539"/>
      <c r="AG353" s="537"/>
    </row>
    <row r="354" spans="1:33" ht="10.5" customHeight="1" x14ac:dyDescent="0.2">
      <c r="A354" s="537"/>
      <c r="B354" s="537"/>
      <c r="C354" s="537"/>
      <c r="D354" s="537"/>
      <c r="E354" s="537"/>
      <c r="F354" s="537"/>
      <c r="G354" s="537"/>
      <c r="H354" s="537"/>
      <c r="I354" s="537"/>
      <c r="L354" s="537"/>
      <c r="AA354" s="539"/>
      <c r="AB354" s="539"/>
      <c r="AC354" s="539"/>
      <c r="AD354" s="539"/>
      <c r="AE354" s="539"/>
      <c r="AF354" s="539"/>
      <c r="AG354" s="537"/>
    </row>
    <row r="355" spans="1:33" ht="10.5" customHeight="1" x14ac:dyDescent="0.2">
      <c r="A355" s="537"/>
      <c r="B355" s="537"/>
      <c r="C355" s="537"/>
      <c r="D355" s="537"/>
      <c r="E355" s="537"/>
      <c r="F355" s="537"/>
      <c r="G355" s="537"/>
      <c r="H355" s="537"/>
      <c r="I355" s="537"/>
      <c r="L355" s="537"/>
      <c r="AA355" s="539"/>
      <c r="AB355" s="539"/>
      <c r="AC355" s="539"/>
      <c r="AD355" s="539"/>
      <c r="AE355" s="539"/>
      <c r="AF355" s="539"/>
      <c r="AG355" s="537"/>
    </row>
    <row r="356" spans="1:33" ht="10.5" customHeight="1" x14ac:dyDescent="0.2">
      <c r="A356" s="537"/>
      <c r="B356" s="537"/>
      <c r="C356" s="537"/>
      <c r="D356" s="537"/>
      <c r="E356" s="537"/>
      <c r="F356" s="537"/>
      <c r="G356" s="537"/>
      <c r="H356" s="537"/>
      <c r="I356" s="537"/>
      <c r="L356" s="537"/>
      <c r="AA356" s="539"/>
      <c r="AB356" s="539"/>
      <c r="AC356" s="539"/>
      <c r="AD356" s="539"/>
      <c r="AE356" s="539"/>
      <c r="AF356" s="539"/>
      <c r="AG356" s="537"/>
    </row>
    <row r="357" spans="1:33" ht="10.5" customHeight="1" x14ac:dyDescent="0.2">
      <c r="A357" s="537"/>
      <c r="B357" s="537"/>
      <c r="C357" s="537"/>
      <c r="D357" s="537"/>
      <c r="E357" s="537"/>
      <c r="F357" s="537"/>
      <c r="G357" s="537"/>
      <c r="H357" s="537"/>
      <c r="I357" s="537"/>
      <c r="L357" s="537"/>
      <c r="AA357" s="539"/>
      <c r="AB357" s="539"/>
      <c r="AC357" s="539"/>
      <c r="AD357" s="539"/>
      <c r="AE357" s="539"/>
      <c r="AF357" s="539"/>
      <c r="AG357" s="537"/>
    </row>
    <row r="358" spans="1:33" ht="10.5" customHeight="1" x14ac:dyDescent="0.2">
      <c r="A358" s="537"/>
      <c r="B358" s="537"/>
      <c r="C358" s="537"/>
      <c r="D358" s="537"/>
      <c r="E358" s="537"/>
      <c r="F358" s="537"/>
      <c r="G358" s="537"/>
      <c r="H358" s="537"/>
      <c r="I358" s="537"/>
      <c r="L358" s="537"/>
      <c r="AA358" s="539"/>
      <c r="AB358" s="539"/>
      <c r="AC358" s="539"/>
      <c r="AD358" s="539"/>
      <c r="AE358" s="539"/>
      <c r="AF358" s="539"/>
      <c r="AG358" s="537"/>
    </row>
    <row r="359" spans="1:33" ht="10.5" customHeight="1" x14ac:dyDescent="0.2">
      <c r="A359" s="537"/>
      <c r="B359" s="537"/>
      <c r="C359" s="537"/>
      <c r="D359" s="537"/>
      <c r="E359" s="537"/>
      <c r="F359" s="537"/>
      <c r="G359" s="537"/>
      <c r="H359" s="537"/>
      <c r="I359" s="537"/>
      <c r="L359" s="537"/>
      <c r="AA359" s="539"/>
      <c r="AB359" s="539"/>
      <c r="AC359" s="539"/>
      <c r="AD359" s="539"/>
      <c r="AE359" s="539"/>
      <c r="AF359" s="539"/>
      <c r="AG359" s="537"/>
    </row>
    <row r="360" spans="1:33" ht="10.5" customHeight="1" x14ac:dyDescent="0.2">
      <c r="A360" s="537"/>
      <c r="B360" s="537"/>
      <c r="C360" s="537"/>
      <c r="D360" s="537"/>
      <c r="E360" s="537"/>
      <c r="F360" s="537"/>
      <c r="G360" s="537"/>
      <c r="H360" s="537"/>
      <c r="I360" s="537"/>
      <c r="L360" s="537"/>
      <c r="AA360" s="539"/>
      <c r="AB360" s="539"/>
      <c r="AC360" s="539"/>
      <c r="AD360" s="539"/>
      <c r="AE360" s="539"/>
      <c r="AF360" s="539"/>
      <c r="AG360" s="537"/>
    </row>
    <row r="361" spans="1:33" ht="10.5" customHeight="1" x14ac:dyDescent="0.2">
      <c r="A361" s="537"/>
      <c r="B361" s="537"/>
      <c r="C361" s="537"/>
      <c r="D361" s="537"/>
      <c r="E361" s="537"/>
      <c r="F361" s="537"/>
      <c r="G361" s="537"/>
      <c r="H361" s="537"/>
      <c r="I361" s="537"/>
      <c r="L361" s="537"/>
      <c r="AA361" s="539"/>
      <c r="AB361" s="539"/>
      <c r="AC361" s="539"/>
      <c r="AD361" s="539"/>
      <c r="AE361" s="539"/>
      <c r="AF361" s="539"/>
      <c r="AG361" s="537"/>
    </row>
    <row r="362" spans="1:33" ht="10.5" customHeight="1" x14ac:dyDescent="0.2">
      <c r="A362" s="537"/>
      <c r="B362" s="537"/>
      <c r="C362" s="537"/>
      <c r="D362" s="537"/>
      <c r="E362" s="537"/>
      <c r="F362" s="537"/>
      <c r="G362" s="537"/>
      <c r="H362" s="537"/>
      <c r="I362" s="537"/>
      <c r="L362" s="537"/>
      <c r="AA362" s="539"/>
      <c r="AB362" s="539"/>
      <c r="AC362" s="539"/>
      <c r="AD362" s="539"/>
      <c r="AE362" s="539"/>
      <c r="AF362" s="539"/>
      <c r="AG362" s="537"/>
    </row>
    <row r="363" spans="1:33" ht="10.5" customHeight="1" x14ac:dyDescent="0.2">
      <c r="A363" s="537"/>
      <c r="B363" s="537"/>
      <c r="C363" s="537"/>
      <c r="D363" s="537"/>
      <c r="E363" s="537"/>
      <c r="F363" s="537"/>
      <c r="G363" s="537"/>
      <c r="H363" s="537"/>
      <c r="I363" s="537"/>
      <c r="L363" s="537"/>
      <c r="AA363" s="539"/>
      <c r="AB363" s="539"/>
      <c r="AC363" s="539"/>
      <c r="AD363" s="539"/>
      <c r="AE363" s="539"/>
      <c r="AF363" s="539"/>
      <c r="AG363" s="537"/>
    </row>
    <row r="364" spans="1:33" ht="10.5" customHeight="1" x14ac:dyDescent="0.2">
      <c r="A364" s="537"/>
      <c r="B364" s="537"/>
      <c r="C364" s="537"/>
      <c r="D364" s="537"/>
      <c r="E364" s="537"/>
      <c r="F364" s="537"/>
      <c r="G364" s="537"/>
      <c r="H364" s="537"/>
      <c r="I364" s="537"/>
      <c r="L364" s="537"/>
      <c r="AA364" s="539"/>
      <c r="AB364" s="539"/>
      <c r="AC364" s="539"/>
      <c r="AD364" s="539"/>
      <c r="AE364" s="539"/>
      <c r="AF364" s="539"/>
      <c r="AG364" s="537"/>
    </row>
    <row r="365" spans="1:33" ht="10.5" customHeight="1" x14ac:dyDescent="0.2">
      <c r="A365" s="537"/>
      <c r="B365" s="537"/>
      <c r="C365" s="537"/>
      <c r="D365" s="537"/>
      <c r="E365" s="537"/>
      <c r="F365" s="537"/>
      <c r="G365" s="537"/>
      <c r="H365" s="537"/>
      <c r="I365" s="537"/>
      <c r="L365" s="537"/>
      <c r="AA365" s="539"/>
      <c r="AB365" s="539"/>
      <c r="AC365" s="539"/>
      <c r="AD365" s="539"/>
      <c r="AE365" s="539"/>
      <c r="AF365" s="539"/>
      <c r="AG365" s="537"/>
    </row>
    <row r="366" spans="1:33" ht="10.5" customHeight="1" x14ac:dyDescent="0.2">
      <c r="A366" s="537"/>
      <c r="B366" s="537"/>
      <c r="C366" s="537"/>
      <c r="D366" s="537"/>
      <c r="E366" s="537"/>
      <c r="F366" s="537"/>
      <c r="G366" s="537"/>
      <c r="H366" s="537"/>
      <c r="I366" s="537"/>
      <c r="L366" s="537"/>
      <c r="AA366" s="539"/>
      <c r="AB366" s="539"/>
      <c r="AC366" s="539"/>
      <c r="AD366" s="539"/>
      <c r="AE366" s="539"/>
      <c r="AF366" s="539"/>
      <c r="AG366" s="537"/>
    </row>
    <row r="367" spans="1:33" ht="10.5" customHeight="1" x14ac:dyDescent="0.2">
      <c r="A367" s="537"/>
      <c r="B367" s="537"/>
      <c r="C367" s="537"/>
      <c r="D367" s="537"/>
      <c r="E367" s="537"/>
      <c r="F367" s="537"/>
      <c r="G367" s="537"/>
      <c r="H367" s="537"/>
      <c r="I367" s="537"/>
      <c r="L367" s="537"/>
      <c r="AA367" s="539"/>
      <c r="AB367" s="539"/>
      <c r="AC367" s="539"/>
      <c r="AD367" s="539"/>
      <c r="AE367" s="539"/>
      <c r="AF367" s="539"/>
      <c r="AG367" s="537"/>
    </row>
    <row r="368" spans="1:33" ht="10.5" customHeight="1" x14ac:dyDescent="0.2">
      <c r="A368" s="537"/>
      <c r="B368" s="537"/>
      <c r="C368" s="537"/>
      <c r="D368" s="537"/>
      <c r="E368" s="537"/>
      <c r="F368" s="537"/>
      <c r="G368" s="537"/>
      <c r="H368" s="537"/>
      <c r="I368" s="537"/>
      <c r="L368" s="537"/>
      <c r="AA368" s="539"/>
      <c r="AB368" s="539"/>
      <c r="AC368" s="539"/>
      <c r="AD368" s="539"/>
      <c r="AE368" s="539"/>
      <c r="AF368" s="539"/>
      <c r="AG368" s="537"/>
    </row>
    <row r="369" spans="1:33" ht="10.5" customHeight="1" x14ac:dyDescent="0.2">
      <c r="A369" s="537"/>
      <c r="B369" s="537"/>
      <c r="C369" s="537"/>
      <c r="D369" s="537"/>
      <c r="E369" s="537"/>
      <c r="F369" s="537"/>
      <c r="G369" s="537"/>
      <c r="H369" s="537"/>
      <c r="I369" s="537"/>
      <c r="L369" s="537"/>
      <c r="AA369" s="539"/>
      <c r="AB369" s="539"/>
      <c r="AC369" s="539"/>
      <c r="AD369" s="539"/>
      <c r="AE369" s="539"/>
      <c r="AF369" s="539"/>
      <c r="AG369" s="537"/>
    </row>
    <row r="370" spans="1:33" ht="10.5" customHeight="1" x14ac:dyDescent="0.2">
      <c r="A370" s="537"/>
      <c r="B370" s="537"/>
      <c r="C370" s="537"/>
      <c r="D370" s="537"/>
      <c r="E370" s="537"/>
      <c r="F370" s="537"/>
      <c r="G370" s="537"/>
      <c r="H370" s="537"/>
      <c r="I370" s="537"/>
      <c r="L370" s="537"/>
      <c r="AA370" s="539"/>
      <c r="AB370" s="539"/>
      <c r="AC370" s="539"/>
      <c r="AD370" s="539"/>
      <c r="AE370" s="539"/>
      <c r="AF370" s="539"/>
      <c r="AG370" s="537"/>
    </row>
    <row r="371" spans="1:33" ht="10.5" customHeight="1" x14ac:dyDescent="0.2">
      <c r="A371" s="537"/>
      <c r="B371" s="537"/>
      <c r="C371" s="537"/>
      <c r="D371" s="537"/>
      <c r="E371" s="537"/>
      <c r="F371" s="537"/>
      <c r="G371" s="537"/>
      <c r="H371" s="537"/>
      <c r="I371" s="537"/>
      <c r="L371" s="537"/>
      <c r="AA371" s="539"/>
      <c r="AB371" s="539"/>
      <c r="AC371" s="539"/>
      <c r="AD371" s="539"/>
      <c r="AE371" s="539"/>
      <c r="AF371" s="539"/>
      <c r="AG371" s="537"/>
    </row>
    <row r="372" spans="1:33" ht="10.5" customHeight="1" x14ac:dyDescent="0.2">
      <c r="A372" s="537"/>
      <c r="B372" s="537"/>
      <c r="C372" s="537"/>
      <c r="D372" s="537"/>
      <c r="E372" s="537"/>
      <c r="F372" s="537"/>
      <c r="G372" s="537"/>
      <c r="H372" s="537"/>
      <c r="I372" s="537"/>
      <c r="L372" s="537"/>
      <c r="AA372" s="539"/>
      <c r="AB372" s="539"/>
      <c r="AC372" s="539"/>
      <c r="AD372" s="539"/>
      <c r="AE372" s="539"/>
      <c r="AF372" s="539"/>
      <c r="AG372" s="537"/>
    </row>
    <row r="373" spans="1:33" ht="10.5" customHeight="1" x14ac:dyDescent="0.2">
      <c r="A373" s="537"/>
      <c r="B373" s="537"/>
      <c r="C373" s="537"/>
      <c r="D373" s="537"/>
      <c r="E373" s="537"/>
      <c r="F373" s="537"/>
      <c r="G373" s="537"/>
      <c r="H373" s="537"/>
      <c r="I373" s="537"/>
      <c r="L373" s="537"/>
      <c r="AA373" s="539"/>
      <c r="AB373" s="539"/>
      <c r="AC373" s="539"/>
      <c r="AD373" s="539"/>
      <c r="AE373" s="539"/>
      <c r="AF373" s="539"/>
      <c r="AG373" s="537"/>
    </row>
    <row r="374" spans="1:33" ht="10.5" customHeight="1" x14ac:dyDescent="0.2">
      <c r="A374" s="537"/>
      <c r="B374" s="537"/>
      <c r="C374" s="537"/>
      <c r="D374" s="537"/>
      <c r="E374" s="537"/>
      <c r="F374" s="537"/>
      <c r="G374" s="537"/>
      <c r="H374" s="537"/>
      <c r="I374" s="537"/>
      <c r="L374" s="537"/>
      <c r="AA374" s="539"/>
      <c r="AB374" s="539"/>
      <c r="AC374" s="539"/>
      <c r="AD374" s="539"/>
      <c r="AE374" s="539"/>
      <c r="AF374" s="539"/>
      <c r="AG374" s="537"/>
    </row>
    <row r="375" spans="1:33" ht="10.5" customHeight="1" x14ac:dyDescent="0.2">
      <c r="A375" s="537"/>
      <c r="B375" s="537"/>
      <c r="C375" s="537"/>
      <c r="D375" s="537"/>
      <c r="E375" s="537"/>
      <c r="F375" s="537"/>
      <c r="G375" s="537"/>
      <c r="H375" s="537"/>
      <c r="I375" s="537"/>
      <c r="L375" s="537"/>
      <c r="AA375" s="539"/>
      <c r="AB375" s="539"/>
      <c r="AC375" s="539"/>
      <c r="AD375" s="539"/>
      <c r="AE375" s="539"/>
      <c r="AF375" s="539"/>
      <c r="AG375" s="537"/>
    </row>
    <row r="376" spans="1:33" ht="10.5" customHeight="1" x14ac:dyDescent="0.2">
      <c r="A376" s="537"/>
      <c r="B376" s="537"/>
      <c r="C376" s="537"/>
      <c r="D376" s="537"/>
      <c r="E376" s="537"/>
      <c r="F376" s="537"/>
      <c r="G376" s="537"/>
      <c r="H376" s="537"/>
      <c r="I376" s="537"/>
      <c r="L376" s="537"/>
      <c r="AA376" s="539"/>
      <c r="AB376" s="539"/>
      <c r="AC376" s="539"/>
      <c r="AD376" s="539"/>
      <c r="AE376" s="539"/>
      <c r="AF376" s="539"/>
      <c r="AG376" s="537"/>
    </row>
    <row r="377" spans="1:33" ht="10.5" customHeight="1" x14ac:dyDescent="0.2">
      <c r="A377" s="537"/>
      <c r="B377" s="537"/>
      <c r="C377" s="537"/>
      <c r="D377" s="537"/>
      <c r="E377" s="537"/>
      <c r="F377" s="537"/>
      <c r="G377" s="537"/>
      <c r="H377" s="537"/>
      <c r="I377" s="537"/>
      <c r="L377" s="537"/>
      <c r="AA377" s="539"/>
      <c r="AB377" s="539"/>
      <c r="AC377" s="539"/>
      <c r="AD377" s="539"/>
      <c r="AE377" s="539"/>
      <c r="AF377" s="539"/>
      <c r="AG377" s="537"/>
    </row>
    <row r="378" spans="1:33" ht="10.5" customHeight="1" x14ac:dyDescent="0.2">
      <c r="A378" s="537"/>
      <c r="B378" s="537"/>
      <c r="C378" s="537"/>
      <c r="D378" s="537"/>
      <c r="E378" s="537"/>
      <c r="F378" s="537"/>
      <c r="G378" s="537"/>
      <c r="H378" s="537"/>
      <c r="I378" s="537"/>
      <c r="L378" s="537"/>
      <c r="AA378" s="539"/>
      <c r="AB378" s="539"/>
      <c r="AC378" s="539"/>
      <c r="AD378" s="539"/>
      <c r="AE378" s="539"/>
      <c r="AF378" s="539"/>
      <c r="AG378" s="537"/>
    </row>
    <row r="379" spans="1:33" ht="10.5" customHeight="1" x14ac:dyDescent="0.2">
      <c r="A379" s="537"/>
      <c r="B379" s="537"/>
      <c r="C379" s="537"/>
      <c r="D379" s="537"/>
      <c r="E379" s="537"/>
      <c r="F379" s="537"/>
      <c r="G379" s="537"/>
      <c r="H379" s="537"/>
      <c r="I379" s="537"/>
      <c r="L379" s="537"/>
      <c r="AA379" s="539"/>
      <c r="AB379" s="539"/>
      <c r="AC379" s="539"/>
      <c r="AD379" s="539"/>
      <c r="AE379" s="539"/>
      <c r="AF379" s="539"/>
      <c r="AG379" s="537"/>
    </row>
    <row r="380" spans="1:33" ht="10.5" customHeight="1" x14ac:dyDescent="0.2">
      <c r="A380" s="537"/>
      <c r="B380" s="537"/>
      <c r="C380" s="537"/>
      <c r="D380" s="537"/>
      <c r="E380" s="537"/>
      <c r="F380" s="537"/>
      <c r="G380" s="537"/>
      <c r="H380" s="537"/>
      <c r="I380" s="537"/>
      <c r="L380" s="537"/>
      <c r="AA380" s="539"/>
      <c r="AB380" s="539"/>
      <c r="AC380" s="539"/>
      <c r="AD380" s="539"/>
      <c r="AE380" s="539"/>
      <c r="AF380" s="539"/>
      <c r="AG380" s="537"/>
    </row>
    <row r="381" spans="1:33" ht="10.5" customHeight="1" x14ac:dyDescent="0.2">
      <c r="A381" s="537"/>
      <c r="B381" s="537"/>
      <c r="C381" s="537"/>
      <c r="D381" s="537"/>
      <c r="E381" s="537"/>
      <c r="F381" s="537"/>
      <c r="G381" s="537"/>
      <c r="H381" s="537"/>
      <c r="I381" s="537"/>
      <c r="L381" s="537"/>
      <c r="AA381" s="539"/>
      <c r="AB381" s="539"/>
      <c r="AC381" s="539"/>
      <c r="AD381" s="539"/>
      <c r="AE381" s="539"/>
      <c r="AF381" s="539"/>
      <c r="AG381" s="537"/>
    </row>
    <row r="382" spans="1:33" ht="10.5" customHeight="1" x14ac:dyDescent="0.2">
      <c r="A382" s="537"/>
      <c r="B382" s="537"/>
      <c r="C382" s="537"/>
      <c r="D382" s="537"/>
      <c r="E382" s="537"/>
      <c r="F382" s="537"/>
      <c r="G382" s="537"/>
      <c r="H382" s="537"/>
      <c r="I382" s="537"/>
      <c r="L382" s="537"/>
      <c r="AA382" s="539"/>
      <c r="AB382" s="539"/>
      <c r="AC382" s="539"/>
      <c r="AD382" s="539"/>
      <c r="AE382" s="539"/>
      <c r="AF382" s="539"/>
      <c r="AG382" s="537"/>
    </row>
    <row r="383" spans="1:33" ht="10.5" customHeight="1" x14ac:dyDescent="0.2">
      <c r="A383" s="537"/>
      <c r="B383" s="537"/>
      <c r="C383" s="537"/>
      <c r="D383" s="537"/>
      <c r="E383" s="537"/>
      <c r="F383" s="537"/>
      <c r="G383" s="537"/>
      <c r="H383" s="537"/>
      <c r="I383" s="537"/>
      <c r="L383" s="537"/>
      <c r="AA383" s="539"/>
      <c r="AB383" s="539"/>
      <c r="AC383" s="539"/>
      <c r="AD383" s="539"/>
      <c r="AE383" s="539"/>
      <c r="AF383" s="539"/>
      <c r="AG383" s="537"/>
    </row>
    <row r="384" spans="1:33" ht="10.5" customHeight="1" x14ac:dyDescent="0.2">
      <c r="A384" s="537"/>
      <c r="B384" s="537"/>
      <c r="C384" s="537"/>
      <c r="D384" s="537"/>
      <c r="E384" s="537"/>
      <c r="F384" s="537"/>
      <c r="G384" s="537"/>
      <c r="H384" s="537"/>
      <c r="I384" s="537"/>
      <c r="L384" s="537"/>
      <c r="AA384" s="539"/>
      <c r="AB384" s="539"/>
      <c r="AC384" s="539"/>
      <c r="AD384" s="539"/>
      <c r="AE384" s="539"/>
      <c r="AF384" s="539"/>
      <c r="AG384" s="537"/>
    </row>
    <row r="385" spans="1:33" ht="10.5" customHeight="1" x14ac:dyDescent="0.2">
      <c r="A385" s="537"/>
      <c r="B385" s="537"/>
      <c r="C385" s="537"/>
      <c r="D385" s="537"/>
      <c r="E385" s="537"/>
      <c r="F385" s="537"/>
      <c r="G385" s="537"/>
      <c r="H385" s="537"/>
      <c r="I385" s="537"/>
      <c r="L385" s="537"/>
      <c r="AA385" s="539"/>
      <c r="AB385" s="539"/>
      <c r="AC385" s="539"/>
      <c r="AD385" s="539"/>
      <c r="AE385" s="539"/>
      <c r="AF385" s="539"/>
      <c r="AG385" s="537"/>
    </row>
    <row r="386" spans="1:33" ht="10.5" customHeight="1" x14ac:dyDescent="0.2">
      <c r="A386" s="537"/>
      <c r="B386" s="537"/>
      <c r="C386" s="537"/>
      <c r="D386" s="537"/>
      <c r="E386" s="537"/>
      <c r="F386" s="537"/>
      <c r="G386" s="537"/>
      <c r="H386" s="537"/>
      <c r="I386" s="537"/>
      <c r="L386" s="537"/>
      <c r="AA386" s="539"/>
      <c r="AB386" s="539"/>
      <c r="AC386" s="539"/>
      <c r="AD386" s="539"/>
      <c r="AE386" s="539"/>
      <c r="AF386" s="539"/>
      <c r="AG386" s="537"/>
    </row>
    <row r="387" spans="1:33" ht="10.5" customHeight="1" x14ac:dyDescent="0.2">
      <c r="A387" s="537"/>
      <c r="B387" s="537"/>
      <c r="C387" s="537"/>
      <c r="D387" s="537"/>
      <c r="E387" s="537"/>
      <c r="F387" s="537"/>
      <c r="G387" s="537"/>
      <c r="H387" s="537"/>
      <c r="I387" s="537"/>
      <c r="L387" s="537"/>
      <c r="AA387" s="539"/>
      <c r="AB387" s="539"/>
      <c r="AC387" s="539"/>
      <c r="AD387" s="539"/>
      <c r="AE387" s="539"/>
      <c r="AF387" s="539"/>
      <c r="AG387" s="537"/>
    </row>
    <row r="388" spans="1:33" ht="10.5" customHeight="1" x14ac:dyDescent="0.2">
      <c r="A388" s="537"/>
      <c r="B388" s="537"/>
      <c r="C388" s="537"/>
      <c r="D388" s="537"/>
      <c r="E388" s="537"/>
      <c r="F388" s="537"/>
      <c r="G388" s="537"/>
      <c r="H388" s="537"/>
      <c r="I388" s="537"/>
      <c r="L388" s="537"/>
      <c r="AA388" s="539"/>
      <c r="AB388" s="539"/>
      <c r="AC388" s="539"/>
      <c r="AD388" s="539"/>
      <c r="AE388" s="539"/>
      <c r="AF388" s="539"/>
      <c r="AG388" s="537"/>
    </row>
    <row r="389" spans="1:33" ht="10.5" customHeight="1" x14ac:dyDescent="0.2">
      <c r="A389" s="537"/>
      <c r="B389" s="537"/>
      <c r="C389" s="537"/>
      <c r="D389" s="537"/>
      <c r="E389" s="537"/>
      <c r="F389" s="537"/>
      <c r="G389" s="537"/>
      <c r="H389" s="537"/>
      <c r="I389" s="537"/>
      <c r="L389" s="537"/>
      <c r="AA389" s="539"/>
      <c r="AB389" s="539"/>
      <c r="AC389" s="539"/>
      <c r="AD389" s="539"/>
      <c r="AE389" s="539"/>
      <c r="AF389" s="539"/>
      <c r="AG389" s="537"/>
    </row>
    <row r="390" spans="1:33" ht="10.5" customHeight="1" x14ac:dyDescent="0.2">
      <c r="A390" s="537"/>
      <c r="B390" s="537"/>
      <c r="C390" s="537"/>
      <c r="D390" s="537"/>
      <c r="E390" s="537"/>
      <c r="F390" s="537"/>
      <c r="G390" s="537"/>
      <c r="H390" s="537"/>
      <c r="I390" s="537"/>
      <c r="L390" s="537"/>
      <c r="AA390" s="539"/>
      <c r="AB390" s="539"/>
      <c r="AC390" s="539"/>
      <c r="AD390" s="539"/>
      <c r="AE390" s="539"/>
      <c r="AF390" s="539"/>
      <c r="AG390" s="537"/>
    </row>
    <row r="391" spans="1:33" ht="10.5" customHeight="1" x14ac:dyDescent="0.2">
      <c r="A391" s="537"/>
      <c r="B391" s="537"/>
      <c r="C391" s="537"/>
      <c r="D391" s="537"/>
      <c r="E391" s="537"/>
      <c r="F391" s="537"/>
      <c r="G391" s="537"/>
      <c r="H391" s="537"/>
      <c r="I391" s="537"/>
      <c r="L391" s="537"/>
      <c r="AA391" s="539"/>
      <c r="AB391" s="539"/>
      <c r="AC391" s="539"/>
      <c r="AD391" s="539"/>
      <c r="AE391" s="539"/>
      <c r="AF391" s="539"/>
      <c r="AG391" s="537"/>
    </row>
    <row r="392" spans="1:33" ht="10.5" customHeight="1" x14ac:dyDescent="0.2">
      <c r="A392" s="537"/>
      <c r="B392" s="537"/>
      <c r="C392" s="537"/>
      <c r="D392" s="537"/>
      <c r="E392" s="537"/>
      <c r="F392" s="537"/>
      <c r="G392" s="537"/>
      <c r="H392" s="537"/>
      <c r="I392" s="537"/>
      <c r="L392" s="537"/>
      <c r="AA392" s="539"/>
      <c r="AB392" s="539"/>
      <c r="AC392" s="539"/>
      <c r="AD392" s="539"/>
      <c r="AE392" s="539"/>
      <c r="AF392" s="539"/>
      <c r="AG392" s="537"/>
    </row>
    <row r="393" spans="1:33" ht="10.5" customHeight="1" x14ac:dyDescent="0.2">
      <c r="A393" s="537"/>
      <c r="B393" s="537"/>
      <c r="C393" s="537"/>
      <c r="D393" s="537"/>
      <c r="E393" s="537"/>
      <c r="F393" s="537"/>
      <c r="G393" s="537"/>
      <c r="H393" s="537"/>
      <c r="I393" s="537"/>
      <c r="L393" s="537"/>
      <c r="AA393" s="539"/>
      <c r="AB393" s="539"/>
      <c r="AC393" s="539"/>
      <c r="AD393" s="539"/>
      <c r="AE393" s="539"/>
      <c r="AF393" s="539"/>
      <c r="AG393" s="537"/>
    </row>
    <row r="394" spans="1:33" ht="10.5" customHeight="1" x14ac:dyDescent="0.2">
      <c r="A394" s="537"/>
      <c r="B394" s="537"/>
      <c r="C394" s="537"/>
      <c r="D394" s="537"/>
      <c r="E394" s="537"/>
      <c r="F394" s="537"/>
      <c r="G394" s="537"/>
      <c r="H394" s="537"/>
      <c r="I394" s="537"/>
      <c r="L394" s="537"/>
      <c r="AA394" s="539"/>
      <c r="AB394" s="539"/>
      <c r="AC394" s="539"/>
      <c r="AD394" s="539"/>
      <c r="AE394" s="539"/>
      <c r="AF394" s="539"/>
      <c r="AG394" s="537"/>
    </row>
    <row r="395" spans="1:33" ht="10.5" customHeight="1" x14ac:dyDescent="0.2">
      <c r="A395" s="537"/>
      <c r="B395" s="537"/>
      <c r="C395" s="537"/>
      <c r="D395" s="537"/>
      <c r="E395" s="537"/>
      <c r="F395" s="537"/>
      <c r="G395" s="537"/>
      <c r="H395" s="537"/>
      <c r="I395" s="537"/>
      <c r="L395" s="537"/>
      <c r="AA395" s="539"/>
      <c r="AB395" s="539"/>
      <c r="AC395" s="539"/>
      <c r="AD395" s="539"/>
      <c r="AE395" s="539"/>
      <c r="AF395" s="539"/>
      <c r="AG395" s="537"/>
    </row>
    <row r="396" spans="1:33" ht="10.5" customHeight="1" x14ac:dyDescent="0.2">
      <c r="A396" s="537"/>
      <c r="B396" s="537"/>
      <c r="C396" s="537"/>
      <c r="D396" s="537"/>
      <c r="E396" s="537"/>
      <c r="F396" s="537"/>
      <c r="G396" s="537"/>
      <c r="H396" s="537"/>
      <c r="I396" s="537"/>
      <c r="L396" s="537"/>
      <c r="AA396" s="539"/>
      <c r="AB396" s="539"/>
      <c r="AC396" s="539"/>
      <c r="AD396" s="539"/>
      <c r="AE396" s="539"/>
      <c r="AF396" s="539"/>
      <c r="AG396" s="537"/>
    </row>
    <row r="397" spans="1:33" ht="10.5" customHeight="1" x14ac:dyDescent="0.2">
      <c r="A397" s="537"/>
      <c r="B397" s="537"/>
      <c r="C397" s="537"/>
      <c r="D397" s="537"/>
      <c r="E397" s="537"/>
      <c r="F397" s="537"/>
      <c r="G397" s="537"/>
      <c r="H397" s="537"/>
      <c r="I397" s="537"/>
      <c r="L397" s="537"/>
      <c r="AA397" s="539"/>
      <c r="AB397" s="539"/>
      <c r="AC397" s="539"/>
      <c r="AD397" s="539"/>
      <c r="AE397" s="539"/>
      <c r="AF397" s="539"/>
      <c r="AG397" s="537"/>
    </row>
    <row r="398" spans="1:33" ht="10.5" customHeight="1" x14ac:dyDescent="0.2">
      <c r="A398" s="537"/>
      <c r="B398" s="537"/>
      <c r="C398" s="537"/>
      <c r="D398" s="537"/>
      <c r="E398" s="537"/>
      <c r="F398" s="537"/>
      <c r="G398" s="537"/>
      <c r="H398" s="537"/>
      <c r="I398" s="537"/>
      <c r="L398" s="537"/>
      <c r="AA398" s="539"/>
      <c r="AB398" s="539"/>
      <c r="AC398" s="539"/>
      <c r="AD398" s="539"/>
      <c r="AE398" s="539"/>
      <c r="AF398" s="539"/>
      <c r="AG398" s="537"/>
    </row>
    <row r="399" spans="1:33" ht="10.5" customHeight="1" x14ac:dyDescent="0.2">
      <c r="A399" s="537"/>
      <c r="B399" s="537"/>
      <c r="C399" s="537"/>
      <c r="D399" s="537"/>
      <c r="E399" s="537"/>
      <c r="F399" s="537"/>
      <c r="G399" s="537"/>
      <c r="H399" s="537"/>
      <c r="I399" s="537"/>
      <c r="L399" s="537"/>
      <c r="AA399" s="539"/>
      <c r="AB399" s="539"/>
      <c r="AC399" s="539"/>
      <c r="AD399" s="539"/>
      <c r="AE399" s="539"/>
      <c r="AF399" s="539"/>
      <c r="AG399" s="537"/>
    </row>
    <row r="400" spans="1:33" ht="10.5" customHeight="1" x14ac:dyDescent="0.2">
      <c r="A400" s="537"/>
      <c r="B400" s="537"/>
      <c r="C400" s="537"/>
      <c r="D400" s="537"/>
      <c r="E400" s="537"/>
      <c r="F400" s="537"/>
      <c r="G400" s="537"/>
      <c r="H400" s="537"/>
      <c r="I400" s="537"/>
      <c r="L400" s="537"/>
      <c r="AA400" s="539"/>
      <c r="AB400" s="539"/>
      <c r="AC400" s="539"/>
      <c r="AD400" s="539"/>
      <c r="AE400" s="539"/>
      <c r="AF400" s="539"/>
      <c r="AG400" s="537"/>
    </row>
    <row r="401" spans="1:33" ht="10.5" customHeight="1" x14ac:dyDescent="0.2">
      <c r="A401" s="537"/>
      <c r="B401" s="537"/>
      <c r="C401" s="537"/>
      <c r="D401" s="537"/>
      <c r="E401" s="537"/>
      <c r="F401" s="537"/>
      <c r="G401" s="537"/>
      <c r="H401" s="537"/>
      <c r="I401" s="537"/>
      <c r="L401" s="537"/>
      <c r="AA401" s="539"/>
      <c r="AB401" s="539"/>
      <c r="AC401" s="539"/>
      <c r="AD401" s="539"/>
      <c r="AE401" s="539"/>
      <c r="AF401" s="539"/>
      <c r="AG401" s="537"/>
    </row>
    <row r="402" spans="1:33" ht="10.5" customHeight="1" x14ac:dyDescent="0.2">
      <c r="A402" s="537"/>
      <c r="B402" s="537"/>
      <c r="C402" s="537"/>
      <c r="D402" s="537"/>
      <c r="E402" s="537"/>
      <c r="F402" s="537"/>
      <c r="G402" s="537"/>
      <c r="H402" s="537"/>
      <c r="I402" s="537"/>
      <c r="L402" s="537"/>
      <c r="AA402" s="539"/>
      <c r="AB402" s="539"/>
      <c r="AC402" s="539"/>
      <c r="AD402" s="539"/>
      <c r="AE402" s="539"/>
      <c r="AF402" s="539"/>
      <c r="AG402" s="537"/>
    </row>
    <row r="403" spans="1:33" ht="10.5" customHeight="1" x14ac:dyDescent="0.2">
      <c r="A403" s="537"/>
      <c r="B403" s="537"/>
      <c r="C403" s="537"/>
      <c r="D403" s="537"/>
      <c r="E403" s="537"/>
      <c r="F403" s="537"/>
      <c r="G403" s="537"/>
      <c r="H403" s="537"/>
      <c r="I403" s="537"/>
      <c r="L403" s="537"/>
      <c r="AA403" s="539"/>
      <c r="AB403" s="539"/>
      <c r="AC403" s="539"/>
      <c r="AD403" s="539"/>
      <c r="AE403" s="539"/>
      <c r="AF403" s="539"/>
      <c r="AG403" s="537"/>
    </row>
    <row r="404" spans="1:33" ht="10.5" customHeight="1" x14ac:dyDescent="0.2">
      <c r="A404" s="537"/>
      <c r="B404" s="537"/>
      <c r="C404" s="537"/>
      <c r="D404" s="537"/>
      <c r="E404" s="537"/>
      <c r="F404" s="537"/>
      <c r="G404" s="537"/>
      <c r="H404" s="537"/>
      <c r="I404" s="537"/>
      <c r="L404" s="537"/>
      <c r="AA404" s="539"/>
      <c r="AB404" s="539"/>
      <c r="AC404" s="539"/>
      <c r="AD404" s="539"/>
      <c r="AE404" s="539"/>
      <c r="AF404" s="539"/>
      <c r="AG404" s="537"/>
    </row>
    <row r="405" spans="1:33" ht="10.5" customHeight="1" x14ac:dyDescent="0.2">
      <c r="A405" s="537"/>
      <c r="B405" s="537"/>
      <c r="C405" s="537"/>
      <c r="D405" s="537"/>
      <c r="E405" s="537"/>
      <c r="F405" s="537"/>
      <c r="G405" s="537"/>
      <c r="H405" s="537"/>
      <c r="I405" s="537"/>
      <c r="L405" s="537"/>
      <c r="AA405" s="539"/>
      <c r="AB405" s="539"/>
      <c r="AC405" s="539"/>
      <c r="AD405" s="539"/>
      <c r="AE405" s="539"/>
      <c r="AF405" s="539"/>
      <c r="AG405" s="537"/>
    </row>
    <row r="406" spans="1:33" ht="10.5" customHeight="1" x14ac:dyDescent="0.2">
      <c r="A406" s="537"/>
      <c r="B406" s="537"/>
      <c r="C406" s="537"/>
      <c r="D406" s="537"/>
      <c r="E406" s="537"/>
      <c r="F406" s="537"/>
      <c r="G406" s="537"/>
      <c r="H406" s="537"/>
      <c r="I406" s="537"/>
      <c r="L406" s="537"/>
      <c r="AA406" s="539"/>
      <c r="AB406" s="539"/>
      <c r="AC406" s="539"/>
      <c r="AD406" s="539"/>
      <c r="AE406" s="539"/>
      <c r="AF406" s="539"/>
      <c r="AG406" s="537"/>
    </row>
    <row r="407" spans="1:33" ht="10.5" customHeight="1" x14ac:dyDescent="0.2">
      <c r="A407" s="537"/>
      <c r="B407" s="537"/>
      <c r="C407" s="537"/>
      <c r="D407" s="537"/>
      <c r="E407" s="537"/>
      <c r="F407" s="537"/>
      <c r="G407" s="537"/>
      <c r="H407" s="537"/>
      <c r="I407" s="537"/>
      <c r="L407" s="537"/>
      <c r="AA407" s="539"/>
      <c r="AB407" s="539"/>
      <c r="AC407" s="539"/>
      <c r="AD407" s="539"/>
      <c r="AE407" s="539"/>
      <c r="AF407" s="539"/>
      <c r="AG407" s="537"/>
    </row>
    <row r="408" spans="1:33" ht="10.5" customHeight="1" x14ac:dyDescent="0.2">
      <c r="A408" s="537"/>
      <c r="B408" s="537"/>
      <c r="C408" s="537"/>
      <c r="D408" s="537"/>
      <c r="E408" s="537"/>
      <c r="F408" s="537"/>
      <c r="G408" s="537"/>
      <c r="H408" s="537"/>
      <c r="I408" s="537"/>
      <c r="L408" s="537"/>
      <c r="AA408" s="539"/>
      <c r="AB408" s="539"/>
      <c r="AC408" s="539"/>
      <c r="AD408" s="539"/>
      <c r="AE408" s="539"/>
      <c r="AF408" s="539"/>
      <c r="AG408" s="537"/>
    </row>
    <row r="409" spans="1:33" ht="10.5" customHeight="1" x14ac:dyDescent="0.2">
      <c r="A409" s="537"/>
      <c r="B409" s="537"/>
      <c r="C409" s="537"/>
      <c r="D409" s="537"/>
      <c r="E409" s="537"/>
      <c r="F409" s="537"/>
      <c r="G409" s="537"/>
      <c r="H409" s="537"/>
      <c r="I409" s="537"/>
      <c r="L409" s="537"/>
      <c r="AA409" s="539"/>
      <c r="AB409" s="539"/>
      <c r="AC409" s="539"/>
      <c r="AD409" s="539"/>
      <c r="AE409" s="539"/>
      <c r="AF409" s="539"/>
      <c r="AG409" s="537"/>
    </row>
    <row r="410" spans="1:33" ht="10.5" customHeight="1" x14ac:dyDescent="0.2">
      <c r="A410" s="537"/>
      <c r="B410" s="537"/>
      <c r="C410" s="537"/>
      <c r="D410" s="537"/>
      <c r="E410" s="537"/>
      <c r="F410" s="537"/>
      <c r="G410" s="537"/>
      <c r="H410" s="537"/>
      <c r="I410" s="537"/>
      <c r="L410" s="537"/>
      <c r="AA410" s="539"/>
      <c r="AB410" s="539"/>
      <c r="AC410" s="539"/>
      <c r="AD410" s="539"/>
      <c r="AE410" s="539"/>
      <c r="AF410" s="539"/>
      <c r="AG410" s="537"/>
    </row>
    <row r="411" spans="1:33" ht="10.5" customHeight="1" x14ac:dyDescent="0.2">
      <c r="A411" s="537"/>
      <c r="B411" s="537"/>
      <c r="C411" s="537"/>
      <c r="D411" s="537"/>
      <c r="E411" s="537"/>
      <c r="F411" s="537"/>
      <c r="G411" s="537"/>
      <c r="H411" s="537"/>
      <c r="I411" s="537"/>
      <c r="L411" s="537"/>
      <c r="AA411" s="539"/>
      <c r="AB411" s="539"/>
      <c r="AC411" s="539"/>
      <c r="AD411" s="539"/>
      <c r="AE411" s="539"/>
      <c r="AF411" s="539"/>
      <c r="AG411" s="537"/>
    </row>
    <row r="412" spans="1:33" ht="10.5" customHeight="1" x14ac:dyDescent="0.2">
      <c r="A412" s="537"/>
      <c r="B412" s="537"/>
      <c r="C412" s="537"/>
      <c r="D412" s="537"/>
      <c r="E412" s="537"/>
      <c r="F412" s="537"/>
      <c r="G412" s="537"/>
      <c r="H412" s="537"/>
      <c r="I412" s="537"/>
      <c r="L412" s="537"/>
      <c r="AA412" s="539"/>
      <c r="AB412" s="539"/>
      <c r="AC412" s="539"/>
      <c r="AD412" s="539"/>
      <c r="AE412" s="539"/>
      <c r="AF412" s="539"/>
      <c r="AG412" s="537"/>
    </row>
    <row r="413" spans="1:33" ht="10.5" customHeight="1" x14ac:dyDescent="0.2">
      <c r="A413" s="537"/>
      <c r="B413" s="537"/>
      <c r="C413" s="537"/>
      <c r="D413" s="537"/>
      <c r="E413" s="537"/>
      <c r="F413" s="537"/>
      <c r="G413" s="537"/>
      <c r="H413" s="537"/>
      <c r="I413" s="537"/>
      <c r="L413" s="537"/>
      <c r="AA413" s="539"/>
      <c r="AB413" s="539"/>
      <c r="AC413" s="539"/>
      <c r="AD413" s="539"/>
      <c r="AE413" s="539"/>
      <c r="AF413" s="539"/>
      <c r="AG413" s="537"/>
    </row>
    <row r="414" spans="1:33" ht="10.5" customHeight="1" x14ac:dyDescent="0.2">
      <c r="A414" s="537"/>
      <c r="B414" s="537"/>
      <c r="C414" s="537"/>
      <c r="D414" s="537"/>
      <c r="E414" s="537"/>
      <c r="F414" s="537"/>
      <c r="G414" s="537"/>
      <c r="H414" s="537"/>
      <c r="I414" s="537"/>
      <c r="L414" s="537"/>
      <c r="AA414" s="539"/>
      <c r="AB414" s="539"/>
      <c r="AC414" s="539"/>
      <c r="AD414" s="539"/>
      <c r="AE414" s="539"/>
      <c r="AF414" s="539"/>
      <c r="AG414" s="537"/>
    </row>
    <row r="415" spans="1:33" ht="10.5" customHeight="1" x14ac:dyDescent="0.2">
      <c r="A415" s="537"/>
      <c r="B415" s="537"/>
      <c r="C415" s="537"/>
      <c r="D415" s="537"/>
      <c r="E415" s="537"/>
      <c r="F415" s="537"/>
      <c r="G415" s="537"/>
      <c r="H415" s="537"/>
      <c r="I415" s="537"/>
      <c r="L415" s="537"/>
      <c r="AA415" s="539"/>
      <c r="AB415" s="539"/>
      <c r="AC415" s="539"/>
      <c r="AD415" s="539"/>
      <c r="AE415" s="539"/>
      <c r="AF415" s="539"/>
      <c r="AG415" s="537"/>
    </row>
    <row r="416" spans="1:33" ht="10.5" customHeight="1" x14ac:dyDescent="0.2">
      <c r="A416" s="537"/>
      <c r="B416" s="537"/>
      <c r="C416" s="537"/>
      <c r="D416" s="537"/>
      <c r="E416" s="537"/>
      <c r="F416" s="537"/>
      <c r="G416" s="537"/>
      <c r="H416" s="537"/>
      <c r="I416" s="537"/>
      <c r="L416" s="537"/>
      <c r="AA416" s="539"/>
      <c r="AB416" s="539"/>
      <c r="AC416" s="539"/>
      <c r="AD416" s="539"/>
      <c r="AE416" s="539"/>
      <c r="AF416" s="539"/>
      <c r="AG416" s="537"/>
    </row>
    <row r="417" spans="1:33" ht="10.5" customHeight="1" x14ac:dyDescent="0.2">
      <c r="A417" s="537"/>
      <c r="B417" s="537"/>
      <c r="C417" s="537"/>
      <c r="D417" s="537"/>
      <c r="E417" s="537"/>
      <c r="F417" s="537"/>
      <c r="G417" s="537"/>
      <c r="H417" s="537"/>
      <c r="I417" s="537"/>
      <c r="L417" s="537"/>
      <c r="AA417" s="539"/>
      <c r="AB417" s="539"/>
      <c r="AC417" s="539"/>
      <c r="AD417" s="539"/>
      <c r="AE417" s="539"/>
      <c r="AF417" s="539"/>
      <c r="AG417" s="537"/>
    </row>
    <row r="418" spans="1:33" ht="10.5" customHeight="1" x14ac:dyDescent="0.2">
      <c r="A418" s="537"/>
      <c r="B418" s="537"/>
      <c r="C418" s="537"/>
      <c r="D418" s="537"/>
      <c r="E418" s="537"/>
      <c r="F418" s="537"/>
      <c r="G418" s="537"/>
      <c r="H418" s="537"/>
      <c r="I418" s="537"/>
      <c r="L418" s="537"/>
      <c r="AA418" s="539"/>
      <c r="AB418" s="539"/>
      <c r="AC418" s="539"/>
      <c r="AD418" s="539"/>
      <c r="AE418" s="539"/>
      <c r="AF418" s="539"/>
      <c r="AG418" s="537"/>
    </row>
    <row r="419" spans="1:33" ht="10.5" customHeight="1" x14ac:dyDescent="0.2">
      <c r="A419" s="537"/>
      <c r="B419" s="537"/>
      <c r="C419" s="537"/>
      <c r="D419" s="537"/>
      <c r="E419" s="537"/>
      <c r="F419" s="537"/>
      <c r="G419" s="537"/>
      <c r="H419" s="537"/>
      <c r="I419" s="537"/>
      <c r="L419" s="537"/>
      <c r="AA419" s="539"/>
      <c r="AB419" s="539"/>
      <c r="AC419" s="539"/>
      <c r="AD419" s="539"/>
      <c r="AE419" s="539"/>
      <c r="AF419" s="539"/>
      <c r="AG419" s="537"/>
    </row>
    <row r="420" spans="1:33" ht="10.5" customHeight="1" x14ac:dyDescent="0.2">
      <c r="A420" s="537"/>
      <c r="B420" s="537"/>
      <c r="C420" s="537"/>
      <c r="D420" s="537"/>
      <c r="E420" s="537"/>
      <c r="F420" s="537"/>
      <c r="G420" s="537"/>
      <c r="H420" s="537"/>
      <c r="I420" s="537"/>
      <c r="L420" s="537"/>
      <c r="AA420" s="539"/>
      <c r="AB420" s="539"/>
      <c r="AC420" s="539"/>
      <c r="AD420" s="539"/>
      <c r="AE420" s="539"/>
      <c r="AF420" s="539"/>
      <c r="AG420" s="537"/>
    </row>
    <row r="421" spans="1:33" ht="10.5" customHeight="1" x14ac:dyDescent="0.2">
      <c r="A421" s="537"/>
      <c r="B421" s="537"/>
      <c r="C421" s="537"/>
      <c r="D421" s="537"/>
      <c r="E421" s="537"/>
      <c r="F421" s="537"/>
      <c r="G421" s="537"/>
      <c r="H421" s="537"/>
      <c r="I421" s="537"/>
      <c r="L421" s="537"/>
      <c r="AA421" s="539"/>
      <c r="AB421" s="539"/>
      <c r="AC421" s="539"/>
      <c r="AD421" s="539"/>
      <c r="AE421" s="539"/>
      <c r="AF421" s="539"/>
      <c r="AG421" s="537"/>
    </row>
    <row r="422" spans="1:33" ht="10.5" customHeight="1" x14ac:dyDescent="0.2">
      <c r="A422" s="537"/>
      <c r="B422" s="537"/>
      <c r="C422" s="537"/>
      <c r="D422" s="537"/>
      <c r="E422" s="537"/>
      <c r="F422" s="537"/>
      <c r="G422" s="537"/>
      <c r="H422" s="537"/>
      <c r="I422" s="537"/>
      <c r="L422" s="537"/>
      <c r="AA422" s="539"/>
      <c r="AB422" s="539"/>
      <c r="AC422" s="539"/>
      <c r="AD422" s="539"/>
      <c r="AE422" s="539"/>
      <c r="AF422" s="539"/>
      <c r="AG422" s="537"/>
    </row>
    <row r="423" spans="1:33" ht="10.5" customHeight="1" x14ac:dyDescent="0.2">
      <c r="A423" s="537"/>
      <c r="B423" s="537"/>
      <c r="C423" s="537"/>
      <c r="D423" s="537"/>
      <c r="E423" s="537"/>
      <c r="F423" s="537"/>
      <c r="G423" s="537"/>
      <c r="H423" s="537"/>
      <c r="I423" s="537"/>
      <c r="L423" s="537"/>
      <c r="AA423" s="539"/>
      <c r="AB423" s="539"/>
      <c r="AC423" s="539"/>
      <c r="AD423" s="539"/>
      <c r="AE423" s="539"/>
      <c r="AF423" s="539"/>
      <c r="AG423" s="537"/>
    </row>
    <row r="424" spans="1:33" ht="10.5" customHeight="1" x14ac:dyDescent="0.2">
      <c r="A424" s="537"/>
      <c r="B424" s="537"/>
      <c r="C424" s="537"/>
      <c r="D424" s="537"/>
      <c r="E424" s="537"/>
      <c r="F424" s="537"/>
      <c r="G424" s="537"/>
      <c r="H424" s="537"/>
      <c r="I424" s="537"/>
      <c r="L424" s="537"/>
      <c r="AA424" s="539"/>
      <c r="AB424" s="539"/>
      <c r="AC424" s="539"/>
      <c r="AD424" s="539"/>
      <c r="AE424" s="539"/>
      <c r="AF424" s="539"/>
      <c r="AG424" s="537"/>
    </row>
    <row r="425" spans="1:33" ht="10.5" customHeight="1" x14ac:dyDescent="0.2">
      <c r="A425" s="537"/>
      <c r="B425" s="537"/>
      <c r="C425" s="537"/>
      <c r="D425" s="537"/>
      <c r="E425" s="537"/>
      <c r="F425" s="537"/>
      <c r="G425" s="537"/>
      <c r="H425" s="537"/>
      <c r="I425" s="537"/>
      <c r="L425" s="537"/>
      <c r="AA425" s="539"/>
      <c r="AB425" s="539"/>
      <c r="AC425" s="539"/>
      <c r="AD425" s="539"/>
      <c r="AE425" s="539"/>
      <c r="AF425" s="539"/>
      <c r="AG425" s="537"/>
    </row>
    <row r="426" spans="1:33" ht="10.5" customHeight="1" x14ac:dyDescent="0.2">
      <c r="A426" s="537"/>
      <c r="B426" s="537"/>
      <c r="C426" s="537"/>
      <c r="D426" s="537"/>
      <c r="E426" s="537"/>
      <c r="F426" s="537"/>
      <c r="G426" s="537"/>
      <c r="H426" s="537"/>
      <c r="I426" s="537"/>
      <c r="L426" s="537"/>
      <c r="AA426" s="539"/>
      <c r="AB426" s="539"/>
      <c r="AC426" s="539"/>
      <c r="AD426" s="539"/>
      <c r="AE426" s="539"/>
      <c r="AF426" s="539"/>
      <c r="AG426" s="537"/>
    </row>
    <row r="427" spans="1:33" ht="10.5" customHeight="1" x14ac:dyDescent="0.2">
      <c r="A427" s="537"/>
      <c r="B427" s="537"/>
      <c r="C427" s="537"/>
      <c r="D427" s="537"/>
      <c r="E427" s="537"/>
      <c r="F427" s="537"/>
      <c r="G427" s="537"/>
      <c r="H427" s="537"/>
      <c r="I427" s="537"/>
      <c r="L427" s="537"/>
      <c r="AA427" s="539"/>
      <c r="AB427" s="539"/>
      <c r="AC427" s="539"/>
      <c r="AD427" s="539"/>
      <c r="AE427" s="539"/>
      <c r="AF427" s="539"/>
      <c r="AG427" s="537"/>
    </row>
    <row r="428" spans="1:33" ht="10.5" customHeight="1" x14ac:dyDescent="0.2">
      <c r="A428" s="537"/>
      <c r="B428" s="537"/>
      <c r="C428" s="537"/>
      <c r="D428" s="537"/>
      <c r="E428" s="537"/>
      <c r="F428" s="537"/>
      <c r="G428" s="537"/>
      <c r="H428" s="537"/>
      <c r="I428" s="537"/>
      <c r="L428" s="537"/>
      <c r="AA428" s="539"/>
      <c r="AB428" s="539"/>
      <c r="AC428" s="539"/>
      <c r="AD428" s="539"/>
      <c r="AE428" s="539"/>
      <c r="AF428" s="539"/>
      <c r="AG428" s="537"/>
    </row>
    <row r="429" spans="1:33" ht="10.5" customHeight="1" x14ac:dyDescent="0.2">
      <c r="A429" s="537"/>
      <c r="B429" s="537"/>
      <c r="C429" s="537"/>
      <c r="D429" s="537"/>
      <c r="E429" s="537"/>
      <c r="F429" s="537"/>
      <c r="G429" s="537"/>
      <c r="H429" s="537"/>
      <c r="I429" s="537"/>
      <c r="L429" s="537"/>
      <c r="AA429" s="539"/>
      <c r="AB429" s="539"/>
      <c r="AC429" s="539"/>
      <c r="AD429" s="539"/>
      <c r="AE429" s="539"/>
      <c r="AF429" s="539"/>
      <c r="AG429" s="537"/>
    </row>
    <row r="430" spans="1:33" ht="10.5" customHeight="1" x14ac:dyDescent="0.2">
      <c r="A430" s="537"/>
      <c r="B430" s="537"/>
      <c r="C430" s="537"/>
      <c r="D430" s="537"/>
      <c r="E430" s="537"/>
      <c r="F430" s="537"/>
      <c r="G430" s="537"/>
      <c r="H430" s="537"/>
      <c r="I430" s="537"/>
      <c r="L430" s="537"/>
      <c r="AA430" s="539"/>
      <c r="AB430" s="539"/>
      <c r="AC430" s="539"/>
      <c r="AD430" s="539"/>
      <c r="AE430" s="539"/>
      <c r="AF430" s="539"/>
      <c r="AG430" s="537"/>
    </row>
    <row r="431" spans="1:33" ht="10.5" customHeight="1" x14ac:dyDescent="0.2">
      <c r="A431" s="537"/>
      <c r="B431" s="537"/>
      <c r="C431" s="537"/>
      <c r="D431" s="537"/>
      <c r="E431" s="537"/>
      <c r="F431" s="537"/>
      <c r="G431" s="537"/>
      <c r="H431" s="537"/>
      <c r="I431" s="537"/>
      <c r="L431" s="537"/>
      <c r="AA431" s="539"/>
      <c r="AB431" s="539"/>
      <c r="AC431" s="539"/>
      <c r="AD431" s="539"/>
      <c r="AE431" s="539"/>
      <c r="AF431" s="539"/>
      <c r="AG431" s="537"/>
    </row>
    <row r="432" spans="1:33" ht="10.5" customHeight="1" x14ac:dyDescent="0.2">
      <c r="A432" s="537"/>
      <c r="B432" s="537"/>
      <c r="C432" s="537"/>
      <c r="D432" s="537"/>
      <c r="E432" s="537"/>
      <c r="F432" s="537"/>
      <c r="G432" s="537"/>
      <c r="H432" s="537"/>
      <c r="I432" s="537"/>
      <c r="L432" s="537"/>
      <c r="AA432" s="539"/>
      <c r="AB432" s="539"/>
      <c r="AC432" s="539"/>
      <c r="AD432" s="539"/>
      <c r="AE432" s="539"/>
      <c r="AF432" s="539"/>
      <c r="AG432" s="537"/>
    </row>
    <row r="433" spans="1:33" ht="10.5" customHeight="1" x14ac:dyDescent="0.2">
      <c r="A433" s="537"/>
      <c r="B433" s="537"/>
      <c r="C433" s="537"/>
      <c r="D433" s="537"/>
      <c r="E433" s="537"/>
      <c r="F433" s="537"/>
      <c r="G433" s="537"/>
      <c r="H433" s="537"/>
      <c r="I433" s="537"/>
      <c r="L433" s="537"/>
      <c r="AA433" s="539"/>
      <c r="AB433" s="539"/>
      <c r="AC433" s="539"/>
      <c r="AD433" s="539"/>
      <c r="AE433" s="539"/>
      <c r="AF433" s="539"/>
      <c r="AG433" s="537"/>
    </row>
    <row r="434" spans="1:33" ht="10.5" customHeight="1" x14ac:dyDescent="0.2">
      <c r="A434" s="537"/>
      <c r="B434" s="537"/>
      <c r="C434" s="537"/>
      <c r="D434" s="537"/>
      <c r="E434" s="537"/>
      <c r="F434" s="537"/>
      <c r="G434" s="537"/>
      <c r="H434" s="537"/>
      <c r="I434" s="537"/>
      <c r="L434" s="537"/>
      <c r="AA434" s="539"/>
      <c r="AB434" s="539"/>
      <c r="AC434" s="539"/>
      <c r="AD434" s="539"/>
      <c r="AE434" s="539"/>
      <c r="AF434" s="539"/>
      <c r="AG434" s="537"/>
    </row>
    <row r="435" spans="1:33" ht="10.5" customHeight="1" x14ac:dyDescent="0.2">
      <c r="A435" s="537"/>
      <c r="B435" s="537"/>
      <c r="C435" s="537"/>
      <c r="D435" s="537"/>
      <c r="E435" s="537"/>
      <c r="F435" s="537"/>
      <c r="G435" s="537"/>
      <c r="H435" s="537"/>
      <c r="I435" s="537"/>
      <c r="L435" s="537"/>
      <c r="AA435" s="539"/>
      <c r="AB435" s="539"/>
      <c r="AC435" s="539"/>
      <c r="AD435" s="539"/>
      <c r="AE435" s="539"/>
      <c r="AF435" s="539"/>
      <c r="AG435" s="537"/>
    </row>
    <row r="436" spans="1:33" ht="10.5" customHeight="1" x14ac:dyDescent="0.2">
      <c r="A436" s="537"/>
      <c r="B436" s="537"/>
      <c r="C436" s="537"/>
      <c r="D436" s="537"/>
      <c r="E436" s="537"/>
      <c r="F436" s="537"/>
      <c r="G436" s="537"/>
      <c r="H436" s="537"/>
      <c r="I436" s="537"/>
      <c r="L436" s="537"/>
      <c r="AA436" s="539"/>
      <c r="AB436" s="539"/>
      <c r="AC436" s="539"/>
      <c r="AD436" s="539"/>
      <c r="AE436" s="539"/>
      <c r="AF436" s="539"/>
      <c r="AG436" s="537"/>
    </row>
    <row r="437" spans="1:33" ht="10.5" customHeight="1" x14ac:dyDescent="0.2">
      <c r="A437" s="537"/>
      <c r="B437" s="537"/>
      <c r="C437" s="537"/>
      <c r="D437" s="537"/>
      <c r="E437" s="537"/>
      <c r="F437" s="537"/>
      <c r="G437" s="537"/>
      <c r="H437" s="537"/>
      <c r="I437" s="537"/>
      <c r="L437" s="537"/>
      <c r="AA437" s="539"/>
      <c r="AB437" s="539"/>
      <c r="AC437" s="539"/>
      <c r="AD437" s="539"/>
      <c r="AE437" s="539"/>
      <c r="AF437" s="539"/>
      <c r="AG437" s="537"/>
    </row>
    <row r="438" spans="1:33" ht="10.5" customHeight="1" x14ac:dyDescent="0.2">
      <c r="A438" s="537"/>
      <c r="B438" s="537"/>
      <c r="C438" s="537"/>
      <c r="D438" s="537"/>
      <c r="E438" s="537"/>
      <c r="F438" s="537"/>
      <c r="G438" s="537"/>
      <c r="H438" s="537"/>
      <c r="I438" s="537"/>
      <c r="L438" s="537"/>
      <c r="AA438" s="539"/>
      <c r="AB438" s="539"/>
      <c r="AC438" s="539"/>
      <c r="AD438" s="539"/>
      <c r="AE438" s="539"/>
      <c r="AF438" s="539"/>
      <c r="AG438" s="537"/>
    </row>
    <row r="439" spans="1:33" ht="10.5" customHeight="1" x14ac:dyDescent="0.2">
      <c r="A439" s="537"/>
      <c r="B439" s="537"/>
      <c r="C439" s="537"/>
      <c r="D439" s="537"/>
      <c r="E439" s="537"/>
      <c r="F439" s="537"/>
      <c r="G439" s="537"/>
      <c r="H439" s="537"/>
      <c r="I439" s="537"/>
      <c r="L439" s="537"/>
      <c r="AA439" s="539"/>
      <c r="AB439" s="539"/>
      <c r="AC439" s="539"/>
      <c r="AD439" s="539"/>
      <c r="AE439" s="539"/>
      <c r="AF439" s="539"/>
      <c r="AG439" s="537"/>
    </row>
    <row r="440" spans="1:33" ht="10.5" customHeight="1" x14ac:dyDescent="0.2">
      <c r="A440" s="537"/>
      <c r="B440" s="537"/>
      <c r="C440" s="537"/>
      <c r="D440" s="537"/>
      <c r="E440" s="537"/>
      <c r="F440" s="537"/>
      <c r="G440" s="537"/>
      <c r="H440" s="537"/>
      <c r="I440" s="537"/>
      <c r="L440" s="537"/>
      <c r="AA440" s="539"/>
      <c r="AB440" s="539"/>
      <c r="AC440" s="539"/>
      <c r="AD440" s="539"/>
      <c r="AE440" s="539"/>
      <c r="AF440" s="539"/>
      <c r="AG440" s="537"/>
    </row>
    <row r="441" spans="1:33" ht="10.5" customHeight="1" x14ac:dyDescent="0.2">
      <c r="A441" s="537"/>
      <c r="B441" s="537"/>
      <c r="C441" s="537"/>
      <c r="D441" s="537"/>
      <c r="E441" s="537"/>
      <c r="F441" s="537"/>
      <c r="G441" s="537"/>
      <c r="H441" s="537"/>
      <c r="I441" s="537"/>
      <c r="L441" s="537"/>
      <c r="AA441" s="539"/>
      <c r="AB441" s="539"/>
      <c r="AC441" s="539"/>
      <c r="AD441" s="539"/>
      <c r="AE441" s="539"/>
      <c r="AF441" s="539"/>
      <c r="AG441" s="537"/>
    </row>
    <row r="442" spans="1:33" ht="10.5" customHeight="1" x14ac:dyDescent="0.2">
      <c r="A442" s="537"/>
      <c r="B442" s="537"/>
      <c r="C442" s="537"/>
      <c r="D442" s="537"/>
      <c r="E442" s="537"/>
      <c r="F442" s="537"/>
      <c r="G442" s="537"/>
      <c r="H442" s="537"/>
      <c r="I442" s="537"/>
      <c r="L442" s="537"/>
      <c r="AA442" s="539"/>
      <c r="AB442" s="539"/>
      <c r="AC442" s="539"/>
      <c r="AD442" s="539"/>
      <c r="AE442" s="539"/>
      <c r="AF442" s="539"/>
      <c r="AG442" s="537"/>
    </row>
    <row r="443" spans="1:33" ht="10.5" customHeight="1" x14ac:dyDescent="0.2">
      <c r="A443" s="537"/>
      <c r="B443" s="537"/>
      <c r="C443" s="537"/>
      <c r="D443" s="537"/>
      <c r="E443" s="537"/>
      <c r="F443" s="537"/>
      <c r="G443" s="537"/>
      <c r="H443" s="537"/>
      <c r="I443" s="537"/>
      <c r="L443" s="537"/>
      <c r="AA443" s="539"/>
      <c r="AB443" s="539"/>
      <c r="AC443" s="539"/>
      <c r="AD443" s="539"/>
      <c r="AE443" s="539"/>
      <c r="AF443" s="539"/>
      <c r="AG443" s="537"/>
    </row>
    <row r="444" spans="1:33" ht="10.5" customHeight="1" x14ac:dyDescent="0.2">
      <c r="A444" s="537"/>
      <c r="B444" s="537"/>
      <c r="C444" s="537"/>
      <c r="D444" s="537"/>
      <c r="E444" s="537"/>
      <c r="F444" s="537"/>
      <c r="G444" s="537"/>
      <c r="H444" s="537"/>
      <c r="I444" s="537"/>
      <c r="L444" s="537"/>
      <c r="AA444" s="539"/>
      <c r="AB444" s="539"/>
      <c r="AC444" s="539"/>
      <c r="AD444" s="539"/>
      <c r="AE444" s="539"/>
      <c r="AF444" s="539"/>
      <c r="AG444" s="537"/>
    </row>
    <row r="445" spans="1:33" ht="10.5" customHeight="1" x14ac:dyDescent="0.2">
      <c r="A445" s="537"/>
      <c r="B445" s="537"/>
      <c r="C445" s="537"/>
      <c r="D445" s="537"/>
      <c r="E445" s="537"/>
      <c r="F445" s="537"/>
      <c r="G445" s="537"/>
      <c r="H445" s="537"/>
      <c r="I445" s="537"/>
      <c r="L445" s="537"/>
      <c r="AA445" s="539"/>
      <c r="AB445" s="539"/>
      <c r="AC445" s="539"/>
      <c r="AD445" s="539"/>
      <c r="AE445" s="539"/>
      <c r="AF445" s="539"/>
      <c r="AG445" s="537"/>
    </row>
    <row r="446" spans="1:33" ht="10.5" customHeight="1" x14ac:dyDescent="0.2">
      <c r="A446" s="537"/>
      <c r="B446" s="537"/>
      <c r="C446" s="537"/>
      <c r="D446" s="537"/>
      <c r="E446" s="537"/>
      <c r="F446" s="537"/>
      <c r="G446" s="537"/>
      <c r="H446" s="537"/>
      <c r="I446" s="537"/>
      <c r="L446" s="537"/>
      <c r="AA446" s="539"/>
      <c r="AB446" s="539"/>
      <c r="AC446" s="539"/>
      <c r="AD446" s="539"/>
      <c r="AE446" s="539"/>
      <c r="AF446" s="539"/>
      <c r="AG446" s="537"/>
    </row>
    <row r="447" spans="1:33" ht="10.5" customHeight="1" x14ac:dyDescent="0.2">
      <c r="A447" s="537"/>
      <c r="B447" s="537"/>
      <c r="C447" s="537"/>
      <c r="D447" s="537"/>
      <c r="E447" s="537"/>
      <c r="F447" s="537"/>
      <c r="G447" s="537"/>
      <c r="H447" s="537"/>
      <c r="I447" s="537"/>
      <c r="L447" s="537"/>
      <c r="AA447" s="539"/>
      <c r="AB447" s="539"/>
      <c r="AC447" s="539"/>
      <c r="AD447" s="539"/>
      <c r="AE447" s="539"/>
      <c r="AF447" s="539"/>
      <c r="AG447" s="537"/>
    </row>
    <row r="448" spans="1:33" ht="10.5" customHeight="1" x14ac:dyDescent="0.2">
      <c r="A448" s="537"/>
      <c r="B448" s="537"/>
      <c r="C448" s="537"/>
      <c r="D448" s="537"/>
      <c r="E448" s="537"/>
      <c r="F448" s="537"/>
      <c r="G448" s="537"/>
      <c r="H448" s="537"/>
      <c r="I448" s="537"/>
      <c r="L448" s="537"/>
      <c r="AA448" s="539"/>
      <c r="AB448" s="539"/>
      <c r="AC448" s="539"/>
      <c r="AD448" s="539"/>
      <c r="AE448" s="539"/>
      <c r="AF448" s="539"/>
      <c r="AG448" s="537"/>
    </row>
    <row r="449" spans="1:33" ht="10.5" customHeight="1" x14ac:dyDescent="0.2">
      <c r="A449" s="537"/>
      <c r="B449" s="537"/>
      <c r="C449" s="537"/>
      <c r="D449" s="537"/>
      <c r="E449" s="537"/>
      <c r="F449" s="537"/>
      <c r="G449" s="537"/>
      <c r="H449" s="537"/>
      <c r="I449" s="537"/>
      <c r="L449" s="537"/>
      <c r="AA449" s="539"/>
      <c r="AB449" s="539"/>
      <c r="AC449" s="539"/>
      <c r="AD449" s="539"/>
      <c r="AE449" s="539"/>
      <c r="AF449" s="539"/>
      <c r="AG449" s="537"/>
    </row>
    <row r="450" spans="1:33" ht="10.5" customHeight="1" x14ac:dyDescent="0.2">
      <c r="A450" s="537"/>
      <c r="B450" s="537"/>
      <c r="C450" s="537"/>
      <c r="D450" s="537"/>
      <c r="E450" s="537"/>
      <c r="F450" s="537"/>
      <c r="G450" s="537"/>
      <c r="H450" s="537"/>
      <c r="I450" s="537"/>
      <c r="L450" s="537"/>
      <c r="AA450" s="539"/>
      <c r="AB450" s="539"/>
      <c r="AC450" s="539"/>
      <c r="AD450" s="539"/>
      <c r="AE450" s="539"/>
      <c r="AF450" s="539"/>
      <c r="AG450" s="537"/>
    </row>
    <row r="451" spans="1:33" ht="10.5" customHeight="1" x14ac:dyDescent="0.2">
      <c r="A451" s="537"/>
      <c r="B451" s="537"/>
      <c r="C451" s="537"/>
      <c r="D451" s="537"/>
      <c r="E451" s="537"/>
      <c r="F451" s="537"/>
      <c r="G451" s="537"/>
      <c r="H451" s="537"/>
      <c r="I451" s="537"/>
      <c r="L451" s="537"/>
      <c r="AA451" s="539"/>
      <c r="AB451" s="539"/>
      <c r="AC451" s="539"/>
      <c r="AD451" s="539"/>
      <c r="AE451" s="539"/>
      <c r="AF451" s="539"/>
      <c r="AG451" s="537"/>
    </row>
    <row r="452" spans="1:33" ht="10.5" customHeight="1" x14ac:dyDescent="0.2">
      <c r="A452" s="537"/>
      <c r="B452" s="537"/>
      <c r="C452" s="537"/>
      <c r="D452" s="537"/>
      <c r="E452" s="537"/>
      <c r="F452" s="537"/>
      <c r="G452" s="537"/>
      <c r="H452" s="537"/>
      <c r="I452" s="537"/>
      <c r="L452" s="537"/>
      <c r="AA452" s="539"/>
      <c r="AB452" s="539"/>
      <c r="AC452" s="539"/>
      <c r="AD452" s="539"/>
      <c r="AE452" s="539"/>
      <c r="AF452" s="539"/>
      <c r="AG452" s="537"/>
    </row>
    <row r="453" spans="1:33" ht="10.5" customHeight="1" x14ac:dyDescent="0.2">
      <c r="A453" s="537"/>
      <c r="B453" s="537"/>
      <c r="C453" s="537"/>
      <c r="D453" s="537"/>
      <c r="E453" s="537"/>
      <c r="F453" s="537"/>
      <c r="G453" s="537"/>
      <c r="H453" s="537"/>
      <c r="I453" s="537"/>
      <c r="L453" s="537"/>
      <c r="AA453" s="539"/>
      <c r="AB453" s="539"/>
      <c r="AC453" s="539"/>
      <c r="AD453" s="539"/>
      <c r="AE453" s="539"/>
      <c r="AF453" s="539"/>
      <c r="AG453" s="537"/>
    </row>
    <row r="454" spans="1:33" ht="10.5" customHeight="1" x14ac:dyDescent="0.2">
      <c r="A454" s="537"/>
      <c r="B454" s="537"/>
      <c r="C454" s="537"/>
      <c r="D454" s="537"/>
      <c r="E454" s="537"/>
      <c r="F454" s="537"/>
      <c r="G454" s="537"/>
      <c r="H454" s="537"/>
      <c r="I454" s="537"/>
      <c r="L454" s="537"/>
      <c r="AA454" s="539"/>
      <c r="AB454" s="539"/>
      <c r="AC454" s="539"/>
      <c r="AD454" s="539"/>
      <c r="AE454" s="539"/>
      <c r="AF454" s="539"/>
      <c r="AG454" s="537"/>
    </row>
    <row r="455" spans="1:33" ht="10.5" customHeight="1" x14ac:dyDescent="0.2">
      <c r="A455" s="537"/>
      <c r="B455" s="537"/>
      <c r="C455" s="537"/>
      <c r="D455" s="537"/>
      <c r="E455" s="537"/>
      <c r="F455" s="537"/>
      <c r="G455" s="537"/>
      <c r="H455" s="537"/>
      <c r="I455" s="537"/>
      <c r="L455" s="537"/>
      <c r="AA455" s="539"/>
      <c r="AB455" s="539"/>
      <c r="AC455" s="539"/>
      <c r="AD455" s="539"/>
      <c r="AE455" s="539"/>
      <c r="AF455" s="539"/>
      <c r="AG455" s="537"/>
    </row>
    <row r="456" spans="1:33" ht="10.5" customHeight="1" x14ac:dyDescent="0.2">
      <c r="A456" s="537"/>
      <c r="B456" s="537"/>
      <c r="C456" s="537"/>
      <c r="D456" s="537"/>
      <c r="E456" s="537"/>
      <c r="F456" s="537"/>
      <c r="G456" s="537"/>
      <c r="H456" s="537"/>
      <c r="I456" s="537"/>
      <c r="L456" s="537"/>
      <c r="AA456" s="539"/>
      <c r="AB456" s="539"/>
      <c r="AC456" s="539"/>
      <c r="AD456" s="539"/>
      <c r="AE456" s="539"/>
      <c r="AF456" s="539"/>
      <c r="AG456" s="537"/>
    </row>
    <row r="457" spans="1:33" ht="10.5" customHeight="1" x14ac:dyDescent="0.2">
      <c r="A457" s="537"/>
      <c r="B457" s="537"/>
      <c r="C457" s="537"/>
      <c r="D457" s="537"/>
      <c r="E457" s="537"/>
      <c r="F457" s="537"/>
      <c r="G457" s="537"/>
      <c r="H457" s="537"/>
      <c r="I457" s="537"/>
      <c r="L457" s="537"/>
      <c r="AA457" s="539"/>
      <c r="AB457" s="539"/>
      <c r="AC457" s="539"/>
      <c r="AD457" s="539"/>
      <c r="AE457" s="539"/>
      <c r="AF457" s="539"/>
      <c r="AG457" s="537"/>
    </row>
    <row r="458" spans="1:33" ht="10.5" customHeight="1" x14ac:dyDescent="0.2">
      <c r="A458" s="537"/>
      <c r="B458" s="537"/>
      <c r="C458" s="537"/>
      <c r="D458" s="537"/>
      <c r="E458" s="537"/>
      <c r="F458" s="537"/>
      <c r="G458" s="537"/>
      <c r="H458" s="537"/>
      <c r="I458" s="537"/>
      <c r="L458" s="537"/>
      <c r="AA458" s="539"/>
      <c r="AB458" s="539"/>
      <c r="AC458" s="539"/>
      <c r="AD458" s="539"/>
      <c r="AE458" s="539"/>
      <c r="AF458" s="539"/>
      <c r="AG458" s="537"/>
    </row>
    <row r="459" spans="1:33" ht="10.5" customHeight="1" x14ac:dyDescent="0.2">
      <c r="A459" s="537"/>
      <c r="B459" s="537"/>
      <c r="C459" s="537"/>
      <c r="D459" s="537"/>
      <c r="E459" s="537"/>
      <c r="F459" s="537"/>
      <c r="G459" s="537"/>
      <c r="H459" s="537"/>
      <c r="I459" s="537"/>
      <c r="L459" s="537"/>
      <c r="AA459" s="539"/>
      <c r="AB459" s="539"/>
      <c r="AC459" s="539"/>
      <c r="AD459" s="539"/>
      <c r="AE459" s="539"/>
      <c r="AF459" s="539"/>
      <c r="AG459" s="537"/>
    </row>
    <row r="460" spans="1:33" ht="10.5" customHeight="1" x14ac:dyDescent="0.2">
      <c r="A460" s="537"/>
      <c r="B460" s="537"/>
      <c r="C460" s="537"/>
      <c r="D460" s="537"/>
      <c r="E460" s="537"/>
      <c r="F460" s="537"/>
      <c r="G460" s="537"/>
      <c r="H460" s="537"/>
      <c r="I460" s="537"/>
      <c r="L460" s="537"/>
      <c r="AA460" s="539"/>
      <c r="AB460" s="539"/>
      <c r="AC460" s="539"/>
      <c r="AD460" s="539"/>
      <c r="AE460" s="539"/>
      <c r="AF460" s="539"/>
      <c r="AG460" s="537"/>
    </row>
    <row r="461" spans="1:33" ht="10.5" customHeight="1" x14ac:dyDescent="0.2">
      <c r="A461" s="537"/>
      <c r="B461" s="537"/>
      <c r="C461" s="537"/>
      <c r="D461" s="537"/>
      <c r="E461" s="537"/>
      <c r="F461" s="537"/>
      <c r="G461" s="537"/>
      <c r="H461" s="537"/>
      <c r="I461" s="537"/>
      <c r="L461" s="537"/>
      <c r="AA461" s="539"/>
      <c r="AB461" s="539"/>
      <c r="AC461" s="539"/>
      <c r="AD461" s="539"/>
      <c r="AE461" s="539"/>
      <c r="AF461" s="539"/>
      <c r="AG461" s="537"/>
    </row>
    <row r="462" spans="1:33" ht="10.5" customHeight="1" x14ac:dyDescent="0.2">
      <c r="A462" s="537"/>
      <c r="B462" s="537"/>
      <c r="C462" s="537"/>
      <c r="D462" s="537"/>
      <c r="E462" s="537"/>
      <c r="F462" s="537"/>
      <c r="G462" s="537"/>
      <c r="H462" s="537"/>
      <c r="I462" s="537"/>
      <c r="L462" s="537"/>
      <c r="AA462" s="539"/>
      <c r="AB462" s="539"/>
      <c r="AC462" s="539"/>
      <c r="AD462" s="539"/>
      <c r="AE462" s="539"/>
      <c r="AF462" s="539"/>
      <c r="AG462" s="537"/>
    </row>
    <row r="463" spans="1:33" ht="10.5" customHeight="1" x14ac:dyDescent="0.2">
      <c r="A463" s="537"/>
      <c r="B463" s="537"/>
      <c r="C463" s="537"/>
      <c r="D463" s="537"/>
      <c r="E463" s="537"/>
      <c r="F463" s="537"/>
      <c r="G463" s="537"/>
      <c r="H463" s="537"/>
      <c r="I463" s="537"/>
      <c r="L463" s="537"/>
      <c r="AA463" s="539"/>
      <c r="AB463" s="539"/>
      <c r="AC463" s="539"/>
      <c r="AD463" s="539"/>
      <c r="AE463" s="539"/>
      <c r="AF463" s="539"/>
      <c r="AG463" s="537"/>
    </row>
    <row r="464" spans="1:33" ht="10.5" customHeight="1" x14ac:dyDescent="0.2">
      <c r="A464" s="537"/>
      <c r="B464" s="537"/>
      <c r="C464" s="537"/>
      <c r="D464" s="537"/>
      <c r="E464" s="537"/>
      <c r="F464" s="537"/>
      <c r="G464" s="537"/>
      <c r="H464" s="537"/>
      <c r="I464" s="537"/>
      <c r="L464" s="537"/>
      <c r="AA464" s="539"/>
      <c r="AB464" s="539"/>
      <c r="AC464" s="539"/>
      <c r="AD464" s="539"/>
      <c r="AE464" s="539"/>
      <c r="AF464" s="539"/>
      <c r="AG464" s="537"/>
    </row>
    <row r="465" spans="1:33" ht="10.5" customHeight="1" x14ac:dyDescent="0.2">
      <c r="A465" s="537"/>
      <c r="B465" s="537"/>
      <c r="C465" s="537"/>
      <c r="D465" s="537"/>
      <c r="E465" s="537"/>
      <c r="F465" s="537"/>
      <c r="G465" s="537"/>
      <c r="H465" s="537"/>
      <c r="I465" s="537"/>
      <c r="L465" s="537"/>
      <c r="AA465" s="539"/>
      <c r="AB465" s="539"/>
      <c r="AC465" s="539"/>
      <c r="AD465" s="539"/>
      <c r="AE465" s="539"/>
      <c r="AF465" s="539"/>
      <c r="AG465" s="537"/>
    </row>
    <row r="466" spans="1:33" ht="10.5" customHeight="1" x14ac:dyDescent="0.2">
      <c r="A466" s="537"/>
      <c r="B466" s="537"/>
      <c r="C466" s="537"/>
      <c r="D466" s="537"/>
      <c r="E466" s="537"/>
      <c r="F466" s="537"/>
      <c r="G466" s="537"/>
      <c r="H466" s="537"/>
      <c r="I466" s="537"/>
      <c r="L466" s="537"/>
      <c r="AA466" s="539"/>
      <c r="AB466" s="539"/>
      <c r="AC466" s="539"/>
      <c r="AD466" s="539"/>
      <c r="AE466" s="539"/>
      <c r="AF466" s="539"/>
      <c r="AG466" s="537"/>
    </row>
    <row r="467" spans="1:33" ht="10.5" customHeight="1" x14ac:dyDescent="0.2">
      <c r="A467" s="537"/>
      <c r="B467" s="537"/>
      <c r="C467" s="537"/>
      <c r="D467" s="537"/>
      <c r="E467" s="537"/>
      <c r="F467" s="537"/>
      <c r="G467" s="537"/>
      <c r="H467" s="537"/>
      <c r="I467" s="537"/>
      <c r="L467" s="537"/>
      <c r="AA467" s="539"/>
      <c r="AB467" s="539"/>
      <c r="AC467" s="539"/>
      <c r="AD467" s="539"/>
      <c r="AE467" s="539"/>
      <c r="AF467" s="539"/>
      <c r="AG467" s="537"/>
    </row>
    <row r="468" spans="1:33" ht="10.5" customHeight="1" x14ac:dyDescent="0.2">
      <c r="A468" s="537"/>
      <c r="B468" s="537"/>
      <c r="C468" s="537"/>
      <c r="D468" s="537"/>
      <c r="E468" s="537"/>
      <c r="F468" s="537"/>
      <c r="G468" s="537"/>
      <c r="H468" s="537"/>
      <c r="I468" s="537"/>
      <c r="L468" s="537"/>
      <c r="AA468" s="539"/>
      <c r="AB468" s="539"/>
      <c r="AC468" s="539"/>
      <c r="AD468" s="539"/>
      <c r="AE468" s="539"/>
      <c r="AF468" s="539"/>
      <c r="AG468" s="537"/>
    </row>
    <row r="469" spans="1:33" ht="10.5" customHeight="1" x14ac:dyDescent="0.2">
      <c r="A469" s="537"/>
      <c r="B469" s="537"/>
      <c r="C469" s="537"/>
      <c r="D469" s="537"/>
      <c r="E469" s="537"/>
      <c r="F469" s="537"/>
      <c r="G469" s="537"/>
      <c r="H469" s="537"/>
      <c r="I469" s="537"/>
      <c r="L469" s="537"/>
      <c r="AA469" s="539"/>
      <c r="AB469" s="539"/>
      <c r="AC469" s="539"/>
      <c r="AD469" s="539"/>
      <c r="AE469" s="539"/>
      <c r="AF469" s="539"/>
      <c r="AG469" s="537"/>
    </row>
    <row r="470" spans="1:33" ht="10.5" customHeight="1" x14ac:dyDescent="0.2">
      <c r="A470" s="537"/>
      <c r="B470" s="537"/>
      <c r="C470" s="537"/>
      <c r="D470" s="537"/>
      <c r="E470" s="537"/>
      <c r="F470" s="537"/>
      <c r="G470" s="537"/>
      <c r="H470" s="537"/>
      <c r="I470" s="537"/>
      <c r="L470" s="537"/>
      <c r="AA470" s="539"/>
      <c r="AB470" s="539"/>
      <c r="AC470" s="539"/>
      <c r="AD470" s="539"/>
      <c r="AE470" s="539"/>
      <c r="AF470" s="539"/>
      <c r="AG470" s="537"/>
    </row>
    <row r="471" spans="1:33" ht="10.5" customHeight="1" x14ac:dyDescent="0.2">
      <c r="A471" s="537"/>
      <c r="B471" s="537"/>
      <c r="C471" s="537"/>
      <c r="D471" s="537"/>
      <c r="E471" s="537"/>
      <c r="F471" s="537"/>
      <c r="G471" s="537"/>
      <c r="H471" s="537"/>
      <c r="I471" s="537"/>
      <c r="L471" s="537"/>
      <c r="AA471" s="539"/>
      <c r="AB471" s="539"/>
      <c r="AC471" s="539"/>
      <c r="AD471" s="539"/>
      <c r="AE471" s="539"/>
      <c r="AF471" s="539"/>
      <c r="AG471" s="537"/>
    </row>
    <row r="472" spans="1:33" ht="10.5" customHeight="1" x14ac:dyDescent="0.2">
      <c r="A472" s="537"/>
      <c r="B472" s="537"/>
      <c r="C472" s="537"/>
      <c r="D472" s="537"/>
      <c r="E472" s="537"/>
      <c r="F472" s="537"/>
      <c r="G472" s="537"/>
      <c r="H472" s="537"/>
      <c r="I472" s="537"/>
      <c r="L472" s="537"/>
      <c r="AA472" s="539"/>
      <c r="AB472" s="539"/>
      <c r="AC472" s="539"/>
      <c r="AD472" s="539"/>
      <c r="AE472" s="539"/>
      <c r="AF472" s="539"/>
      <c r="AG472" s="537"/>
    </row>
    <row r="473" spans="1:33" ht="10.5" customHeight="1" x14ac:dyDescent="0.2">
      <c r="A473" s="537"/>
      <c r="B473" s="537"/>
      <c r="C473" s="537"/>
      <c r="D473" s="537"/>
      <c r="E473" s="537"/>
      <c r="F473" s="537"/>
      <c r="G473" s="537"/>
      <c r="H473" s="537"/>
      <c r="I473" s="537"/>
      <c r="L473" s="537"/>
      <c r="AA473" s="539"/>
      <c r="AB473" s="539"/>
      <c r="AC473" s="539"/>
      <c r="AD473" s="539"/>
      <c r="AE473" s="539"/>
      <c r="AF473" s="539"/>
      <c r="AG473" s="537"/>
    </row>
    <row r="474" spans="1:33" ht="10.5" customHeight="1" x14ac:dyDescent="0.2">
      <c r="A474" s="537"/>
      <c r="B474" s="537"/>
      <c r="C474" s="537"/>
      <c r="D474" s="537"/>
      <c r="E474" s="537"/>
      <c r="F474" s="537"/>
      <c r="G474" s="537"/>
      <c r="H474" s="537"/>
      <c r="I474" s="537"/>
      <c r="L474" s="537"/>
      <c r="AA474" s="539"/>
      <c r="AB474" s="539"/>
      <c r="AC474" s="539"/>
      <c r="AD474" s="539"/>
      <c r="AE474" s="539"/>
      <c r="AF474" s="539"/>
      <c r="AG474" s="537"/>
    </row>
    <row r="475" spans="1:33" ht="10.5" customHeight="1" x14ac:dyDescent="0.2">
      <c r="A475" s="537"/>
      <c r="B475" s="537"/>
      <c r="C475" s="537"/>
      <c r="D475" s="537"/>
      <c r="E475" s="537"/>
      <c r="F475" s="537"/>
      <c r="G475" s="537"/>
      <c r="H475" s="537"/>
      <c r="I475" s="537"/>
      <c r="L475" s="537"/>
      <c r="AA475" s="539"/>
      <c r="AB475" s="539"/>
      <c r="AC475" s="539"/>
      <c r="AD475" s="539"/>
      <c r="AE475" s="539"/>
      <c r="AF475" s="539"/>
      <c r="AG475" s="537"/>
    </row>
    <row r="476" spans="1:33" ht="10.5" customHeight="1" x14ac:dyDescent="0.2">
      <c r="A476" s="537"/>
      <c r="B476" s="537"/>
      <c r="C476" s="537"/>
      <c r="D476" s="537"/>
      <c r="E476" s="537"/>
      <c r="F476" s="537"/>
      <c r="G476" s="537"/>
      <c r="H476" s="537"/>
      <c r="I476" s="537"/>
      <c r="L476" s="537"/>
      <c r="AA476" s="539"/>
      <c r="AB476" s="539"/>
      <c r="AC476" s="539"/>
      <c r="AD476" s="539"/>
      <c r="AE476" s="539"/>
      <c r="AF476" s="539"/>
      <c r="AG476" s="537"/>
    </row>
    <row r="477" spans="1:33" ht="10.5" customHeight="1" x14ac:dyDescent="0.2">
      <c r="A477" s="537"/>
      <c r="B477" s="537"/>
      <c r="C477" s="537"/>
      <c r="D477" s="537"/>
      <c r="E477" s="537"/>
      <c r="F477" s="537"/>
      <c r="G477" s="537"/>
      <c r="H477" s="537"/>
      <c r="I477" s="537"/>
      <c r="L477" s="537"/>
      <c r="AA477" s="539"/>
      <c r="AB477" s="539"/>
      <c r="AC477" s="539"/>
      <c r="AD477" s="539"/>
      <c r="AE477" s="539"/>
      <c r="AF477" s="539"/>
      <c r="AG477" s="537"/>
    </row>
    <row r="478" spans="1:33" ht="10.5" customHeight="1" x14ac:dyDescent="0.2">
      <c r="A478" s="537"/>
      <c r="B478" s="537"/>
      <c r="C478" s="537"/>
      <c r="D478" s="537"/>
      <c r="E478" s="537"/>
      <c r="F478" s="537"/>
      <c r="G478" s="537"/>
      <c r="H478" s="537"/>
      <c r="I478" s="537"/>
      <c r="L478" s="537"/>
      <c r="AA478" s="539"/>
      <c r="AB478" s="539"/>
      <c r="AC478" s="539"/>
      <c r="AD478" s="539"/>
      <c r="AE478" s="539"/>
      <c r="AF478" s="539"/>
      <c r="AG478" s="537"/>
    </row>
    <row r="479" spans="1:33" ht="10.5" customHeight="1" x14ac:dyDescent="0.2">
      <c r="A479" s="537"/>
      <c r="B479" s="537"/>
      <c r="C479" s="537"/>
      <c r="D479" s="537"/>
      <c r="E479" s="537"/>
      <c r="F479" s="537"/>
      <c r="G479" s="537"/>
      <c r="H479" s="537"/>
      <c r="I479" s="537"/>
      <c r="L479" s="537"/>
      <c r="AA479" s="539"/>
      <c r="AB479" s="539"/>
      <c r="AC479" s="539"/>
      <c r="AD479" s="539"/>
      <c r="AE479" s="539"/>
      <c r="AF479" s="539"/>
      <c r="AG479" s="537"/>
    </row>
    <row r="480" spans="1:33" ht="10.5" customHeight="1" x14ac:dyDescent="0.2">
      <c r="A480" s="537"/>
      <c r="B480" s="537"/>
      <c r="C480" s="537"/>
      <c r="D480" s="537"/>
      <c r="E480" s="537"/>
      <c r="F480" s="537"/>
      <c r="G480" s="537"/>
      <c r="H480" s="537"/>
      <c r="I480" s="537"/>
      <c r="L480" s="537"/>
      <c r="AA480" s="539"/>
      <c r="AB480" s="539"/>
      <c r="AC480" s="539"/>
      <c r="AD480" s="539"/>
      <c r="AE480" s="539"/>
      <c r="AF480" s="539"/>
      <c r="AG480" s="537"/>
    </row>
    <row r="481" spans="1:33" ht="10.5" customHeight="1" x14ac:dyDescent="0.2">
      <c r="A481" s="537"/>
      <c r="B481" s="537"/>
      <c r="C481" s="537"/>
      <c r="D481" s="537"/>
      <c r="E481" s="537"/>
      <c r="F481" s="537"/>
      <c r="G481" s="537"/>
      <c r="H481" s="537"/>
      <c r="I481" s="537"/>
      <c r="L481" s="537"/>
      <c r="AA481" s="539"/>
      <c r="AB481" s="539"/>
      <c r="AC481" s="539"/>
      <c r="AD481" s="539"/>
      <c r="AE481" s="539"/>
      <c r="AF481" s="539"/>
      <c r="AG481" s="537"/>
    </row>
    <row r="482" spans="1:33" ht="10.5" customHeight="1" x14ac:dyDescent="0.2">
      <c r="A482" s="537"/>
      <c r="B482" s="537"/>
      <c r="C482" s="537"/>
      <c r="D482" s="537"/>
      <c r="E482" s="537"/>
      <c r="F482" s="537"/>
      <c r="G482" s="537"/>
      <c r="H482" s="537"/>
      <c r="I482" s="537"/>
      <c r="L482" s="537"/>
      <c r="AA482" s="539"/>
      <c r="AB482" s="539"/>
      <c r="AC482" s="539"/>
      <c r="AD482" s="539"/>
      <c r="AE482" s="539"/>
      <c r="AF482" s="539"/>
      <c r="AG482" s="537"/>
    </row>
    <row r="483" spans="1:33" ht="10.5" customHeight="1" x14ac:dyDescent="0.2">
      <c r="A483" s="537"/>
      <c r="B483" s="537"/>
      <c r="C483" s="537"/>
      <c r="D483" s="537"/>
      <c r="E483" s="537"/>
      <c r="F483" s="537"/>
      <c r="G483" s="537"/>
      <c r="H483" s="537"/>
      <c r="I483" s="537"/>
      <c r="L483" s="537"/>
      <c r="AA483" s="539"/>
      <c r="AB483" s="539"/>
      <c r="AC483" s="539"/>
      <c r="AD483" s="539"/>
      <c r="AE483" s="539"/>
      <c r="AF483" s="539"/>
      <c r="AG483" s="537"/>
    </row>
    <row r="484" spans="1:33" ht="10.5" customHeight="1" x14ac:dyDescent="0.2">
      <c r="A484" s="537"/>
      <c r="B484" s="537"/>
      <c r="C484" s="537"/>
      <c r="D484" s="537"/>
      <c r="E484" s="537"/>
      <c r="F484" s="537"/>
      <c r="G484" s="537"/>
      <c r="H484" s="537"/>
      <c r="I484" s="537"/>
      <c r="L484" s="537"/>
      <c r="AA484" s="539"/>
      <c r="AB484" s="539"/>
      <c r="AC484" s="539"/>
      <c r="AD484" s="539"/>
      <c r="AE484" s="539"/>
      <c r="AF484" s="539"/>
      <c r="AG484" s="537"/>
    </row>
    <row r="485" spans="1:33" ht="10.5" customHeight="1" x14ac:dyDescent="0.2">
      <c r="A485" s="537"/>
      <c r="B485" s="537"/>
      <c r="C485" s="537"/>
      <c r="D485" s="537"/>
      <c r="E485" s="537"/>
      <c r="F485" s="537"/>
      <c r="G485" s="537"/>
      <c r="H485" s="537"/>
      <c r="I485" s="537"/>
      <c r="L485" s="537"/>
      <c r="AA485" s="539"/>
      <c r="AB485" s="539"/>
      <c r="AC485" s="539"/>
      <c r="AD485" s="539"/>
      <c r="AE485" s="539"/>
      <c r="AF485" s="539"/>
      <c r="AG485" s="537"/>
    </row>
    <row r="486" spans="1:33" ht="10.5" customHeight="1" x14ac:dyDescent="0.2">
      <c r="A486" s="537"/>
      <c r="B486" s="537"/>
      <c r="C486" s="537"/>
      <c r="D486" s="537"/>
      <c r="E486" s="537"/>
      <c r="F486" s="537"/>
      <c r="G486" s="537"/>
      <c r="H486" s="537"/>
      <c r="I486" s="537"/>
      <c r="L486" s="537"/>
      <c r="AA486" s="539"/>
      <c r="AB486" s="539"/>
      <c r="AC486" s="539"/>
      <c r="AD486" s="539"/>
      <c r="AE486" s="539"/>
      <c r="AF486" s="539"/>
      <c r="AG486" s="537"/>
    </row>
    <row r="487" spans="1:33" ht="10.5" customHeight="1" x14ac:dyDescent="0.2">
      <c r="A487" s="537"/>
      <c r="B487" s="537"/>
      <c r="C487" s="537"/>
      <c r="D487" s="537"/>
      <c r="E487" s="537"/>
      <c r="F487" s="537"/>
      <c r="G487" s="537"/>
      <c r="H487" s="537"/>
      <c r="I487" s="537"/>
      <c r="L487" s="537"/>
      <c r="AA487" s="539"/>
      <c r="AB487" s="539"/>
      <c r="AC487" s="539"/>
      <c r="AD487" s="539"/>
      <c r="AE487" s="539"/>
      <c r="AF487" s="539"/>
      <c r="AG487" s="537"/>
    </row>
    <row r="488" spans="1:33" ht="10.5" customHeight="1" x14ac:dyDescent="0.2">
      <c r="A488" s="537"/>
      <c r="B488" s="537"/>
      <c r="C488" s="537"/>
      <c r="D488" s="537"/>
      <c r="E488" s="537"/>
      <c r="F488" s="537"/>
      <c r="G488" s="537"/>
      <c r="H488" s="537"/>
      <c r="I488" s="537"/>
      <c r="L488" s="537"/>
      <c r="AA488" s="539"/>
      <c r="AB488" s="539"/>
      <c r="AC488" s="539"/>
      <c r="AD488" s="539"/>
      <c r="AE488" s="539"/>
      <c r="AF488" s="539"/>
      <c r="AG488" s="537"/>
    </row>
    <row r="489" spans="1:33" ht="10.5" customHeight="1" x14ac:dyDescent="0.2">
      <c r="A489" s="537"/>
      <c r="B489" s="537"/>
      <c r="C489" s="537"/>
      <c r="D489" s="537"/>
      <c r="E489" s="537"/>
      <c r="F489" s="537"/>
      <c r="G489" s="537"/>
      <c r="H489" s="537"/>
      <c r="I489" s="537"/>
      <c r="L489" s="537"/>
      <c r="AA489" s="539"/>
      <c r="AB489" s="539"/>
      <c r="AC489" s="539"/>
      <c r="AD489" s="539"/>
      <c r="AE489" s="539"/>
      <c r="AF489" s="539"/>
      <c r="AG489" s="537"/>
    </row>
    <row r="490" spans="1:33" ht="10.5" customHeight="1" x14ac:dyDescent="0.2">
      <c r="A490" s="537"/>
      <c r="B490" s="537"/>
      <c r="C490" s="537"/>
      <c r="D490" s="537"/>
      <c r="E490" s="537"/>
      <c r="F490" s="537"/>
      <c r="G490" s="537"/>
      <c r="H490" s="537"/>
      <c r="I490" s="537"/>
      <c r="L490" s="537"/>
      <c r="AA490" s="539"/>
      <c r="AB490" s="539"/>
      <c r="AC490" s="539"/>
      <c r="AD490" s="539"/>
      <c r="AE490" s="539"/>
      <c r="AF490" s="539"/>
      <c r="AG490" s="537"/>
    </row>
    <row r="491" spans="1:33" ht="10.5" customHeight="1" x14ac:dyDescent="0.2">
      <c r="A491" s="537"/>
      <c r="B491" s="537"/>
      <c r="C491" s="537"/>
      <c r="D491" s="537"/>
      <c r="E491" s="537"/>
      <c r="F491" s="537"/>
      <c r="G491" s="537"/>
      <c r="H491" s="537"/>
      <c r="I491" s="537"/>
      <c r="L491" s="537"/>
      <c r="AA491" s="539"/>
      <c r="AB491" s="539"/>
      <c r="AC491" s="539"/>
      <c r="AD491" s="539"/>
      <c r="AE491" s="539"/>
      <c r="AF491" s="539"/>
      <c r="AG491" s="537"/>
    </row>
    <row r="492" spans="1:33" ht="10.5" customHeight="1" x14ac:dyDescent="0.2">
      <c r="A492" s="537"/>
      <c r="B492" s="537"/>
      <c r="C492" s="537"/>
      <c r="D492" s="537"/>
      <c r="E492" s="537"/>
      <c r="F492" s="537"/>
      <c r="G492" s="537"/>
      <c r="H492" s="537"/>
      <c r="I492" s="537"/>
      <c r="L492" s="537"/>
      <c r="AA492" s="539"/>
      <c r="AB492" s="539"/>
      <c r="AC492" s="539"/>
      <c r="AD492" s="539"/>
      <c r="AE492" s="539"/>
      <c r="AF492" s="539"/>
      <c r="AG492" s="537"/>
    </row>
    <row r="493" spans="1:33" ht="10.5" customHeight="1" x14ac:dyDescent="0.2">
      <c r="A493" s="537"/>
      <c r="B493" s="537"/>
      <c r="C493" s="537"/>
      <c r="D493" s="537"/>
      <c r="E493" s="537"/>
      <c r="F493" s="537"/>
      <c r="G493" s="537"/>
      <c r="H493" s="537"/>
      <c r="I493" s="537"/>
      <c r="L493" s="537"/>
      <c r="AA493" s="539"/>
      <c r="AB493" s="539"/>
      <c r="AC493" s="539"/>
      <c r="AD493" s="539"/>
      <c r="AE493" s="539"/>
      <c r="AF493" s="539"/>
      <c r="AG493" s="537"/>
    </row>
    <row r="494" spans="1:33" ht="10.5" customHeight="1" x14ac:dyDescent="0.2">
      <c r="A494" s="537"/>
      <c r="B494" s="537"/>
      <c r="C494" s="537"/>
      <c r="D494" s="537"/>
      <c r="E494" s="537"/>
      <c r="F494" s="537"/>
      <c r="G494" s="537"/>
      <c r="H494" s="537"/>
      <c r="I494" s="537"/>
      <c r="L494" s="537"/>
      <c r="AA494" s="539"/>
      <c r="AB494" s="539"/>
      <c r="AC494" s="539"/>
      <c r="AD494" s="539"/>
      <c r="AE494" s="539"/>
      <c r="AF494" s="539"/>
      <c r="AG494" s="537"/>
    </row>
    <row r="495" spans="1:33" ht="10.5" customHeight="1" x14ac:dyDescent="0.2">
      <c r="A495" s="537"/>
      <c r="B495" s="537"/>
      <c r="C495" s="537"/>
      <c r="D495" s="537"/>
      <c r="E495" s="537"/>
      <c r="F495" s="537"/>
      <c r="G495" s="537"/>
      <c r="H495" s="537"/>
      <c r="I495" s="537"/>
      <c r="L495" s="537"/>
      <c r="AA495" s="539"/>
      <c r="AB495" s="539"/>
      <c r="AC495" s="539"/>
      <c r="AD495" s="539"/>
      <c r="AE495" s="539"/>
      <c r="AF495" s="539"/>
      <c r="AG495" s="537"/>
    </row>
    <row r="496" spans="1:33" ht="10.5" customHeight="1" x14ac:dyDescent="0.2">
      <c r="A496" s="537"/>
      <c r="B496" s="537"/>
      <c r="C496" s="537"/>
      <c r="D496" s="537"/>
      <c r="E496" s="537"/>
      <c r="F496" s="537"/>
      <c r="G496" s="537"/>
      <c r="H496" s="537"/>
      <c r="I496" s="537"/>
      <c r="L496" s="537"/>
      <c r="AA496" s="539"/>
      <c r="AB496" s="539"/>
      <c r="AC496" s="539"/>
      <c r="AD496" s="539"/>
      <c r="AE496" s="539"/>
      <c r="AF496" s="539"/>
      <c r="AG496" s="537"/>
    </row>
    <row r="497" spans="1:33" ht="10.5" customHeight="1" x14ac:dyDescent="0.2">
      <c r="A497" s="537"/>
      <c r="B497" s="537"/>
      <c r="C497" s="537"/>
      <c r="D497" s="537"/>
      <c r="E497" s="537"/>
      <c r="F497" s="537"/>
      <c r="G497" s="537"/>
      <c r="H497" s="537"/>
      <c r="I497" s="537"/>
      <c r="L497" s="537"/>
      <c r="AA497" s="539"/>
      <c r="AB497" s="539"/>
      <c r="AC497" s="539"/>
      <c r="AD497" s="539"/>
      <c r="AE497" s="539"/>
      <c r="AF497" s="539"/>
      <c r="AG497" s="537"/>
    </row>
    <row r="498" spans="1:33" ht="10.5" customHeight="1" x14ac:dyDescent="0.2">
      <c r="A498" s="537"/>
      <c r="B498" s="537"/>
      <c r="C498" s="537"/>
      <c r="D498" s="537"/>
      <c r="E498" s="537"/>
      <c r="F498" s="537"/>
      <c r="G498" s="537"/>
      <c r="H498" s="537"/>
      <c r="I498" s="537"/>
      <c r="L498" s="537"/>
      <c r="AA498" s="539"/>
      <c r="AB498" s="539"/>
      <c r="AC498" s="539"/>
      <c r="AD498" s="539"/>
      <c r="AE498" s="539"/>
      <c r="AF498" s="539"/>
      <c r="AG498" s="537"/>
    </row>
    <row r="499" spans="1:33" ht="10.5" customHeight="1" x14ac:dyDescent="0.2">
      <c r="A499" s="537"/>
      <c r="B499" s="537"/>
      <c r="C499" s="537"/>
      <c r="D499" s="537"/>
      <c r="E499" s="537"/>
      <c r="F499" s="537"/>
      <c r="G499" s="537"/>
      <c r="H499" s="537"/>
      <c r="I499" s="537"/>
      <c r="L499" s="537"/>
      <c r="AA499" s="539"/>
      <c r="AB499" s="539"/>
      <c r="AC499" s="539"/>
      <c r="AD499" s="539"/>
      <c r="AE499" s="539"/>
      <c r="AF499" s="539"/>
      <c r="AG499" s="537"/>
    </row>
    <row r="500" spans="1:33" ht="10.5" customHeight="1" x14ac:dyDescent="0.2">
      <c r="A500" s="537"/>
      <c r="B500" s="537"/>
      <c r="C500" s="537"/>
      <c r="D500" s="537"/>
      <c r="E500" s="537"/>
      <c r="F500" s="537"/>
      <c r="G500" s="537"/>
      <c r="H500" s="537"/>
      <c r="I500" s="537"/>
      <c r="L500" s="537"/>
      <c r="AA500" s="539"/>
      <c r="AB500" s="539"/>
      <c r="AC500" s="539"/>
      <c r="AD500" s="539"/>
      <c r="AE500" s="539"/>
      <c r="AF500" s="539"/>
      <c r="AG500" s="537"/>
    </row>
    <row r="501" spans="1:33" ht="10.5" customHeight="1" x14ac:dyDescent="0.2">
      <c r="A501" s="537"/>
      <c r="B501" s="537"/>
      <c r="C501" s="537"/>
      <c r="D501" s="537"/>
      <c r="E501" s="537"/>
      <c r="F501" s="537"/>
      <c r="G501" s="537"/>
      <c r="H501" s="537"/>
      <c r="I501" s="537"/>
      <c r="L501" s="537"/>
      <c r="AA501" s="539"/>
      <c r="AB501" s="539"/>
      <c r="AC501" s="539"/>
      <c r="AD501" s="539"/>
      <c r="AE501" s="539"/>
      <c r="AF501" s="539"/>
      <c r="AG501" s="537"/>
    </row>
    <row r="502" spans="1:33" ht="10.5" customHeight="1" x14ac:dyDescent="0.2">
      <c r="A502" s="537"/>
      <c r="B502" s="537"/>
      <c r="C502" s="537"/>
      <c r="D502" s="537"/>
      <c r="E502" s="537"/>
      <c r="F502" s="537"/>
      <c r="G502" s="537"/>
      <c r="H502" s="537"/>
      <c r="I502" s="537"/>
      <c r="L502" s="537"/>
      <c r="AA502" s="539"/>
      <c r="AB502" s="539"/>
      <c r="AC502" s="539"/>
      <c r="AD502" s="539"/>
      <c r="AE502" s="539"/>
      <c r="AF502" s="539"/>
      <c r="AG502" s="537"/>
    </row>
    <row r="503" spans="1:33" ht="10.5" customHeight="1" x14ac:dyDescent="0.2">
      <c r="A503" s="537"/>
      <c r="B503" s="537"/>
      <c r="C503" s="537"/>
      <c r="D503" s="537"/>
      <c r="E503" s="537"/>
      <c r="F503" s="537"/>
      <c r="G503" s="537"/>
      <c r="H503" s="537"/>
      <c r="I503" s="537"/>
      <c r="L503" s="537"/>
      <c r="AA503" s="539"/>
      <c r="AB503" s="539"/>
      <c r="AC503" s="539"/>
      <c r="AD503" s="539"/>
      <c r="AE503" s="539"/>
      <c r="AF503" s="539"/>
      <c r="AG503" s="537"/>
    </row>
    <row r="504" spans="1:33" ht="10.5" customHeight="1" x14ac:dyDescent="0.2">
      <c r="A504" s="537"/>
      <c r="B504" s="537"/>
      <c r="C504" s="537"/>
      <c r="D504" s="537"/>
      <c r="E504" s="537"/>
      <c r="F504" s="537"/>
      <c r="G504" s="537"/>
      <c r="H504" s="537"/>
      <c r="I504" s="537"/>
      <c r="L504" s="537"/>
      <c r="AA504" s="539"/>
      <c r="AB504" s="539"/>
      <c r="AC504" s="539"/>
      <c r="AD504" s="539"/>
      <c r="AE504" s="539"/>
      <c r="AF504" s="539"/>
      <c r="AG504" s="537"/>
    </row>
    <row r="505" spans="1:33" ht="10.5" customHeight="1" x14ac:dyDescent="0.2">
      <c r="A505" s="537"/>
      <c r="B505" s="537"/>
      <c r="C505" s="537"/>
      <c r="D505" s="537"/>
      <c r="E505" s="537"/>
      <c r="F505" s="537"/>
      <c r="G505" s="537"/>
      <c r="H505" s="537"/>
      <c r="I505" s="537"/>
      <c r="L505" s="537"/>
      <c r="AA505" s="539"/>
      <c r="AB505" s="539"/>
      <c r="AC505" s="539"/>
      <c r="AD505" s="539"/>
      <c r="AE505" s="539"/>
      <c r="AF505" s="539"/>
      <c r="AG505" s="537"/>
    </row>
    <row r="506" spans="1:33" ht="10.5" customHeight="1" x14ac:dyDescent="0.2">
      <c r="A506" s="537"/>
      <c r="B506" s="537"/>
      <c r="C506" s="537"/>
      <c r="D506" s="537"/>
      <c r="E506" s="537"/>
      <c r="F506" s="537"/>
      <c r="G506" s="537"/>
      <c r="H506" s="537"/>
      <c r="I506" s="537"/>
      <c r="L506" s="537"/>
      <c r="AA506" s="539"/>
      <c r="AB506" s="539"/>
      <c r="AC506" s="539"/>
      <c r="AD506" s="539"/>
      <c r="AE506" s="539"/>
      <c r="AF506" s="539"/>
      <c r="AG506" s="537"/>
    </row>
    <row r="507" spans="1:33" ht="10.5" customHeight="1" x14ac:dyDescent="0.2">
      <c r="A507" s="537"/>
      <c r="B507" s="537"/>
      <c r="C507" s="537"/>
      <c r="D507" s="537"/>
      <c r="E507" s="537"/>
      <c r="F507" s="537"/>
      <c r="G507" s="537"/>
      <c r="H507" s="537"/>
      <c r="I507" s="537"/>
      <c r="L507" s="537"/>
      <c r="AA507" s="539"/>
      <c r="AB507" s="539"/>
      <c r="AC507" s="539"/>
      <c r="AD507" s="539"/>
      <c r="AE507" s="539"/>
      <c r="AF507" s="539"/>
      <c r="AG507" s="537"/>
    </row>
    <row r="508" spans="1:33" ht="10.5" customHeight="1" x14ac:dyDescent="0.2">
      <c r="A508" s="537"/>
      <c r="B508" s="537"/>
      <c r="C508" s="537"/>
      <c r="D508" s="537"/>
      <c r="E508" s="537"/>
      <c r="F508" s="537"/>
      <c r="G508" s="537"/>
      <c r="H508" s="537"/>
      <c r="I508" s="537"/>
      <c r="L508" s="537"/>
      <c r="AA508" s="539"/>
      <c r="AB508" s="539"/>
      <c r="AC508" s="539"/>
      <c r="AD508" s="539"/>
      <c r="AE508" s="539"/>
      <c r="AF508" s="539"/>
      <c r="AG508" s="537"/>
    </row>
    <row r="509" spans="1:33" ht="10.5" customHeight="1" x14ac:dyDescent="0.2">
      <c r="A509" s="537"/>
      <c r="B509" s="537"/>
      <c r="C509" s="537"/>
      <c r="D509" s="537"/>
      <c r="E509" s="537"/>
      <c r="F509" s="537"/>
      <c r="G509" s="537"/>
      <c r="H509" s="537"/>
      <c r="I509" s="537"/>
      <c r="L509" s="537"/>
      <c r="AA509" s="539"/>
      <c r="AB509" s="539"/>
      <c r="AC509" s="539"/>
      <c r="AD509" s="539"/>
      <c r="AE509" s="539"/>
      <c r="AF509" s="539"/>
      <c r="AG509" s="537"/>
    </row>
    <row r="510" spans="1:33" ht="10.5" customHeight="1" x14ac:dyDescent="0.2">
      <c r="A510" s="537"/>
      <c r="B510" s="537"/>
      <c r="C510" s="537"/>
      <c r="D510" s="537"/>
      <c r="E510" s="537"/>
      <c r="F510" s="537"/>
      <c r="G510" s="537"/>
      <c r="H510" s="537"/>
      <c r="I510" s="537"/>
      <c r="L510" s="537"/>
      <c r="AA510" s="539"/>
      <c r="AB510" s="539"/>
      <c r="AC510" s="539"/>
      <c r="AD510" s="539"/>
      <c r="AE510" s="539"/>
      <c r="AF510" s="539"/>
      <c r="AG510" s="537"/>
    </row>
    <row r="511" spans="1:33" ht="10.5" customHeight="1" x14ac:dyDescent="0.2">
      <c r="A511" s="537"/>
      <c r="B511" s="537"/>
      <c r="C511" s="537"/>
      <c r="D511" s="537"/>
      <c r="E511" s="537"/>
      <c r="F511" s="537"/>
      <c r="G511" s="537"/>
      <c r="H511" s="537"/>
      <c r="I511" s="537"/>
      <c r="L511" s="537"/>
      <c r="AA511" s="539"/>
      <c r="AB511" s="539"/>
      <c r="AC511" s="539"/>
      <c r="AD511" s="539"/>
      <c r="AE511" s="539"/>
      <c r="AF511" s="539"/>
      <c r="AG511" s="537"/>
    </row>
    <row r="512" spans="1:33" ht="10.5" customHeight="1" x14ac:dyDescent="0.2">
      <c r="A512" s="537"/>
      <c r="B512" s="537"/>
      <c r="C512" s="537"/>
      <c r="D512" s="537"/>
      <c r="E512" s="537"/>
      <c r="F512" s="537"/>
      <c r="G512" s="537"/>
      <c r="H512" s="537"/>
      <c r="I512" s="537"/>
      <c r="L512" s="537"/>
      <c r="AA512" s="539"/>
      <c r="AB512" s="539"/>
      <c r="AC512" s="539"/>
      <c r="AD512" s="539"/>
      <c r="AE512" s="539"/>
      <c r="AF512" s="539"/>
      <c r="AG512" s="537"/>
    </row>
    <row r="513" spans="1:33" ht="10.5" customHeight="1" x14ac:dyDescent="0.2">
      <c r="A513" s="537"/>
      <c r="B513" s="537"/>
      <c r="C513" s="537"/>
      <c r="D513" s="537"/>
      <c r="E513" s="537"/>
      <c r="F513" s="537"/>
      <c r="G513" s="537"/>
      <c r="H513" s="537"/>
      <c r="I513" s="537"/>
      <c r="L513" s="537"/>
      <c r="AA513" s="539"/>
      <c r="AB513" s="539"/>
      <c r="AC513" s="539"/>
      <c r="AD513" s="539"/>
      <c r="AE513" s="539"/>
      <c r="AF513" s="539"/>
      <c r="AG513" s="537"/>
    </row>
    <row r="514" spans="1:33" ht="10.5" customHeight="1" x14ac:dyDescent="0.2">
      <c r="A514" s="537"/>
      <c r="B514" s="537"/>
      <c r="C514" s="537"/>
      <c r="D514" s="537"/>
      <c r="E514" s="537"/>
      <c r="F514" s="537"/>
      <c r="G514" s="537"/>
      <c r="H514" s="537"/>
      <c r="I514" s="537"/>
      <c r="L514" s="537"/>
      <c r="AA514" s="539"/>
      <c r="AB514" s="539"/>
      <c r="AC514" s="539"/>
      <c r="AD514" s="539"/>
      <c r="AE514" s="539"/>
      <c r="AF514" s="539"/>
      <c r="AG514" s="537"/>
    </row>
    <row r="515" spans="1:33" ht="10.5" customHeight="1" x14ac:dyDescent="0.2">
      <c r="A515" s="537"/>
      <c r="B515" s="537"/>
      <c r="C515" s="537"/>
      <c r="D515" s="537"/>
      <c r="E515" s="537"/>
      <c r="F515" s="537"/>
      <c r="G515" s="537"/>
      <c r="H515" s="537"/>
      <c r="I515" s="537"/>
      <c r="L515" s="537"/>
      <c r="AA515" s="539"/>
      <c r="AB515" s="539"/>
      <c r="AC515" s="539"/>
      <c r="AD515" s="539"/>
      <c r="AE515" s="539"/>
      <c r="AF515" s="539"/>
      <c r="AG515" s="537"/>
    </row>
    <row r="516" spans="1:33" ht="10.5" customHeight="1" x14ac:dyDescent="0.2">
      <c r="A516" s="537"/>
      <c r="B516" s="537"/>
      <c r="C516" s="537"/>
      <c r="D516" s="537"/>
      <c r="E516" s="537"/>
      <c r="F516" s="537"/>
      <c r="G516" s="537"/>
      <c r="H516" s="537"/>
      <c r="I516" s="537"/>
      <c r="L516" s="537"/>
      <c r="AA516" s="539"/>
      <c r="AB516" s="539"/>
      <c r="AC516" s="539"/>
      <c r="AD516" s="539"/>
      <c r="AE516" s="539"/>
      <c r="AF516" s="539"/>
      <c r="AG516" s="537"/>
    </row>
    <row r="517" spans="1:33" ht="10.5" customHeight="1" x14ac:dyDescent="0.2">
      <c r="A517" s="537"/>
      <c r="B517" s="537"/>
      <c r="C517" s="537"/>
      <c r="D517" s="537"/>
      <c r="E517" s="537"/>
      <c r="F517" s="537"/>
      <c r="G517" s="537"/>
      <c r="H517" s="537"/>
      <c r="I517" s="537"/>
      <c r="L517" s="537"/>
      <c r="AA517" s="539"/>
      <c r="AB517" s="539"/>
      <c r="AC517" s="539"/>
      <c r="AD517" s="539"/>
      <c r="AE517" s="539"/>
      <c r="AF517" s="539"/>
      <c r="AG517" s="537"/>
    </row>
    <row r="518" spans="1:33" ht="10.5" customHeight="1" x14ac:dyDescent="0.2">
      <c r="A518" s="537"/>
      <c r="B518" s="537"/>
      <c r="C518" s="537"/>
      <c r="D518" s="537"/>
      <c r="E518" s="537"/>
      <c r="F518" s="537"/>
      <c r="G518" s="537"/>
      <c r="H518" s="537"/>
      <c r="I518" s="537"/>
      <c r="L518" s="537"/>
      <c r="AA518" s="539"/>
      <c r="AB518" s="539"/>
      <c r="AC518" s="539"/>
      <c r="AD518" s="539"/>
      <c r="AE518" s="539"/>
      <c r="AF518" s="539"/>
      <c r="AG518" s="537"/>
    </row>
    <row r="519" spans="1:33" ht="10.5" customHeight="1" x14ac:dyDescent="0.2">
      <c r="A519" s="537"/>
      <c r="B519" s="537"/>
      <c r="C519" s="537"/>
      <c r="D519" s="537"/>
      <c r="E519" s="537"/>
      <c r="F519" s="537"/>
      <c r="G519" s="537"/>
      <c r="H519" s="537"/>
      <c r="I519" s="537"/>
      <c r="L519" s="537"/>
      <c r="AA519" s="539"/>
      <c r="AB519" s="539"/>
      <c r="AC519" s="539"/>
      <c r="AD519" s="539"/>
      <c r="AE519" s="539"/>
      <c r="AF519" s="539"/>
      <c r="AG519" s="537"/>
    </row>
    <row r="520" spans="1:33" ht="10.5" customHeight="1" x14ac:dyDescent="0.2">
      <c r="A520" s="537"/>
      <c r="B520" s="537"/>
      <c r="C520" s="537"/>
      <c r="D520" s="537"/>
      <c r="E520" s="537"/>
      <c r="F520" s="537"/>
      <c r="G520" s="537"/>
      <c r="H520" s="537"/>
      <c r="I520" s="537"/>
      <c r="L520" s="537"/>
      <c r="AA520" s="539"/>
      <c r="AB520" s="539"/>
      <c r="AC520" s="539"/>
      <c r="AD520" s="539"/>
      <c r="AE520" s="539"/>
      <c r="AF520" s="539"/>
      <c r="AG520" s="537"/>
    </row>
    <row r="521" spans="1:33" ht="10.5" customHeight="1" x14ac:dyDescent="0.2">
      <c r="A521" s="537"/>
      <c r="B521" s="537"/>
      <c r="C521" s="537"/>
      <c r="D521" s="537"/>
      <c r="E521" s="537"/>
      <c r="F521" s="537"/>
      <c r="G521" s="537"/>
      <c r="H521" s="537"/>
      <c r="I521" s="537"/>
      <c r="L521" s="537"/>
      <c r="AA521" s="539"/>
      <c r="AB521" s="539"/>
      <c r="AC521" s="539"/>
      <c r="AD521" s="539"/>
      <c r="AE521" s="539"/>
      <c r="AF521" s="539"/>
      <c r="AG521" s="537"/>
    </row>
    <row r="522" spans="1:33" ht="10.5" customHeight="1" x14ac:dyDescent="0.2">
      <c r="A522" s="537"/>
      <c r="B522" s="537"/>
      <c r="C522" s="537"/>
      <c r="D522" s="537"/>
      <c r="E522" s="537"/>
      <c r="F522" s="537"/>
      <c r="G522" s="537"/>
      <c r="H522" s="537"/>
      <c r="I522" s="537"/>
      <c r="L522" s="537"/>
      <c r="AA522" s="539"/>
      <c r="AB522" s="539"/>
      <c r="AC522" s="539"/>
      <c r="AD522" s="539"/>
      <c r="AE522" s="539"/>
      <c r="AF522" s="539"/>
      <c r="AG522" s="537"/>
    </row>
    <row r="523" spans="1:33" ht="10.5" customHeight="1" x14ac:dyDescent="0.2">
      <c r="A523" s="537"/>
      <c r="B523" s="537"/>
      <c r="C523" s="537"/>
      <c r="D523" s="537"/>
      <c r="E523" s="537"/>
      <c r="F523" s="537"/>
      <c r="G523" s="537"/>
      <c r="H523" s="537"/>
      <c r="I523" s="537"/>
      <c r="L523" s="537"/>
      <c r="AA523" s="539"/>
      <c r="AB523" s="539"/>
      <c r="AC523" s="539"/>
      <c r="AD523" s="539"/>
      <c r="AE523" s="539"/>
      <c r="AF523" s="539"/>
      <c r="AG523" s="537"/>
    </row>
    <row r="524" spans="1:33" ht="10.5" customHeight="1" x14ac:dyDescent="0.2">
      <c r="A524" s="537"/>
      <c r="B524" s="537"/>
      <c r="C524" s="537"/>
      <c r="D524" s="537"/>
      <c r="E524" s="537"/>
      <c r="F524" s="537"/>
      <c r="G524" s="537"/>
      <c r="H524" s="537"/>
      <c r="I524" s="537"/>
      <c r="L524" s="537"/>
      <c r="AA524" s="539"/>
      <c r="AB524" s="539"/>
      <c r="AC524" s="539"/>
      <c r="AD524" s="539"/>
      <c r="AE524" s="539"/>
      <c r="AF524" s="539"/>
      <c r="AG524" s="537"/>
    </row>
    <row r="525" spans="1:33" ht="10.5" customHeight="1" x14ac:dyDescent="0.2">
      <c r="A525" s="537"/>
      <c r="B525" s="537"/>
      <c r="C525" s="537"/>
      <c r="D525" s="537"/>
      <c r="E525" s="537"/>
      <c r="F525" s="537"/>
      <c r="G525" s="537"/>
      <c r="H525" s="537"/>
      <c r="I525" s="537"/>
      <c r="L525" s="537"/>
      <c r="AA525" s="539"/>
      <c r="AB525" s="539"/>
      <c r="AC525" s="539"/>
      <c r="AD525" s="539"/>
      <c r="AE525" s="539"/>
      <c r="AF525" s="539"/>
      <c r="AG525" s="537"/>
    </row>
    <row r="526" spans="1:33" ht="10.5" customHeight="1" x14ac:dyDescent="0.2">
      <c r="A526" s="537"/>
      <c r="B526" s="537"/>
      <c r="C526" s="537"/>
      <c r="D526" s="537"/>
      <c r="E526" s="537"/>
      <c r="F526" s="537"/>
      <c r="G526" s="537"/>
      <c r="H526" s="537"/>
      <c r="I526" s="537"/>
      <c r="L526" s="537"/>
      <c r="AA526" s="539"/>
      <c r="AB526" s="539"/>
      <c r="AC526" s="539"/>
      <c r="AD526" s="539"/>
      <c r="AE526" s="539"/>
      <c r="AF526" s="539"/>
      <c r="AG526" s="537"/>
    </row>
    <row r="527" spans="1:33" ht="10.5" customHeight="1" x14ac:dyDescent="0.2">
      <c r="A527" s="537"/>
      <c r="B527" s="537"/>
      <c r="C527" s="537"/>
      <c r="D527" s="537"/>
      <c r="E527" s="537"/>
      <c r="F527" s="537"/>
      <c r="G527" s="537"/>
      <c r="H527" s="537"/>
      <c r="I527" s="537"/>
      <c r="L527" s="537"/>
      <c r="AA527" s="539"/>
      <c r="AB527" s="539"/>
      <c r="AC527" s="539"/>
      <c r="AD527" s="539"/>
      <c r="AE527" s="539"/>
      <c r="AF527" s="539"/>
      <c r="AG527" s="537"/>
    </row>
    <row r="528" spans="1:33" ht="10.5" customHeight="1" x14ac:dyDescent="0.2">
      <c r="A528" s="537"/>
      <c r="B528" s="537"/>
      <c r="C528" s="537"/>
      <c r="D528" s="537"/>
      <c r="E528" s="537"/>
      <c r="F528" s="537"/>
      <c r="G528" s="537"/>
      <c r="H528" s="537"/>
      <c r="I528" s="537"/>
      <c r="L528" s="537"/>
      <c r="AA528" s="539"/>
      <c r="AB528" s="539"/>
      <c r="AC528" s="539"/>
      <c r="AD528" s="539"/>
      <c r="AE528" s="539"/>
      <c r="AF528" s="539"/>
      <c r="AG528" s="537"/>
    </row>
    <row r="529" spans="1:33" ht="10.5" customHeight="1" x14ac:dyDescent="0.2">
      <c r="A529" s="537"/>
      <c r="B529" s="537"/>
      <c r="C529" s="537"/>
      <c r="D529" s="537"/>
      <c r="E529" s="537"/>
      <c r="F529" s="537"/>
      <c r="G529" s="537"/>
      <c r="H529" s="537"/>
      <c r="I529" s="537"/>
      <c r="L529" s="537"/>
      <c r="AA529" s="539"/>
      <c r="AB529" s="539"/>
      <c r="AC529" s="539"/>
      <c r="AD529" s="539"/>
      <c r="AE529" s="539"/>
      <c r="AF529" s="539"/>
      <c r="AG529" s="537"/>
    </row>
    <row r="530" spans="1:33" ht="10.5" customHeight="1" x14ac:dyDescent="0.2">
      <c r="A530" s="537"/>
      <c r="B530" s="537"/>
      <c r="C530" s="537"/>
      <c r="D530" s="537"/>
      <c r="E530" s="537"/>
      <c r="F530" s="537"/>
      <c r="G530" s="537"/>
      <c r="H530" s="537"/>
      <c r="I530" s="537"/>
      <c r="L530" s="537"/>
      <c r="AA530" s="539"/>
      <c r="AB530" s="539"/>
      <c r="AC530" s="539"/>
      <c r="AD530" s="539"/>
      <c r="AE530" s="539"/>
      <c r="AF530" s="539"/>
      <c r="AG530" s="537"/>
    </row>
    <row r="531" spans="1:33" ht="10.5" customHeight="1" x14ac:dyDescent="0.2">
      <c r="A531" s="537"/>
      <c r="B531" s="537"/>
      <c r="C531" s="537"/>
      <c r="D531" s="537"/>
      <c r="E531" s="537"/>
      <c r="F531" s="537"/>
      <c r="G531" s="537"/>
      <c r="H531" s="537"/>
      <c r="I531" s="537"/>
      <c r="L531" s="537"/>
      <c r="AA531" s="539"/>
      <c r="AB531" s="539"/>
      <c r="AC531" s="539"/>
      <c r="AD531" s="539"/>
      <c r="AE531" s="539"/>
      <c r="AF531" s="539"/>
      <c r="AG531" s="537"/>
    </row>
    <row r="532" spans="1:33" ht="10.5" customHeight="1" x14ac:dyDescent="0.2">
      <c r="A532" s="537"/>
      <c r="B532" s="537"/>
      <c r="C532" s="537"/>
      <c r="D532" s="537"/>
      <c r="E532" s="537"/>
      <c r="F532" s="537"/>
      <c r="G532" s="537"/>
      <c r="H532" s="537"/>
      <c r="I532" s="537"/>
      <c r="L532" s="537"/>
      <c r="AA532" s="539"/>
      <c r="AB532" s="539"/>
      <c r="AC532" s="539"/>
      <c r="AD532" s="539"/>
      <c r="AE532" s="539"/>
      <c r="AF532" s="539"/>
      <c r="AG532" s="537"/>
    </row>
    <row r="533" spans="1:33" ht="10.5" customHeight="1" x14ac:dyDescent="0.2">
      <c r="A533" s="537"/>
      <c r="B533" s="537"/>
      <c r="C533" s="537"/>
      <c r="D533" s="537"/>
      <c r="E533" s="537"/>
      <c r="F533" s="537"/>
      <c r="G533" s="537"/>
      <c r="H533" s="537"/>
      <c r="I533" s="537"/>
      <c r="L533" s="537"/>
      <c r="AA533" s="539"/>
      <c r="AB533" s="539"/>
      <c r="AC533" s="539"/>
      <c r="AD533" s="539"/>
      <c r="AE533" s="539"/>
      <c r="AF533" s="539"/>
      <c r="AG533" s="537"/>
    </row>
    <row r="534" spans="1:33" ht="10.5" customHeight="1" x14ac:dyDescent="0.2">
      <c r="A534" s="537"/>
      <c r="B534" s="537"/>
      <c r="C534" s="537"/>
      <c r="D534" s="537"/>
      <c r="E534" s="537"/>
      <c r="F534" s="537"/>
      <c r="G534" s="537"/>
      <c r="H534" s="537"/>
      <c r="I534" s="537"/>
      <c r="L534" s="537"/>
      <c r="AA534" s="539"/>
      <c r="AB534" s="539"/>
      <c r="AC534" s="539"/>
      <c r="AD534" s="539"/>
      <c r="AE534" s="539"/>
      <c r="AF534" s="539"/>
      <c r="AG534" s="537"/>
    </row>
    <row r="535" spans="1:33" ht="10.5" customHeight="1" x14ac:dyDescent="0.2">
      <c r="A535" s="537"/>
      <c r="B535" s="537"/>
      <c r="C535" s="537"/>
      <c r="D535" s="537"/>
      <c r="E535" s="537"/>
      <c r="F535" s="537"/>
      <c r="G535" s="537"/>
      <c r="H535" s="537"/>
      <c r="I535" s="537"/>
      <c r="L535" s="537"/>
      <c r="AA535" s="539"/>
      <c r="AB535" s="539"/>
      <c r="AC535" s="539"/>
      <c r="AD535" s="539"/>
      <c r="AE535" s="539"/>
      <c r="AF535" s="539"/>
      <c r="AG535" s="537"/>
    </row>
    <row r="536" spans="1:33" ht="10.5" customHeight="1" x14ac:dyDescent="0.2">
      <c r="A536" s="537"/>
      <c r="B536" s="537"/>
      <c r="C536" s="537"/>
      <c r="D536" s="537"/>
      <c r="E536" s="537"/>
      <c r="F536" s="537"/>
      <c r="G536" s="537"/>
      <c r="H536" s="537"/>
      <c r="I536" s="537"/>
      <c r="L536" s="537"/>
      <c r="AA536" s="539"/>
      <c r="AB536" s="539"/>
      <c r="AC536" s="539"/>
      <c r="AD536" s="539"/>
      <c r="AE536" s="539"/>
      <c r="AF536" s="539"/>
      <c r="AG536" s="537"/>
    </row>
    <row r="537" spans="1:33" ht="10.5" customHeight="1" x14ac:dyDescent="0.2">
      <c r="A537" s="537"/>
      <c r="B537" s="537"/>
      <c r="C537" s="537"/>
      <c r="D537" s="537"/>
      <c r="E537" s="537"/>
      <c r="F537" s="537"/>
      <c r="G537" s="537"/>
      <c r="H537" s="537"/>
      <c r="I537" s="537"/>
      <c r="L537" s="537"/>
      <c r="AA537" s="539"/>
      <c r="AB537" s="539"/>
      <c r="AC537" s="539"/>
      <c r="AD537" s="539"/>
      <c r="AE537" s="539"/>
      <c r="AF537" s="539"/>
      <c r="AG537" s="537"/>
    </row>
    <row r="538" spans="1:33" ht="10.5" customHeight="1" x14ac:dyDescent="0.2">
      <c r="A538" s="537"/>
      <c r="B538" s="537"/>
      <c r="C538" s="537"/>
      <c r="D538" s="537"/>
      <c r="E538" s="537"/>
      <c r="F538" s="537"/>
      <c r="G538" s="537"/>
      <c r="H538" s="537"/>
      <c r="I538" s="537"/>
      <c r="L538" s="537"/>
      <c r="AA538" s="539"/>
      <c r="AB538" s="539"/>
      <c r="AC538" s="539"/>
      <c r="AD538" s="539"/>
      <c r="AE538" s="539"/>
      <c r="AF538" s="539"/>
      <c r="AG538" s="537"/>
    </row>
    <row r="539" spans="1:33" ht="10.5" customHeight="1" x14ac:dyDescent="0.2">
      <c r="A539" s="537"/>
      <c r="B539" s="537"/>
      <c r="C539" s="537"/>
      <c r="D539" s="537"/>
      <c r="E539" s="537"/>
      <c r="F539" s="537"/>
      <c r="G539" s="537"/>
      <c r="H539" s="537"/>
      <c r="I539" s="537"/>
      <c r="L539" s="537"/>
      <c r="AA539" s="539"/>
      <c r="AB539" s="539"/>
      <c r="AC539" s="539"/>
      <c r="AD539" s="539"/>
      <c r="AE539" s="539"/>
      <c r="AF539" s="539"/>
      <c r="AG539" s="537"/>
    </row>
    <row r="540" spans="1:33" ht="10.5" customHeight="1" x14ac:dyDescent="0.2">
      <c r="A540" s="537"/>
      <c r="B540" s="537"/>
      <c r="C540" s="537"/>
      <c r="D540" s="537"/>
      <c r="E540" s="537"/>
      <c r="F540" s="537"/>
      <c r="G540" s="537"/>
      <c r="H540" s="537"/>
      <c r="I540" s="537"/>
      <c r="L540" s="537"/>
      <c r="AA540" s="539"/>
      <c r="AB540" s="539"/>
      <c r="AC540" s="539"/>
      <c r="AD540" s="539"/>
      <c r="AE540" s="539"/>
      <c r="AF540" s="539"/>
      <c r="AG540" s="537"/>
    </row>
    <row r="541" spans="1:33" ht="10.5" customHeight="1" x14ac:dyDescent="0.2">
      <c r="A541" s="537"/>
      <c r="B541" s="537"/>
      <c r="C541" s="537"/>
      <c r="D541" s="537"/>
      <c r="E541" s="537"/>
      <c r="F541" s="537"/>
      <c r="G541" s="537"/>
      <c r="H541" s="537"/>
      <c r="I541" s="537"/>
      <c r="L541" s="537"/>
      <c r="AA541" s="539"/>
      <c r="AB541" s="539"/>
      <c r="AC541" s="539"/>
      <c r="AD541" s="539"/>
      <c r="AE541" s="539"/>
      <c r="AF541" s="539"/>
      <c r="AG541" s="537"/>
    </row>
    <row r="542" spans="1:33" ht="10.5" customHeight="1" x14ac:dyDescent="0.2">
      <c r="A542" s="537"/>
      <c r="B542" s="537"/>
      <c r="C542" s="537"/>
      <c r="D542" s="537"/>
      <c r="E542" s="537"/>
      <c r="F542" s="537"/>
      <c r="G542" s="537"/>
      <c r="H542" s="537"/>
      <c r="I542" s="537"/>
      <c r="L542" s="537"/>
      <c r="AA542" s="539"/>
      <c r="AB542" s="539"/>
      <c r="AC542" s="539"/>
      <c r="AD542" s="539"/>
      <c r="AE542" s="539"/>
      <c r="AF542" s="539"/>
      <c r="AG542" s="537"/>
    </row>
    <row r="543" spans="1:33" ht="10.5" customHeight="1" x14ac:dyDescent="0.2">
      <c r="A543" s="537"/>
      <c r="B543" s="537"/>
      <c r="C543" s="537"/>
      <c r="D543" s="537"/>
      <c r="E543" s="537"/>
      <c r="F543" s="537"/>
      <c r="G543" s="537"/>
      <c r="H543" s="537"/>
      <c r="I543" s="537"/>
      <c r="L543" s="537"/>
      <c r="AA543" s="539"/>
      <c r="AB543" s="539"/>
      <c r="AC543" s="539"/>
      <c r="AD543" s="539"/>
      <c r="AE543" s="539"/>
      <c r="AF543" s="539"/>
      <c r="AG543" s="537"/>
    </row>
    <row r="544" spans="1:33" ht="10.5" customHeight="1" x14ac:dyDescent="0.2">
      <c r="A544" s="537"/>
      <c r="B544" s="537"/>
      <c r="C544" s="537"/>
      <c r="D544" s="537"/>
      <c r="E544" s="537"/>
      <c r="F544" s="537"/>
      <c r="G544" s="537"/>
      <c r="H544" s="537"/>
      <c r="I544" s="537"/>
      <c r="L544" s="537"/>
      <c r="AA544" s="539"/>
      <c r="AB544" s="539"/>
      <c r="AC544" s="539"/>
      <c r="AD544" s="539"/>
      <c r="AE544" s="539"/>
      <c r="AF544" s="539"/>
      <c r="AG544" s="537"/>
    </row>
    <row r="545" spans="1:33" ht="10.5" customHeight="1" x14ac:dyDescent="0.2">
      <c r="A545" s="537"/>
      <c r="B545" s="537"/>
      <c r="C545" s="537"/>
      <c r="D545" s="537"/>
      <c r="E545" s="537"/>
      <c r="F545" s="537"/>
      <c r="G545" s="537"/>
      <c r="H545" s="537"/>
      <c r="I545" s="537"/>
      <c r="L545" s="537"/>
      <c r="AA545" s="539"/>
      <c r="AB545" s="539"/>
      <c r="AC545" s="539"/>
      <c r="AD545" s="539"/>
      <c r="AE545" s="539"/>
      <c r="AF545" s="539"/>
      <c r="AG545" s="537"/>
    </row>
    <row r="546" spans="1:33" ht="10.5" customHeight="1" x14ac:dyDescent="0.2">
      <c r="A546" s="537"/>
      <c r="B546" s="537"/>
      <c r="C546" s="537"/>
      <c r="D546" s="537"/>
      <c r="E546" s="537"/>
      <c r="F546" s="537"/>
      <c r="G546" s="537"/>
      <c r="H546" s="537"/>
      <c r="I546" s="537"/>
      <c r="L546" s="537"/>
      <c r="AA546" s="539"/>
      <c r="AB546" s="539"/>
      <c r="AC546" s="539"/>
      <c r="AD546" s="539"/>
      <c r="AE546" s="539"/>
      <c r="AF546" s="539"/>
      <c r="AG546" s="537"/>
    </row>
    <row r="547" spans="1:33" ht="10.5" customHeight="1" x14ac:dyDescent="0.2">
      <c r="A547" s="537"/>
      <c r="B547" s="537"/>
      <c r="C547" s="537"/>
      <c r="D547" s="537"/>
      <c r="E547" s="537"/>
      <c r="F547" s="537"/>
      <c r="G547" s="537"/>
      <c r="H547" s="537"/>
      <c r="I547" s="537"/>
      <c r="L547" s="537"/>
      <c r="AA547" s="539"/>
      <c r="AB547" s="539"/>
      <c r="AC547" s="539"/>
      <c r="AD547" s="539"/>
      <c r="AE547" s="539"/>
      <c r="AF547" s="539"/>
      <c r="AG547" s="537"/>
    </row>
    <row r="548" spans="1:33" ht="10.5" customHeight="1" x14ac:dyDescent="0.2">
      <c r="A548" s="537"/>
      <c r="B548" s="537"/>
      <c r="C548" s="537"/>
      <c r="D548" s="537"/>
      <c r="E548" s="537"/>
      <c r="F548" s="537"/>
      <c r="G548" s="537"/>
      <c r="H548" s="537"/>
      <c r="I548" s="537"/>
      <c r="L548" s="537"/>
      <c r="AA548" s="539"/>
      <c r="AB548" s="539"/>
      <c r="AC548" s="539"/>
      <c r="AD548" s="539"/>
      <c r="AE548" s="539"/>
      <c r="AF548" s="539"/>
      <c r="AG548" s="537"/>
    </row>
    <row r="549" spans="1:33" ht="10.5" customHeight="1" x14ac:dyDescent="0.2">
      <c r="A549" s="537"/>
      <c r="B549" s="537"/>
      <c r="C549" s="537"/>
      <c r="D549" s="537"/>
      <c r="E549" s="537"/>
      <c r="F549" s="537"/>
      <c r="G549" s="537"/>
      <c r="H549" s="537"/>
      <c r="I549" s="537"/>
      <c r="L549" s="537"/>
      <c r="AA549" s="539"/>
      <c r="AB549" s="539"/>
      <c r="AC549" s="539"/>
      <c r="AD549" s="539"/>
      <c r="AE549" s="539"/>
      <c r="AF549" s="539"/>
      <c r="AG549" s="537"/>
    </row>
    <row r="550" spans="1:33" ht="10.5" customHeight="1" x14ac:dyDescent="0.2">
      <c r="A550" s="537"/>
      <c r="B550" s="537"/>
      <c r="C550" s="537"/>
      <c r="D550" s="537"/>
      <c r="E550" s="537"/>
      <c r="F550" s="537"/>
      <c r="G550" s="537"/>
      <c r="H550" s="537"/>
      <c r="I550" s="537"/>
      <c r="L550" s="537"/>
      <c r="AA550" s="539"/>
      <c r="AB550" s="539"/>
      <c r="AC550" s="539"/>
      <c r="AD550" s="539"/>
      <c r="AE550" s="539"/>
      <c r="AF550" s="539"/>
      <c r="AG550" s="537"/>
    </row>
    <row r="551" spans="1:33" ht="10.5" customHeight="1" x14ac:dyDescent="0.2">
      <c r="A551" s="537"/>
      <c r="B551" s="537"/>
      <c r="C551" s="537"/>
      <c r="D551" s="537"/>
      <c r="E551" s="537"/>
      <c r="F551" s="537"/>
      <c r="G551" s="537"/>
      <c r="H551" s="537"/>
      <c r="I551" s="537"/>
      <c r="L551" s="537"/>
      <c r="AA551" s="539"/>
      <c r="AB551" s="539"/>
      <c r="AC551" s="539"/>
      <c r="AD551" s="539"/>
      <c r="AE551" s="539"/>
      <c r="AF551" s="539"/>
      <c r="AG551" s="537"/>
    </row>
    <row r="552" spans="1:33" ht="10.5" customHeight="1" x14ac:dyDescent="0.2">
      <c r="A552" s="537"/>
      <c r="B552" s="537"/>
      <c r="C552" s="537"/>
      <c r="D552" s="537"/>
      <c r="E552" s="537"/>
      <c r="F552" s="537"/>
      <c r="G552" s="537"/>
      <c r="H552" s="537"/>
      <c r="I552" s="537"/>
      <c r="L552" s="537"/>
      <c r="AA552" s="539"/>
      <c r="AB552" s="539"/>
      <c r="AC552" s="539"/>
      <c r="AD552" s="539"/>
      <c r="AE552" s="539"/>
      <c r="AF552" s="539"/>
      <c r="AG552" s="537"/>
    </row>
    <row r="553" spans="1:33" ht="10.5" customHeight="1" x14ac:dyDescent="0.2">
      <c r="A553" s="537"/>
      <c r="B553" s="537"/>
      <c r="C553" s="537"/>
      <c r="D553" s="537"/>
      <c r="E553" s="537"/>
      <c r="F553" s="537"/>
      <c r="G553" s="537"/>
      <c r="H553" s="537"/>
      <c r="I553" s="537"/>
      <c r="L553" s="537"/>
      <c r="AA553" s="539"/>
      <c r="AB553" s="539"/>
      <c r="AC553" s="539"/>
      <c r="AD553" s="539"/>
      <c r="AE553" s="539"/>
      <c r="AF553" s="539"/>
      <c r="AG553" s="537"/>
    </row>
    <row r="554" spans="1:33" ht="10.5" customHeight="1" x14ac:dyDescent="0.2">
      <c r="A554" s="537"/>
      <c r="B554" s="537"/>
      <c r="C554" s="537"/>
      <c r="D554" s="537"/>
      <c r="E554" s="537"/>
      <c r="F554" s="537"/>
      <c r="G554" s="537"/>
      <c r="H554" s="537"/>
      <c r="I554" s="537"/>
      <c r="L554" s="537"/>
      <c r="AA554" s="539"/>
      <c r="AB554" s="539"/>
      <c r="AC554" s="539"/>
      <c r="AD554" s="539"/>
      <c r="AE554" s="539"/>
      <c r="AF554" s="539"/>
      <c r="AG554" s="537"/>
    </row>
    <row r="555" spans="1:33" ht="10.5" customHeight="1" x14ac:dyDescent="0.2">
      <c r="A555" s="537"/>
      <c r="B555" s="537"/>
      <c r="C555" s="537"/>
      <c r="D555" s="537"/>
      <c r="E555" s="537"/>
      <c r="F555" s="537"/>
      <c r="G555" s="537"/>
      <c r="H555" s="537"/>
      <c r="I555" s="537"/>
      <c r="L555" s="537"/>
      <c r="AA555" s="539"/>
      <c r="AB555" s="539"/>
      <c r="AC555" s="539"/>
      <c r="AD555" s="539"/>
      <c r="AE555" s="539"/>
      <c r="AF555" s="539"/>
      <c r="AG555" s="537"/>
    </row>
    <row r="556" spans="1:33" ht="10.5" customHeight="1" x14ac:dyDescent="0.2">
      <c r="A556" s="537"/>
      <c r="B556" s="537"/>
      <c r="C556" s="537"/>
      <c r="D556" s="537"/>
      <c r="E556" s="537"/>
      <c r="F556" s="537"/>
      <c r="G556" s="537"/>
      <c r="H556" s="537"/>
      <c r="I556" s="537"/>
      <c r="L556" s="537"/>
      <c r="AA556" s="539"/>
      <c r="AB556" s="539"/>
      <c r="AC556" s="539"/>
      <c r="AD556" s="539"/>
      <c r="AE556" s="539"/>
      <c r="AF556" s="539"/>
      <c r="AG556" s="537"/>
    </row>
    <row r="557" spans="1:33" ht="10.5" customHeight="1" x14ac:dyDescent="0.2">
      <c r="A557" s="537"/>
      <c r="B557" s="537"/>
      <c r="C557" s="537"/>
      <c r="D557" s="537"/>
      <c r="E557" s="537"/>
      <c r="F557" s="537"/>
      <c r="G557" s="537"/>
      <c r="H557" s="537"/>
      <c r="I557" s="537"/>
      <c r="L557" s="537"/>
      <c r="AA557" s="539"/>
      <c r="AB557" s="539"/>
      <c r="AC557" s="539"/>
      <c r="AD557" s="539"/>
      <c r="AE557" s="539"/>
      <c r="AF557" s="539"/>
      <c r="AG557" s="537"/>
    </row>
    <row r="558" spans="1:33" ht="10.5" customHeight="1" x14ac:dyDescent="0.2">
      <c r="A558" s="537"/>
      <c r="B558" s="537"/>
      <c r="C558" s="537"/>
      <c r="D558" s="537"/>
      <c r="E558" s="537"/>
      <c r="F558" s="537"/>
      <c r="G558" s="537"/>
      <c r="H558" s="537"/>
      <c r="I558" s="537"/>
      <c r="L558" s="537"/>
      <c r="AA558" s="539"/>
      <c r="AB558" s="539"/>
      <c r="AC558" s="539"/>
      <c r="AD558" s="539"/>
      <c r="AE558" s="539"/>
      <c r="AF558" s="539"/>
      <c r="AG558" s="537"/>
    </row>
    <row r="559" spans="1:33" ht="10.5" customHeight="1" x14ac:dyDescent="0.2">
      <c r="A559" s="537"/>
      <c r="B559" s="537"/>
      <c r="C559" s="537"/>
      <c r="D559" s="537"/>
      <c r="E559" s="537"/>
      <c r="F559" s="537"/>
      <c r="G559" s="537"/>
      <c r="H559" s="537"/>
      <c r="I559" s="537"/>
      <c r="L559" s="537"/>
      <c r="AA559" s="539"/>
      <c r="AB559" s="539"/>
      <c r="AC559" s="539"/>
      <c r="AD559" s="539"/>
      <c r="AE559" s="539"/>
      <c r="AF559" s="539"/>
      <c r="AG559" s="537"/>
    </row>
    <row r="560" spans="1:33" ht="10.5" customHeight="1" x14ac:dyDescent="0.2">
      <c r="A560" s="537"/>
      <c r="B560" s="537"/>
      <c r="C560" s="537"/>
      <c r="D560" s="537"/>
      <c r="E560" s="537"/>
      <c r="F560" s="537"/>
      <c r="G560" s="537"/>
      <c r="H560" s="537"/>
      <c r="I560" s="537"/>
      <c r="L560" s="537"/>
      <c r="AA560" s="539"/>
      <c r="AB560" s="539"/>
      <c r="AC560" s="539"/>
      <c r="AD560" s="539"/>
      <c r="AE560" s="539"/>
      <c r="AF560" s="539"/>
      <c r="AG560" s="537"/>
    </row>
    <row r="561" spans="1:33" ht="10.5" customHeight="1" x14ac:dyDescent="0.2">
      <c r="A561" s="537"/>
      <c r="B561" s="537"/>
      <c r="C561" s="537"/>
      <c r="D561" s="537"/>
      <c r="E561" s="537"/>
      <c r="F561" s="537"/>
      <c r="G561" s="537"/>
      <c r="H561" s="537"/>
      <c r="I561" s="537"/>
      <c r="L561" s="537"/>
      <c r="AA561" s="539"/>
      <c r="AB561" s="539"/>
      <c r="AC561" s="539"/>
      <c r="AD561" s="539"/>
      <c r="AE561" s="539"/>
      <c r="AF561" s="539"/>
      <c r="AG561" s="537"/>
    </row>
    <row r="562" spans="1:33" ht="10.5" customHeight="1" x14ac:dyDescent="0.2">
      <c r="A562" s="537"/>
      <c r="B562" s="537"/>
      <c r="C562" s="537"/>
      <c r="D562" s="537"/>
      <c r="E562" s="537"/>
      <c r="F562" s="537"/>
      <c r="G562" s="537"/>
      <c r="H562" s="537"/>
      <c r="I562" s="537"/>
      <c r="L562" s="537"/>
      <c r="AA562" s="539"/>
      <c r="AB562" s="539"/>
      <c r="AC562" s="539"/>
      <c r="AD562" s="539"/>
      <c r="AE562" s="539"/>
      <c r="AF562" s="539"/>
      <c r="AG562" s="537"/>
    </row>
    <row r="563" spans="1:33" ht="10.5" customHeight="1" x14ac:dyDescent="0.2">
      <c r="A563" s="537"/>
      <c r="B563" s="537"/>
      <c r="C563" s="537"/>
      <c r="D563" s="537"/>
      <c r="E563" s="537"/>
      <c r="F563" s="537"/>
      <c r="G563" s="537"/>
      <c r="H563" s="537"/>
      <c r="I563" s="537"/>
      <c r="L563" s="537"/>
      <c r="AA563" s="539"/>
      <c r="AB563" s="539"/>
      <c r="AC563" s="539"/>
      <c r="AD563" s="539"/>
      <c r="AE563" s="539"/>
      <c r="AF563" s="539"/>
      <c r="AG563" s="537"/>
    </row>
    <row r="564" spans="1:33" ht="10.5" customHeight="1" x14ac:dyDescent="0.2">
      <c r="A564" s="537"/>
      <c r="B564" s="537"/>
      <c r="C564" s="537"/>
      <c r="D564" s="537"/>
      <c r="E564" s="537"/>
      <c r="F564" s="537"/>
      <c r="G564" s="537"/>
      <c r="H564" s="537"/>
      <c r="I564" s="537"/>
      <c r="L564" s="537"/>
      <c r="AA564" s="539"/>
      <c r="AB564" s="539"/>
      <c r="AC564" s="539"/>
      <c r="AD564" s="539"/>
      <c r="AE564" s="539"/>
      <c r="AF564" s="539"/>
      <c r="AG564" s="537"/>
    </row>
    <row r="565" spans="1:33" ht="10.5" customHeight="1" x14ac:dyDescent="0.2">
      <c r="A565" s="537"/>
      <c r="B565" s="537"/>
      <c r="C565" s="537"/>
      <c r="D565" s="537"/>
      <c r="E565" s="537"/>
      <c r="F565" s="537"/>
      <c r="G565" s="537"/>
      <c r="H565" s="537"/>
      <c r="I565" s="537"/>
      <c r="L565" s="537"/>
      <c r="AA565" s="539"/>
      <c r="AB565" s="539"/>
      <c r="AC565" s="539"/>
      <c r="AD565" s="539"/>
      <c r="AE565" s="539"/>
      <c r="AF565" s="539"/>
      <c r="AG565" s="537"/>
    </row>
    <row r="566" spans="1:33" ht="10.5" customHeight="1" x14ac:dyDescent="0.2">
      <c r="A566" s="537"/>
      <c r="B566" s="537"/>
      <c r="C566" s="537"/>
      <c r="D566" s="537"/>
      <c r="E566" s="537"/>
      <c r="F566" s="537"/>
      <c r="G566" s="537"/>
      <c r="H566" s="537"/>
      <c r="I566" s="537"/>
      <c r="L566" s="537"/>
      <c r="AA566" s="539"/>
      <c r="AB566" s="539"/>
      <c r="AC566" s="539"/>
      <c r="AD566" s="539"/>
      <c r="AE566" s="539"/>
      <c r="AF566" s="539"/>
      <c r="AG566" s="537"/>
    </row>
    <row r="567" spans="1:33" ht="10.5" customHeight="1" x14ac:dyDescent="0.2">
      <c r="A567" s="537"/>
      <c r="B567" s="537"/>
      <c r="C567" s="537"/>
      <c r="D567" s="537"/>
      <c r="E567" s="537"/>
      <c r="F567" s="537"/>
      <c r="G567" s="537"/>
      <c r="H567" s="537"/>
      <c r="I567" s="537"/>
      <c r="L567" s="537"/>
      <c r="AA567" s="539"/>
      <c r="AB567" s="539"/>
      <c r="AC567" s="539"/>
      <c r="AD567" s="539"/>
      <c r="AE567" s="539"/>
      <c r="AF567" s="539"/>
      <c r="AG567" s="537"/>
    </row>
    <row r="568" spans="1:33" ht="10.5" customHeight="1" x14ac:dyDescent="0.2">
      <c r="A568" s="537"/>
      <c r="B568" s="537"/>
      <c r="C568" s="537"/>
      <c r="D568" s="537"/>
      <c r="E568" s="537"/>
      <c r="F568" s="537"/>
      <c r="G568" s="537"/>
      <c r="H568" s="537"/>
      <c r="I568" s="537"/>
      <c r="L568" s="537"/>
      <c r="AA568" s="539"/>
      <c r="AB568" s="539"/>
      <c r="AC568" s="539"/>
      <c r="AD568" s="539"/>
      <c r="AE568" s="539"/>
      <c r="AF568" s="539"/>
      <c r="AG568" s="537"/>
    </row>
    <row r="569" spans="1:33" ht="10.5" customHeight="1" x14ac:dyDescent="0.2">
      <c r="A569" s="537"/>
      <c r="B569" s="537"/>
      <c r="C569" s="537"/>
      <c r="D569" s="537"/>
      <c r="E569" s="537"/>
      <c r="F569" s="537"/>
      <c r="G569" s="537"/>
      <c r="H569" s="537"/>
      <c r="I569" s="537"/>
      <c r="L569" s="537"/>
      <c r="AA569" s="539"/>
      <c r="AB569" s="539"/>
      <c r="AC569" s="539"/>
      <c r="AD569" s="539"/>
      <c r="AE569" s="539"/>
      <c r="AF569" s="539"/>
      <c r="AG569" s="537"/>
    </row>
    <row r="570" spans="1:33" ht="10.5" customHeight="1" x14ac:dyDescent="0.2">
      <c r="A570" s="537"/>
      <c r="B570" s="537"/>
      <c r="C570" s="537"/>
      <c r="D570" s="537"/>
      <c r="E570" s="537"/>
      <c r="F570" s="537"/>
      <c r="G570" s="537"/>
      <c r="H570" s="537"/>
      <c r="I570" s="537"/>
      <c r="L570" s="537"/>
      <c r="AA570" s="539"/>
      <c r="AB570" s="539"/>
      <c r="AC570" s="539"/>
      <c r="AD570" s="539"/>
      <c r="AE570" s="539"/>
      <c r="AF570" s="539"/>
      <c r="AG570" s="537"/>
    </row>
    <row r="571" spans="1:33" ht="10.5" customHeight="1" x14ac:dyDescent="0.2">
      <c r="A571" s="537"/>
      <c r="B571" s="537"/>
      <c r="C571" s="537"/>
      <c r="D571" s="537"/>
      <c r="E571" s="537"/>
      <c r="F571" s="537"/>
      <c r="G571" s="537"/>
      <c r="H571" s="537"/>
      <c r="I571" s="537"/>
      <c r="L571" s="537"/>
      <c r="AA571" s="539"/>
      <c r="AB571" s="539"/>
      <c r="AC571" s="539"/>
      <c r="AD571" s="539"/>
      <c r="AE571" s="539"/>
      <c r="AF571" s="539"/>
      <c r="AG571" s="537"/>
    </row>
    <row r="572" spans="1:33" ht="10.5" customHeight="1" x14ac:dyDescent="0.2">
      <c r="A572" s="537"/>
      <c r="B572" s="537"/>
      <c r="C572" s="537"/>
      <c r="D572" s="537"/>
      <c r="E572" s="537"/>
      <c r="F572" s="537"/>
      <c r="G572" s="537"/>
      <c r="H572" s="537"/>
      <c r="I572" s="537"/>
      <c r="L572" s="537"/>
      <c r="AA572" s="539"/>
      <c r="AB572" s="539"/>
      <c r="AC572" s="539"/>
      <c r="AD572" s="539"/>
      <c r="AE572" s="539"/>
      <c r="AF572" s="539"/>
      <c r="AG572" s="537"/>
    </row>
    <row r="573" spans="1:33" ht="10.5" customHeight="1" x14ac:dyDescent="0.2">
      <c r="A573" s="537"/>
      <c r="B573" s="537"/>
      <c r="C573" s="537"/>
      <c r="D573" s="537"/>
      <c r="E573" s="537"/>
      <c r="F573" s="537"/>
      <c r="G573" s="537"/>
      <c r="H573" s="537"/>
      <c r="I573" s="537"/>
      <c r="L573" s="537"/>
      <c r="AA573" s="539"/>
      <c r="AB573" s="539"/>
      <c r="AC573" s="539"/>
      <c r="AD573" s="539"/>
      <c r="AE573" s="539"/>
      <c r="AF573" s="539"/>
      <c r="AG573" s="537"/>
    </row>
    <row r="574" spans="1:33" ht="10.5" customHeight="1" x14ac:dyDescent="0.2">
      <c r="A574" s="537"/>
      <c r="B574" s="537"/>
      <c r="C574" s="537"/>
      <c r="D574" s="537"/>
      <c r="E574" s="537"/>
      <c r="F574" s="537"/>
      <c r="G574" s="537"/>
      <c r="H574" s="537"/>
      <c r="I574" s="537"/>
      <c r="L574" s="537"/>
      <c r="AA574" s="539"/>
      <c r="AB574" s="539"/>
      <c r="AC574" s="539"/>
      <c r="AD574" s="539"/>
      <c r="AE574" s="539"/>
      <c r="AF574" s="539"/>
      <c r="AG574" s="537"/>
    </row>
    <row r="575" spans="1:33" ht="10.5" customHeight="1" x14ac:dyDescent="0.2">
      <c r="A575" s="537"/>
      <c r="B575" s="537"/>
      <c r="C575" s="537"/>
      <c r="D575" s="537"/>
      <c r="E575" s="537"/>
      <c r="F575" s="537"/>
      <c r="G575" s="537"/>
      <c r="H575" s="537"/>
      <c r="I575" s="537"/>
      <c r="L575" s="537"/>
      <c r="AA575" s="539"/>
      <c r="AB575" s="539"/>
      <c r="AC575" s="539"/>
      <c r="AD575" s="539"/>
      <c r="AE575" s="539"/>
      <c r="AF575" s="539"/>
      <c r="AG575" s="537"/>
    </row>
    <row r="576" spans="1:33" ht="10.5" customHeight="1" x14ac:dyDescent="0.2">
      <c r="A576" s="537"/>
      <c r="B576" s="537"/>
      <c r="C576" s="537"/>
      <c r="D576" s="537"/>
      <c r="E576" s="537"/>
      <c r="F576" s="537"/>
      <c r="G576" s="537"/>
      <c r="H576" s="537"/>
      <c r="I576" s="537"/>
      <c r="L576" s="537"/>
      <c r="AA576" s="539"/>
      <c r="AB576" s="539"/>
      <c r="AC576" s="539"/>
      <c r="AD576" s="539"/>
      <c r="AE576" s="539"/>
      <c r="AF576" s="539"/>
      <c r="AG576" s="537"/>
    </row>
    <row r="577" spans="1:33" ht="10.5" customHeight="1" x14ac:dyDescent="0.2">
      <c r="A577" s="537"/>
      <c r="B577" s="537"/>
      <c r="C577" s="537"/>
      <c r="D577" s="537"/>
      <c r="E577" s="537"/>
      <c r="F577" s="537"/>
      <c r="G577" s="537"/>
      <c r="H577" s="537"/>
      <c r="I577" s="537"/>
      <c r="L577" s="537"/>
      <c r="AA577" s="539"/>
      <c r="AB577" s="539"/>
      <c r="AC577" s="539"/>
      <c r="AD577" s="539"/>
      <c r="AE577" s="539"/>
      <c r="AF577" s="539"/>
      <c r="AG577" s="537"/>
    </row>
    <row r="578" spans="1:33" ht="10.5" customHeight="1" x14ac:dyDescent="0.2">
      <c r="A578" s="537"/>
      <c r="B578" s="537"/>
      <c r="C578" s="537"/>
      <c r="D578" s="537"/>
      <c r="E578" s="537"/>
      <c r="F578" s="537"/>
      <c r="G578" s="537"/>
      <c r="H578" s="537"/>
      <c r="I578" s="537"/>
      <c r="L578" s="537"/>
      <c r="AA578" s="539"/>
      <c r="AB578" s="539"/>
      <c r="AC578" s="539"/>
      <c r="AD578" s="539"/>
      <c r="AE578" s="539"/>
      <c r="AF578" s="539"/>
      <c r="AG578" s="537"/>
    </row>
    <row r="579" spans="1:33" ht="10.5" customHeight="1" x14ac:dyDescent="0.2">
      <c r="A579" s="537"/>
      <c r="B579" s="537"/>
      <c r="C579" s="537"/>
      <c r="D579" s="537"/>
      <c r="E579" s="537"/>
      <c r="F579" s="537"/>
      <c r="G579" s="537"/>
      <c r="H579" s="537"/>
      <c r="I579" s="537"/>
      <c r="L579" s="537"/>
      <c r="AA579" s="539"/>
      <c r="AB579" s="539"/>
      <c r="AC579" s="539"/>
      <c r="AD579" s="539"/>
      <c r="AE579" s="539"/>
      <c r="AF579" s="539"/>
      <c r="AG579" s="537"/>
    </row>
    <row r="580" spans="1:33" ht="10.5" customHeight="1" x14ac:dyDescent="0.2">
      <c r="A580" s="537"/>
      <c r="B580" s="537"/>
      <c r="C580" s="537"/>
      <c r="D580" s="537"/>
      <c r="E580" s="537"/>
      <c r="F580" s="537"/>
      <c r="G580" s="537"/>
      <c r="H580" s="537"/>
      <c r="I580" s="537"/>
      <c r="L580" s="537"/>
      <c r="AA580" s="539"/>
      <c r="AB580" s="539"/>
      <c r="AC580" s="539"/>
      <c r="AD580" s="539"/>
      <c r="AE580" s="539"/>
      <c r="AF580" s="539"/>
      <c r="AG580" s="537"/>
    </row>
    <row r="581" spans="1:33" ht="10.5" customHeight="1" x14ac:dyDescent="0.2">
      <c r="A581" s="537"/>
      <c r="B581" s="537"/>
      <c r="C581" s="537"/>
      <c r="D581" s="537"/>
      <c r="E581" s="537"/>
      <c r="F581" s="537"/>
      <c r="G581" s="537"/>
      <c r="H581" s="537"/>
      <c r="I581" s="537"/>
      <c r="L581" s="537"/>
      <c r="AA581" s="539"/>
      <c r="AB581" s="539"/>
      <c r="AC581" s="539"/>
      <c r="AD581" s="539"/>
      <c r="AE581" s="539"/>
      <c r="AF581" s="539"/>
      <c r="AG581" s="537"/>
    </row>
    <row r="582" spans="1:33" ht="10.5" customHeight="1" x14ac:dyDescent="0.2">
      <c r="A582" s="537"/>
      <c r="B582" s="537"/>
      <c r="C582" s="537"/>
      <c r="D582" s="537"/>
      <c r="E582" s="537"/>
      <c r="F582" s="537"/>
      <c r="G582" s="537"/>
      <c r="H582" s="537"/>
      <c r="I582" s="537"/>
      <c r="L582" s="537"/>
      <c r="AA582" s="539"/>
      <c r="AB582" s="539"/>
      <c r="AC582" s="539"/>
      <c r="AD582" s="539"/>
      <c r="AE582" s="539"/>
      <c r="AF582" s="539"/>
      <c r="AG582" s="537"/>
    </row>
    <row r="583" spans="1:33" ht="10.5" customHeight="1" x14ac:dyDescent="0.2">
      <c r="A583" s="537"/>
      <c r="B583" s="537"/>
      <c r="C583" s="537"/>
      <c r="D583" s="537"/>
      <c r="E583" s="537"/>
      <c r="F583" s="537"/>
      <c r="G583" s="537"/>
      <c r="H583" s="537"/>
      <c r="I583" s="537"/>
      <c r="L583" s="537"/>
      <c r="AA583" s="539"/>
      <c r="AB583" s="539"/>
      <c r="AC583" s="539"/>
      <c r="AD583" s="539"/>
      <c r="AE583" s="539"/>
      <c r="AF583" s="539"/>
      <c r="AG583" s="537"/>
    </row>
    <row r="584" spans="1:33" ht="10.5" customHeight="1" x14ac:dyDescent="0.2">
      <c r="A584" s="537"/>
      <c r="B584" s="537"/>
      <c r="C584" s="537"/>
      <c r="D584" s="537"/>
      <c r="E584" s="537"/>
      <c r="F584" s="537"/>
      <c r="G584" s="537"/>
      <c r="H584" s="537"/>
      <c r="I584" s="537"/>
      <c r="L584" s="537"/>
      <c r="AA584" s="539"/>
      <c r="AB584" s="539"/>
      <c r="AC584" s="539"/>
      <c r="AD584" s="539"/>
      <c r="AE584" s="539"/>
      <c r="AF584" s="539"/>
      <c r="AG584" s="537"/>
    </row>
    <row r="585" spans="1:33" ht="10.5" customHeight="1" x14ac:dyDescent="0.2">
      <c r="A585" s="537"/>
      <c r="B585" s="537"/>
      <c r="C585" s="537"/>
      <c r="D585" s="537"/>
      <c r="E585" s="537"/>
      <c r="F585" s="537"/>
      <c r="G585" s="537"/>
      <c r="H585" s="537"/>
      <c r="I585" s="537"/>
      <c r="L585" s="537"/>
      <c r="AA585" s="539"/>
      <c r="AB585" s="539"/>
      <c r="AC585" s="539"/>
      <c r="AD585" s="539"/>
      <c r="AE585" s="539"/>
      <c r="AF585" s="539"/>
      <c r="AG585" s="537"/>
    </row>
    <row r="586" spans="1:33" ht="10.5" customHeight="1" x14ac:dyDescent="0.2">
      <c r="A586" s="537"/>
      <c r="B586" s="537"/>
      <c r="C586" s="537"/>
      <c r="D586" s="537"/>
      <c r="E586" s="537"/>
      <c r="F586" s="537"/>
      <c r="G586" s="537"/>
      <c r="H586" s="537"/>
      <c r="I586" s="537"/>
      <c r="L586" s="537"/>
      <c r="AA586" s="539"/>
      <c r="AB586" s="539"/>
      <c r="AC586" s="539"/>
      <c r="AD586" s="539"/>
      <c r="AE586" s="539"/>
      <c r="AF586" s="539"/>
      <c r="AG586" s="537"/>
    </row>
    <row r="587" spans="1:33" ht="10.5" customHeight="1" x14ac:dyDescent="0.2">
      <c r="A587" s="537"/>
      <c r="B587" s="537"/>
      <c r="C587" s="537"/>
      <c r="D587" s="537"/>
      <c r="E587" s="537"/>
      <c r="F587" s="537"/>
      <c r="G587" s="537"/>
      <c r="H587" s="537"/>
      <c r="I587" s="537"/>
      <c r="L587" s="537"/>
      <c r="AA587" s="539"/>
      <c r="AB587" s="539"/>
      <c r="AC587" s="539"/>
      <c r="AD587" s="539"/>
      <c r="AE587" s="539"/>
      <c r="AF587" s="539"/>
      <c r="AG587" s="537"/>
    </row>
    <row r="588" spans="1:33" ht="10.5" customHeight="1" x14ac:dyDescent="0.2">
      <c r="A588" s="537"/>
      <c r="B588" s="537"/>
      <c r="C588" s="537"/>
      <c r="D588" s="537"/>
      <c r="E588" s="537"/>
      <c r="F588" s="537"/>
      <c r="G588" s="537"/>
      <c r="H588" s="537"/>
      <c r="I588" s="537"/>
      <c r="L588" s="537"/>
      <c r="AA588" s="539"/>
      <c r="AB588" s="539"/>
      <c r="AC588" s="539"/>
      <c r="AD588" s="539"/>
      <c r="AE588" s="539"/>
      <c r="AF588" s="539"/>
      <c r="AG588" s="537"/>
    </row>
    <row r="589" spans="1:33" ht="10.5" customHeight="1" x14ac:dyDescent="0.2">
      <c r="A589" s="537"/>
      <c r="B589" s="537"/>
      <c r="C589" s="537"/>
      <c r="D589" s="537"/>
      <c r="E589" s="537"/>
      <c r="F589" s="537"/>
      <c r="G589" s="537"/>
      <c r="H589" s="537"/>
      <c r="I589" s="537"/>
      <c r="L589" s="537"/>
      <c r="AA589" s="539"/>
      <c r="AB589" s="539"/>
      <c r="AC589" s="539"/>
      <c r="AD589" s="539"/>
      <c r="AE589" s="539"/>
      <c r="AF589" s="539"/>
      <c r="AG589" s="537"/>
    </row>
    <row r="590" spans="1:33" ht="10.5" customHeight="1" x14ac:dyDescent="0.2">
      <c r="A590" s="537"/>
      <c r="B590" s="537"/>
      <c r="C590" s="537"/>
      <c r="D590" s="537"/>
      <c r="E590" s="537"/>
      <c r="F590" s="537"/>
      <c r="G590" s="537"/>
      <c r="H590" s="537"/>
      <c r="I590" s="537"/>
      <c r="L590" s="537"/>
      <c r="AA590" s="539"/>
      <c r="AB590" s="539"/>
      <c r="AC590" s="539"/>
      <c r="AD590" s="539"/>
      <c r="AE590" s="539"/>
      <c r="AF590" s="539"/>
      <c r="AG590" s="537"/>
    </row>
    <row r="591" spans="1:33" ht="10.5" customHeight="1" x14ac:dyDescent="0.2">
      <c r="A591" s="537"/>
      <c r="B591" s="537"/>
      <c r="C591" s="537"/>
      <c r="D591" s="537"/>
      <c r="E591" s="537"/>
      <c r="F591" s="537"/>
      <c r="G591" s="537"/>
      <c r="H591" s="537"/>
      <c r="I591" s="537"/>
      <c r="L591" s="537"/>
      <c r="AA591" s="539"/>
      <c r="AB591" s="539"/>
      <c r="AC591" s="539"/>
      <c r="AD591" s="539"/>
      <c r="AE591" s="539"/>
      <c r="AF591" s="539"/>
      <c r="AG591" s="537"/>
    </row>
    <row r="592" spans="1:33" ht="10.5" customHeight="1" x14ac:dyDescent="0.2">
      <c r="A592" s="537"/>
      <c r="B592" s="537"/>
      <c r="C592" s="537"/>
      <c r="D592" s="537"/>
      <c r="E592" s="537"/>
      <c r="F592" s="537"/>
      <c r="G592" s="537"/>
      <c r="H592" s="537"/>
      <c r="I592" s="537"/>
      <c r="L592" s="537"/>
      <c r="AA592" s="539"/>
      <c r="AB592" s="539"/>
      <c r="AC592" s="539"/>
      <c r="AD592" s="539"/>
      <c r="AE592" s="539"/>
      <c r="AF592" s="539"/>
      <c r="AG592" s="537"/>
    </row>
    <row r="593" spans="1:33" ht="10.5" customHeight="1" x14ac:dyDescent="0.2">
      <c r="A593" s="537"/>
      <c r="B593" s="537"/>
      <c r="C593" s="537"/>
      <c r="D593" s="537"/>
      <c r="E593" s="537"/>
      <c r="F593" s="537"/>
      <c r="G593" s="537"/>
      <c r="H593" s="537"/>
      <c r="I593" s="537"/>
      <c r="L593" s="537"/>
      <c r="AA593" s="539"/>
      <c r="AB593" s="539"/>
      <c r="AC593" s="539"/>
      <c r="AD593" s="539"/>
      <c r="AE593" s="539"/>
      <c r="AF593" s="539"/>
      <c r="AG593" s="537"/>
    </row>
    <row r="594" spans="1:33" ht="10.5" customHeight="1" x14ac:dyDescent="0.2">
      <c r="A594" s="537"/>
      <c r="B594" s="537"/>
      <c r="C594" s="537"/>
      <c r="D594" s="537"/>
      <c r="E594" s="537"/>
      <c r="F594" s="537"/>
      <c r="G594" s="537"/>
      <c r="H594" s="537"/>
      <c r="I594" s="537"/>
      <c r="L594" s="537"/>
      <c r="AA594" s="539"/>
      <c r="AB594" s="539"/>
      <c r="AC594" s="539"/>
      <c r="AD594" s="539"/>
      <c r="AE594" s="539"/>
      <c r="AF594" s="539"/>
      <c r="AG594" s="537"/>
    </row>
    <row r="595" spans="1:33" ht="10.5" customHeight="1" x14ac:dyDescent="0.2">
      <c r="A595" s="537"/>
      <c r="B595" s="537"/>
      <c r="C595" s="537"/>
      <c r="D595" s="537"/>
      <c r="E595" s="537"/>
      <c r="F595" s="537"/>
      <c r="G595" s="537"/>
      <c r="H595" s="537"/>
      <c r="I595" s="537"/>
      <c r="L595" s="537"/>
      <c r="AA595" s="539"/>
      <c r="AB595" s="539"/>
      <c r="AC595" s="539"/>
      <c r="AD595" s="539"/>
      <c r="AE595" s="539"/>
      <c r="AF595" s="539"/>
      <c r="AG595" s="537"/>
    </row>
    <row r="596" spans="1:33" ht="10.5" customHeight="1" x14ac:dyDescent="0.2">
      <c r="A596" s="537"/>
      <c r="B596" s="537"/>
      <c r="C596" s="537"/>
      <c r="D596" s="537"/>
      <c r="E596" s="537"/>
      <c r="F596" s="537"/>
      <c r="G596" s="537"/>
      <c r="H596" s="537"/>
      <c r="I596" s="537"/>
      <c r="L596" s="537"/>
      <c r="AA596" s="539"/>
      <c r="AB596" s="539"/>
      <c r="AC596" s="539"/>
      <c r="AD596" s="539"/>
      <c r="AE596" s="539"/>
      <c r="AF596" s="539"/>
      <c r="AG596" s="537"/>
    </row>
    <row r="597" spans="1:33" ht="10.5" customHeight="1" x14ac:dyDescent="0.2">
      <c r="A597" s="537"/>
      <c r="B597" s="537"/>
      <c r="C597" s="537"/>
      <c r="D597" s="537"/>
      <c r="E597" s="537"/>
      <c r="F597" s="537"/>
      <c r="G597" s="537"/>
      <c r="H597" s="537"/>
      <c r="I597" s="537"/>
      <c r="L597" s="537"/>
      <c r="AA597" s="539"/>
      <c r="AB597" s="539"/>
      <c r="AC597" s="539"/>
      <c r="AD597" s="539"/>
      <c r="AE597" s="539"/>
      <c r="AF597" s="539"/>
      <c r="AG597" s="537"/>
    </row>
    <row r="598" spans="1:33" ht="10.5" customHeight="1" x14ac:dyDescent="0.2">
      <c r="A598" s="537"/>
      <c r="B598" s="537"/>
      <c r="C598" s="537"/>
      <c r="D598" s="537"/>
      <c r="E598" s="537"/>
      <c r="F598" s="537"/>
      <c r="G598" s="537"/>
      <c r="H598" s="537"/>
      <c r="I598" s="537"/>
      <c r="L598" s="537"/>
      <c r="AA598" s="539"/>
      <c r="AB598" s="539"/>
      <c r="AC598" s="539"/>
      <c r="AD598" s="539"/>
      <c r="AE598" s="539"/>
      <c r="AF598" s="539"/>
      <c r="AG598" s="537"/>
    </row>
    <row r="599" spans="1:33" ht="10.5" customHeight="1" x14ac:dyDescent="0.2">
      <c r="A599" s="537"/>
      <c r="B599" s="537"/>
      <c r="C599" s="537"/>
      <c r="D599" s="537"/>
      <c r="E599" s="537"/>
      <c r="F599" s="537"/>
      <c r="G599" s="537"/>
      <c r="H599" s="537"/>
      <c r="I599" s="537"/>
      <c r="L599" s="537"/>
      <c r="AA599" s="539"/>
      <c r="AB599" s="539"/>
      <c r="AC599" s="539"/>
      <c r="AD599" s="539"/>
      <c r="AE599" s="539"/>
      <c r="AF599" s="539"/>
      <c r="AG599" s="537"/>
    </row>
    <row r="600" spans="1:33" ht="10.5" customHeight="1" x14ac:dyDescent="0.2">
      <c r="A600" s="537"/>
      <c r="B600" s="537"/>
      <c r="C600" s="537"/>
      <c r="D600" s="537"/>
      <c r="E600" s="537"/>
      <c r="F600" s="537"/>
      <c r="G600" s="537"/>
      <c r="H600" s="537"/>
      <c r="I600" s="537"/>
      <c r="L600" s="537"/>
      <c r="AA600" s="539"/>
      <c r="AB600" s="539"/>
      <c r="AC600" s="539"/>
      <c r="AD600" s="539"/>
      <c r="AE600" s="539"/>
      <c r="AF600" s="539"/>
      <c r="AG600" s="537"/>
    </row>
    <row r="601" spans="1:33" ht="10.5" customHeight="1" x14ac:dyDescent="0.2">
      <c r="A601" s="537"/>
      <c r="B601" s="537"/>
      <c r="C601" s="537"/>
      <c r="D601" s="537"/>
      <c r="E601" s="537"/>
      <c r="F601" s="537"/>
      <c r="G601" s="537"/>
      <c r="H601" s="537"/>
      <c r="I601" s="537"/>
      <c r="L601" s="537"/>
      <c r="AA601" s="539"/>
      <c r="AB601" s="539"/>
      <c r="AC601" s="539"/>
      <c r="AD601" s="539"/>
      <c r="AE601" s="539"/>
      <c r="AF601" s="539"/>
      <c r="AG601" s="537"/>
    </row>
    <row r="602" spans="1:33" ht="10.5" customHeight="1" x14ac:dyDescent="0.2">
      <c r="A602" s="537"/>
      <c r="B602" s="537"/>
      <c r="C602" s="537"/>
      <c r="D602" s="537"/>
      <c r="E602" s="537"/>
      <c r="F602" s="537"/>
      <c r="G602" s="537"/>
      <c r="H602" s="537"/>
      <c r="I602" s="537"/>
      <c r="L602" s="537"/>
      <c r="AA602" s="539"/>
      <c r="AB602" s="539"/>
      <c r="AC602" s="539"/>
      <c r="AD602" s="539"/>
      <c r="AE602" s="539"/>
      <c r="AF602" s="539"/>
      <c r="AG602" s="537"/>
    </row>
    <row r="603" spans="1:33" ht="10.5" customHeight="1" x14ac:dyDescent="0.2">
      <c r="A603" s="537"/>
      <c r="B603" s="537"/>
      <c r="C603" s="537"/>
      <c r="D603" s="537"/>
      <c r="E603" s="537"/>
      <c r="F603" s="537"/>
      <c r="G603" s="537"/>
      <c r="H603" s="537"/>
      <c r="I603" s="537"/>
      <c r="L603" s="537"/>
      <c r="AA603" s="539"/>
      <c r="AB603" s="539"/>
      <c r="AC603" s="539"/>
      <c r="AD603" s="539"/>
      <c r="AE603" s="539"/>
      <c r="AF603" s="539"/>
      <c r="AG603" s="537"/>
    </row>
    <row r="604" spans="1:33" ht="10.5" customHeight="1" x14ac:dyDescent="0.2">
      <c r="A604" s="537"/>
      <c r="B604" s="537"/>
      <c r="C604" s="537"/>
      <c r="D604" s="537"/>
      <c r="E604" s="537"/>
      <c r="F604" s="537"/>
      <c r="G604" s="537"/>
      <c r="H604" s="537"/>
      <c r="I604" s="537"/>
      <c r="L604" s="537"/>
      <c r="AA604" s="539"/>
      <c r="AB604" s="539"/>
      <c r="AC604" s="539"/>
      <c r="AD604" s="539"/>
      <c r="AE604" s="539"/>
      <c r="AF604" s="539"/>
      <c r="AG604" s="537"/>
    </row>
    <row r="605" spans="1:33" ht="10.5" customHeight="1" x14ac:dyDescent="0.2">
      <c r="A605" s="537"/>
      <c r="B605" s="537"/>
      <c r="C605" s="537"/>
      <c r="D605" s="537"/>
      <c r="E605" s="537"/>
      <c r="F605" s="537"/>
      <c r="G605" s="537"/>
      <c r="H605" s="537"/>
      <c r="I605" s="537"/>
      <c r="L605" s="537"/>
      <c r="AA605" s="539"/>
      <c r="AB605" s="539"/>
      <c r="AC605" s="539"/>
      <c r="AD605" s="539"/>
      <c r="AE605" s="539"/>
      <c r="AF605" s="539"/>
      <c r="AG605" s="537"/>
    </row>
    <row r="606" spans="1:33" ht="10.5" customHeight="1" x14ac:dyDescent="0.2">
      <c r="A606" s="537"/>
      <c r="B606" s="537"/>
      <c r="C606" s="537"/>
      <c r="D606" s="537"/>
      <c r="E606" s="537"/>
      <c r="F606" s="537"/>
      <c r="G606" s="537"/>
      <c r="H606" s="537"/>
      <c r="I606" s="537"/>
      <c r="L606" s="537"/>
      <c r="AA606" s="539"/>
      <c r="AB606" s="539"/>
      <c r="AC606" s="539"/>
      <c r="AD606" s="539"/>
      <c r="AE606" s="539"/>
      <c r="AF606" s="539"/>
      <c r="AG606" s="537"/>
    </row>
    <row r="607" spans="1:33" ht="10.5" customHeight="1" x14ac:dyDescent="0.2">
      <c r="A607" s="537"/>
      <c r="B607" s="537"/>
      <c r="C607" s="537"/>
      <c r="D607" s="537"/>
      <c r="E607" s="537"/>
      <c r="F607" s="537"/>
      <c r="G607" s="537"/>
      <c r="H607" s="537"/>
      <c r="I607" s="537"/>
      <c r="L607" s="537"/>
      <c r="AA607" s="539"/>
      <c r="AB607" s="539"/>
      <c r="AC607" s="539"/>
      <c r="AD607" s="539"/>
      <c r="AE607" s="539"/>
      <c r="AF607" s="539"/>
      <c r="AG607" s="537"/>
    </row>
    <row r="608" spans="1:33" ht="10.5" customHeight="1" x14ac:dyDescent="0.2">
      <c r="A608" s="537"/>
      <c r="B608" s="537"/>
      <c r="C608" s="537"/>
      <c r="D608" s="537"/>
      <c r="E608" s="537"/>
      <c r="F608" s="537"/>
      <c r="G608" s="537"/>
      <c r="H608" s="537"/>
      <c r="I608" s="537"/>
      <c r="L608" s="537"/>
      <c r="AA608" s="539"/>
      <c r="AB608" s="539"/>
      <c r="AC608" s="539"/>
      <c r="AD608" s="539"/>
      <c r="AE608" s="539"/>
      <c r="AF608" s="539"/>
      <c r="AG608" s="537"/>
    </row>
    <row r="609" spans="1:33" ht="10.5" customHeight="1" x14ac:dyDescent="0.2">
      <c r="A609" s="537"/>
      <c r="B609" s="537"/>
      <c r="C609" s="537"/>
      <c r="D609" s="537"/>
      <c r="E609" s="537"/>
      <c r="F609" s="537"/>
      <c r="G609" s="537"/>
      <c r="H609" s="537"/>
      <c r="I609" s="537"/>
      <c r="L609" s="537"/>
      <c r="AA609" s="539"/>
      <c r="AB609" s="539"/>
      <c r="AC609" s="539"/>
      <c r="AD609" s="539"/>
      <c r="AE609" s="539"/>
      <c r="AF609" s="539"/>
      <c r="AG609" s="537"/>
    </row>
    <row r="610" spans="1:33" ht="10.5" customHeight="1" x14ac:dyDescent="0.2">
      <c r="A610" s="537"/>
      <c r="B610" s="537"/>
      <c r="C610" s="537"/>
      <c r="D610" s="537"/>
      <c r="E610" s="537"/>
      <c r="F610" s="537"/>
      <c r="G610" s="537"/>
      <c r="H610" s="537"/>
      <c r="I610" s="537"/>
      <c r="L610" s="537"/>
      <c r="AA610" s="539"/>
      <c r="AB610" s="539"/>
      <c r="AC610" s="539"/>
      <c r="AD610" s="539"/>
      <c r="AE610" s="539"/>
      <c r="AF610" s="539"/>
      <c r="AG610" s="537"/>
    </row>
    <row r="611" spans="1:33" ht="10.5" customHeight="1" x14ac:dyDescent="0.2">
      <c r="A611" s="537"/>
      <c r="B611" s="537"/>
      <c r="C611" s="537"/>
      <c r="D611" s="537"/>
      <c r="E611" s="537"/>
      <c r="F611" s="537"/>
      <c r="G611" s="537"/>
      <c r="H611" s="537"/>
      <c r="I611" s="537"/>
      <c r="L611" s="537"/>
      <c r="AA611" s="539"/>
      <c r="AB611" s="539"/>
      <c r="AC611" s="539"/>
      <c r="AD611" s="539"/>
      <c r="AE611" s="539"/>
      <c r="AF611" s="539"/>
      <c r="AG611" s="537"/>
    </row>
    <row r="612" spans="1:33" ht="10.5" customHeight="1" x14ac:dyDescent="0.2">
      <c r="A612" s="537"/>
      <c r="B612" s="537"/>
      <c r="C612" s="537"/>
      <c r="D612" s="537"/>
      <c r="E612" s="537"/>
      <c r="F612" s="537"/>
      <c r="G612" s="537"/>
      <c r="H612" s="537"/>
      <c r="I612" s="537"/>
      <c r="L612" s="537"/>
      <c r="AA612" s="539"/>
      <c r="AB612" s="539"/>
      <c r="AC612" s="539"/>
      <c r="AD612" s="539"/>
      <c r="AE612" s="539"/>
      <c r="AF612" s="539"/>
      <c r="AG612" s="537"/>
    </row>
    <row r="613" spans="1:33" ht="10.5" customHeight="1" x14ac:dyDescent="0.2">
      <c r="A613" s="537"/>
      <c r="B613" s="537"/>
      <c r="C613" s="537"/>
      <c r="D613" s="537"/>
      <c r="E613" s="537"/>
      <c r="F613" s="537"/>
      <c r="G613" s="537"/>
      <c r="H613" s="537"/>
      <c r="I613" s="537"/>
      <c r="L613" s="537"/>
      <c r="AA613" s="539"/>
      <c r="AB613" s="539"/>
      <c r="AC613" s="539"/>
      <c r="AD613" s="539"/>
      <c r="AE613" s="539"/>
      <c r="AF613" s="539"/>
      <c r="AG613" s="537"/>
    </row>
    <row r="614" spans="1:33" ht="10.5" customHeight="1" x14ac:dyDescent="0.2">
      <c r="A614" s="537"/>
      <c r="B614" s="537"/>
      <c r="C614" s="537"/>
      <c r="D614" s="537"/>
      <c r="E614" s="537"/>
      <c r="F614" s="537"/>
      <c r="G614" s="537"/>
      <c r="H614" s="537"/>
      <c r="I614" s="537"/>
      <c r="L614" s="537"/>
      <c r="AA614" s="539"/>
      <c r="AB614" s="539"/>
      <c r="AC614" s="539"/>
      <c r="AD614" s="539"/>
      <c r="AE614" s="539"/>
      <c r="AF614" s="539"/>
      <c r="AG614" s="537"/>
    </row>
    <row r="615" spans="1:33" ht="10.5" customHeight="1" x14ac:dyDescent="0.2">
      <c r="A615" s="537"/>
      <c r="B615" s="537"/>
      <c r="C615" s="537"/>
      <c r="D615" s="537"/>
      <c r="E615" s="537"/>
      <c r="F615" s="537"/>
      <c r="G615" s="537"/>
      <c r="H615" s="537"/>
      <c r="I615" s="537"/>
      <c r="L615" s="537"/>
      <c r="AA615" s="539"/>
      <c r="AB615" s="539"/>
      <c r="AC615" s="539"/>
      <c r="AD615" s="539"/>
      <c r="AE615" s="539"/>
      <c r="AF615" s="539"/>
      <c r="AG615" s="537"/>
    </row>
    <row r="616" spans="1:33" ht="10.5" customHeight="1" x14ac:dyDescent="0.2">
      <c r="A616" s="537"/>
      <c r="B616" s="537"/>
      <c r="C616" s="537"/>
      <c r="D616" s="537"/>
      <c r="E616" s="537"/>
      <c r="F616" s="537"/>
      <c r="G616" s="537"/>
      <c r="H616" s="537"/>
      <c r="I616" s="537"/>
      <c r="L616" s="537"/>
      <c r="AA616" s="539"/>
      <c r="AB616" s="539"/>
      <c r="AC616" s="539"/>
      <c r="AD616" s="539"/>
      <c r="AE616" s="539"/>
      <c r="AF616" s="539"/>
      <c r="AG616" s="537"/>
    </row>
    <row r="617" spans="1:33" ht="10.5" customHeight="1" x14ac:dyDescent="0.2">
      <c r="A617" s="537"/>
      <c r="B617" s="537"/>
      <c r="C617" s="537"/>
      <c r="D617" s="537"/>
      <c r="E617" s="537"/>
      <c r="F617" s="537"/>
      <c r="G617" s="537"/>
      <c r="H617" s="537"/>
      <c r="I617" s="537"/>
      <c r="L617" s="537"/>
      <c r="AA617" s="539"/>
      <c r="AB617" s="539"/>
      <c r="AC617" s="539"/>
      <c r="AD617" s="539"/>
      <c r="AE617" s="539"/>
      <c r="AF617" s="539"/>
      <c r="AG617" s="537"/>
    </row>
    <row r="618" spans="1:33" ht="10.5" customHeight="1" x14ac:dyDescent="0.2">
      <c r="A618" s="537"/>
      <c r="B618" s="537"/>
      <c r="C618" s="537"/>
      <c r="D618" s="537"/>
      <c r="E618" s="537"/>
      <c r="F618" s="537"/>
      <c r="G618" s="537"/>
      <c r="H618" s="537"/>
      <c r="I618" s="537"/>
      <c r="L618" s="537"/>
      <c r="AA618" s="539"/>
      <c r="AB618" s="539"/>
      <c r="AC618" s="539"/>
      <c r="AD618" s="539"/>
      <c r="AE618" s="539"/>
      <c r="AF618" s="539"/>
      <c r="AG618" s="537"/>
    </row>
    <row r="619" spans="1:33" ht="10.5" customHeight="1" x14ac:dyDescent="0.2">
      <c r="A619" s="537"/>
      <c r="B619" s="537"/>
      <c r="C619" s="537"/>
      <c r="D619" s="537"/>
      <c r="E619" s="537"/>
      <c r="F619" s="537"/>
      <c r="G619" s="537"/>
      <c r="H619" s="537"/>
      <c r="I619" s="537"/>
      <c r="L619" s="537"/>
      <c r="AA619" s="539"/>
      <c r="AB619" s="539"/>
      <c r="AC619" s="539"/>
      <c r="AD619" s="539"/>
      <c r="AE619" s="539"/>
      <c r="AF619" s="539"/>
      <c r="AG619" s="537"/>
    </row>
    <row r="620" spans="1:33" ht="10.5" customHeight="1" x14ac:dyDescent="0.2">
      <c r="A620" s="537"/>
      <c r="B620" s="537"/>
      <c r="C620" s="537"/>
      <c r="D620" s="537"/>
      <c r="E620" s="537"/>
      <c r="F620" s="537"/>
      <c r="G620" s="537"/>
      <c r="H620" s="537"/>
      <c r="I620" s="537"/>
      <c r="L620" s="537"/>
      <c r="AA620" s="539"/>
      <c r="AB620" s="539"/>
      <c r="AC620" s="539"/>
      <c r="AD620" s="539"/>
      <c r="AE620" s="539"/>
      <c r="AF620" s="539"/>
      <c r="AG620" s="537"/>
    </row>
    <row r="621" spans="1:33" ht="10.5" customHeight="1" x14ac:dyDescent="0.2">
      <c r="A621" s="537"/>
      <c r="B621" s="537"/>
      <c r="C621" s="537"/>
      <c r="D621" s="537"/>
      <c r="E621" s="537"/>
      <c r="F621" s="537"/>
      <c r="G621" s="537"/>
      <c r="H621" s="537"/>
      <c r="I621" s="537"/>
      <c r="L621" s="537"/>
      <c r="AA621" s="539"/>
      <c r="AB621" s="539"/>
      <c r="AC621" s="539"/>
      <c r="AD621" s="539"/>
      <c r="AE621" s="539"/>
      <c r="AF621" s="539"/>
      <c r="AG621" s="537"/>
    </row>
    <row r="622" spans="1:33" ht="10.5" customHeight="1" x14ac:dyDescent="0.2">
      <c r="A622" s="537"/>
      <c r="B622" s="537"/>
      <c r="C622" s="537"/>
      <c r="D622" s="537"/>
      <c r="E622" s="537"/>
      <c r="F622" s="537"/>
      <c r="G622" s="537"/>
      <c r="H622" s="537"/>
      <c r="I622" s="537"/>
      <c r="L622" s="537"/>
      <c r="AA622" s="539"/>
      <c r="AB622" s="539"/>
      <c r="AC622" s="539"/>
      <c r="AD622" s="539"/>
      <c r="AE622" s="539"/>
      <c r="AF622" s="539"/>
      <c r="AG622" s="537"/>
    </row>
    <row r="623" spans="1:33" ht="10.5" customHeight="1" x14ac:dyDescent="0.2">
      <c r="A623" s="537"/>
      <c r="B623" s="537"/>
      <c r="C623" s="537"/>
      <c r="D623" s="537"/>
      <c r="E623" s="537"/>
      <c r="F623" s="537"/>
      <c r="G623" s="537"/>
      <c r="H623" s="537"/>
      <c r="I623" s="537"/>
      <c r="L623" s="537"/>
      <c r="AA623" s="539"/>
      <c r="AB623" s="539"/>
      <c r="AC623" s="539"/>
      <c r="AD623" s="539"/>
      <c r="AE623" s="539"/>
      <c r="AF623" s="539"/>
      <c r="AG623" s="537"/>
    </row>
    <row r="624" spans="1:33" ht="10.5" customHeight="1" x14ac:dyDescent="0.2">
      <c r="A624" s="537"/>
      <c r="B624" s="537"/>
      <c r="C624" s="537"/>
      <c r="D624" s="537"/>
      <c r="E624" s="537"/>
      <c r="F624" s="537"/>
      <c r="G624" s="537"/>
      <c r="H624" s="537"/>
      <c r="I624" s="537"/>
      <c r="L624" s="537"/>
      <c r="AA624" s="539"/>
      <c r="AB624" s="539"/>
      <c r="AC624" s="539"/>
      <c r="AD624" s="539"/>
      <c r="AE624" s="539"/>
      <c r="AF624" s="539"/>
      <c r="AG624" s="537"/>
    </row>
    <row r="625" spans="1:33" ht="10.5" customHeight="1" x14ac:dyDescent="0.2">
      <c r="A625" s="537"/>
      <c r="B625" s="537"/>
      <c r="C625" s="537"/>
      <c r="D625" s="537"/>
      <c r="E625" s="537"/>
      <c r="F625" s="537"/>
      <c r="G625" s="537"/>
      <c r="H625" s="537"/>
      <c r="I625" s="537"/>
      <c r="L625" s="537"/>
      <c r="AA625" s="539"/>
      <c r="AB625" s="539"/>
      <c r="AC625" s="539"/>
      <c r="AD625" s="539"/>
      <c r="AE625" s="539"/>
      <c r="AF625" s="539"/>
      <c r="AG625" s="537"/>
    </row>
    <row r="626" spans="1:33" ht="10.5" customHeight="1" x14ac:dyDescent="0.2">
      <c r="A626" s="537"/>
      <c r="B626" s="537"/>
      <c r="C626" s="537"/>
      <c r="D626" s="537"/>
      <c r="E626" s="537"/>
      <c r="F626" s="537"/>
      <c r="G626" s="537"/>
      <c r="H626" s="537"/>
      <c r="I626" s="537"/>
      <c r="L626" s="537"/>
      <c r="AA626" s="539"/>
      <c r="AB626" s="539"/>
      <c r="AC626" s="539"/>
      <c r="AD626" s="539"/>
      <c r="AE626" s="539"/>
      <c r="AF626" s="539"/>
      <c r="AG626" s="537"/>
    </row>
    <row r="627" spans="1:33" ht="10.5" customHeight="1" x14ac:dyDescent="0.2">
      <c r="A627" s="537"/>
      <c r="B627" s="537"/>
      <c r="C627" s="537"/>
      <c r="D627" s="537"/>
      <c r="E627" s="537"/>
      <c r="F627" s="537"/>
      <c r="G627" s="537"/>
      <c r="H627" s="537"/>
      <c r="I627" s="537"/>
      <c r="L627" s="537"/>
      <c r="AA627" s="539"/>
      <c r="AB627" s="539"/>
      <c r="AC627" s="539"/>
      <c r="AD627" s="539"/>
      <c r="AE627" s="539"/>
      <c r="AF627" s="539"/>
      <c r="AG627" s="537"/>
    </row>
    <row r="628" spans="1:33" ht="10.5" customHeight="1" x14ac:dyDescent="0.2">
      <c r="A628" s="537"/>
      <c r="B628" s="537"/>
      <c r="C628" s="537"/>
      <c r="D628" s="537"/>
      <c r="E628" s="537"/>
      <c r="F628" s="537"/>
      <c r="G628" s="537"/>
      <c r="H628" s="537"/>
      <c r="I628" s="537"/>
      <c r="L628" s="537"/>
      <c r="AA628" s="539"/>
      <c r="AB628" s="539"/>
      <c r="AC628" s="539"/>
      <c r="AD628" s="539"/>
      <c r="AE628" s="539"/>
      <c r="AF628" s="539"/>
      <c r="AG628" s="537"/>
    </row>
    <row r="629" spans="1:33" ht="10.5" customHeight="1" x14ac:dyDescent="0.2">
      <c r="A629" s="537"/>
      <c r="B629" s="537"/>
      <c r="C629" s="537"/>
      <c r="D629" s="537"/>
      <c r="E629" s="537"/>
      <c r="F629" s="537"/>
      <c r="G629" s="537"/>
      <c r="H629" s="537"/>
      <c r="I629" s="537"/>
      <c r="L629" s="537"/>
      <c r="AA629" s="539"/>
      <c r="AB629" s="539"/>
      <c r="AC629" s="539"/>
      <c r="AD629" s="539"/>
      <c r="AE629" s="539"/>
      <c r="AF629" s="539"/>
      <c r="AG629" s="537"/>
    </row>
    <row r="630" spans="1:33" ht="10.5" customHeight="1" x14ac:dyDescent="0.2">
      <c r="A630" s="537"/>
      <c r="B630" s="537"/>
      <c r="C630" s="537"/>
      <c r="D630" s="537"/>
      <c r="E630" s="537"/>
      <c r="F630" s="537"/>
      <c r="G630" s="537"/>
      <c r="H630" s="537"/>
      <c r="I630" s="537"/>
      <c r="L630" s="537"/>
      <c r="AA630" s="539"/>
      <c r="AB630" s="539"/>
      <c r="AC630" s="539"/>
      <c r="AD630" s="539"/>
      <c r="AE630" s="539"/>
      <c r="AF630" s="539"/>
      <c r="AG630" s="537"/>
    </row>
    <row r="631" spans="1:33" ht="10.5" customHeight="1" x14ac:dyDescent="0.2">
      <c r="A631" s="537"/>
      <c r="B631" s="537"/>
      <c r="C631" s="537"/>
      <c r="D631" s="537"/>
      <c r="E631" s="537"/>
      <c r="F631" s="537"/>
      <c r="G631" s="537"/>
      <c r="H631" s="537"/>
      <c r="I631" s="537"/>
      <c r="L631" s="537"/>
      <c r="AA631" s="539"/>
      <c r="AB631" s="539"/>
      <c r="AC631" s="539"/>
      <c r="AD631" s="539"/>
      <c r="AE631" s="539"/>
      <c r="AF631" s="539"/>
      <c r="AG631" s="537"/>
    </row>
    <row r="632" spans="1:33" ht="10.5" customHeight="1" x14ac:dyDescent="0.2">
      <c r="A632" s="537"/>
      <c r="B632" s="537"/>
      <c r="C632" s="537"/>
      <c r="D632" s="537"/>
      <c r="E632" s="537"/>
      <c r="F632" s="537"/>
      <c r="G632" s="537"/>
      <c r="H632" s="537"/>
      <c r="I632" s="537"/>
      <c r="L632" s="537"/>
      <c r="AA632" s="539"/>
      <c r="AB632" s="539"/>
      <c r="AC632" s="539"/>
      <c r="AD632" s="539"/>
      <c r="AE632" s="539"/>
      <c r="AF632" s="539"/>
      <c r="AG632" s="537"/>
    </row>
    <row r="633" spans="1:33" ht="10.5" customHeight="1" x14ac:dyDescent="0.2">
      <c r="A633" s="537"/>
      <c r="B633" s="537"/>
      <c r="C633" s="537"/>
      <c r="D633" s="537"/>
      <c r="E633" s="537"/>
      <c r="F633" s="537"/>
      <c r="G633" s="537"/>
      <c r="H633" s="537"/>
      <c r="I633" s="537"/>
      <c r="L633" s="537"/>
      <c r="AA633" s="539"/>
      <c r="AB633" s="539"/>
      <c r="AC633" s="539"/>
      <c r="AD633" s="539"/>
      <c r="AE633" s="539"/>
      <c r="AF633" s="539"/>
      <c r="AG633" s="537"/>
    </row>
    <row r="634" spans="1:33" ht="10.5" customHeight="1" x14ac:dyDescent="0.2">
      <c r="A634" s="537"/>
      <c r="B634" s="537"/>
      <c r="C634" s="537"/>
      <c r="D634" s="537"/>
      <c r="E634" s="537"/>
      <c r="F634" s="537"/>
      <c r="G634" s="537"/>
      <c r="H634" s="537"/>
      <c r="I634" s="537"/>
      <c r="L634" s="537"/>
      <c r="AA634" s="539"/>
      <c r="AB634" s="539"/>
      <c r="AC634" s="539"/>
      <c r="AD634" s="539"/>
      <c r="AE634" s="539"/>
      <c r="AF634" s="539"/>
      <c r="AG634" s="537"/>
    </row>
    <row r="635" spans="1:33" ht="10.5" customHeight="1" x14ac:dyDescent="0.2">
      <c r="A635" s="537"/>
      <c r="B635" s="537"/>
      <c r="C635" s="537"/>
      <c r="D635" s="537"/>
      <c r="E635" s="537"/>
      <c r="F635" s="537"/>
      <c r="G635" s="537"/>
      <c r="H635" s="537"/>
      <c r="I635" s="537"/>
      <c r="L635" s="537"/>
      <c r="AA635" s="539"/>
      <c r="AB635" s="539"/>
      <c r="AC635" s="539"/>
      <c r="AD635" s="539"/>
      <c r="AE635" s="539"/>
      <c r="AF635" s="539"/>
      <c r="AG635" s="537"/>
    </row>
    <row r="636" spans="1:33" ht="10.5" customHeight="1" x14ac:dyDescent="0.2">
      <c r="A636" s="537"/>
      <c r="B636" s="537"/>
      <c r="C636" s="537"/>
      <c r="D636" s="537"/>
      <c r="E636" s="537"/>
      <c r="F636" s="537"/>
      <c r="G636" s="537"/>
      <c r="H636" s="537"/>
      <c r="I636" s="537"/>
      <c r="L636" s="537"/>
      <c r="AA636" s="539"/>
      <c r="AB636" s="539"/>
      <c r="AC636" s="539"/>
      <c r="AD636" s="539"/>
      <c r="AE636" s="539"/>
      <c r="AF636" s="539"/>
      <c r="AG636" s="537"/>
    </row>
    <row r="637" spans="1:33" ht="10.5" customHeight="1" x14ac:dyDescent="0.2">
      <c r="A637" s="537"/>
      <c r="B637" s="537"/>
      <c r="C637" s="537"/>
      <c r="D637" s="537"/>
      <c r="E637" s="537"/>
      <c r="F637" s="537"/>
      <c r="G637" s="537"/>
      <c r="H637" s="537"/>
      <c r="I637" s="537"/>
      <c r="L637" s="537"/>
      <c r="AA637" s="539"/>
      <c r="AB637" s="539"/>
      <c r="AC637" s="539"/>
      <c r="AD637" s="539"/>
      <c r="AE637" s="539"/>
      <c r="AF637" s="539"/>
      <c r="AG637" s="537"/>
    </row>
    <row r="638" spans="1:33" ht="10.5" customHeight="1" x14ac:dyDescent="0.2">
      <c r="A638" s="537"/>
      <c r="B638" s="537"/>
      <c r="C638" s="537"/>
      <c r="D638" s="537"/>
      <c r="E638" s="537"/>
      <c r="F638" s="537"/>
      <c r="G638" s="537"/>
      <c r="H638" s="537"/>
      <c r="I638" s="537"/>
      <c r="L638" s="537"/>
      <c r="AA638" s="539"/>
      <c r="AB638" s="539"/>
      <c r="AC638" s="539"/>
      <c r="AD638" s="539"/>
      <c r="AE638" s="539"/>
      <c r="AF638" s="539"/>
      <c r="AG638" s="537"/>
    </row>
    <row r="639" spans="1:33" ht="10.5" customHeight="1" x14ac:dyDescent="0.2">
      <c r="A639" s="537"/>
      <c r="B639" s="537"/>
      <c r="C639" s="537"/>
      <c r="D639" s="537"/>
      <c r="E639" s="537"/>
      <c r="F639" s="537"/>
      <c r="G639" s="537"/>
      <c r="H639" s="537"/>
      <c r="I639" s="537"/>
      <c r="L639" s="537"/>
      <c r="AA639" s="539"/>
      <c r="AB639" s="539"/>
      <c r="AC639" s="539"/>
      <c r="AD639" s="539"/>
      <c r="AE639" s="539"/>
      <c r="AF639" s="539"/>
      <c r="AG639" s="537"/>
    </row>
    <row r="640" spans="1:33" ht="10.5" customHeight="1" x14ac:dyDescent="0.2">
      <c r="A640" s="537"/>
      <c r="B640" s="537"/>
      <c r="C640" s="537"/>
      <c r="D640" s="537"/>
      <c r="E640" s="537"/>
      <c r="F640" s="537"/>
      <c r="G640" s="537"/>
      <c r="H640" s="537"/>
      <c r="I640" s="537"/>
      <c r="L640" s="537"/>
      <c r="AA640" s="539"/>
      <c r="AB640" s="539"/>
      <c r="AC640" s="539"/>
      <c r="AD640" s="539"/>
      <c r="AE640" s="539"/>
      <c r="AF640" s="539"/>
      <c r="AG640" s="537"/>
    </row>
    <row r="641" spans="1:33" ht="10.5" customHeight="1" x14ac:dyDescent="0.2">
      <c r="A641" s="537"/>
      <c r="B641" s="537"/>
      <c r="C641" s="537"/>
      <c r="D641" s="537"/>
      <c r="E641" s="537"/>
      <c r="F641" s="537"/>
      <c r="G641" s="537"/>
      <c r="H641" s="537"/>
      <c r="I641" s="537"/>
      <c r="L641" s="537"/>
      <c r="AA641" s="539"/>
      <c r="AB641" s="539"/>
      <c r="AC641" s="539"/>
      <c r="AD641" s="539"/>
      <c r="AE641" s="539"/>
      <c r="AF641" s="539"/>
      <c r="AG641" s="537"/>
    </row>
    <row r="642" spans="1:33" ht="10.5" customHeight="1" x14ac:dyDescent="0.2">
      <c r="A642" s="537"/>
      <c r="B642" s="537"/>
      <c r="C642" s="537"/>
      <c r="D642" s="537"/>
      <c r="E642" s="537"/>
      <c r="F642" s="537"/>
      <c r="G642" s="537"/>
      <c r="H642" s="537"/>
      <c r="I642" s="537"/>
      <c r="L642" s="537"/>
      <c r="AA642" s="539"/>
      <c r="AB642" s="539"/>
      <c r="AC642" s="539"/>
      <c r="AD642" s="539"/>
      <c r="AE642" s="539"/>
      <c r="AF642" s="539"/>
      <c r="AG642" s="537"/>
    </row>
    <row r="643" spans="1:33" ht="10.5" customHeight="1" x14ac:dyDescent="0.2">
      <c r="A643" s="537"/>
      <c r="B643" s="537"/>
      <c r="C643" s="537"/>
      <c r="D643" s="537"/>
      <c r="E643" s="537"/>
      <c r="F643" s="537"/>
      <c r="G643" s="537"/>
      <c r="H643" s="537"/>
      <c r="I643" s="537"/>
      <c r="L643" s="537"/>
      <c r="AA643" s="539"/>
      <c r="AB643" s="539"/>
      <c r="AC643" s="539"/>
      <c r="AD643" s="539"/>
      <c r="AE643" s="539"/>
      <c r="AF643" s="539"/>
      <c r="AG643" s="537"/>
    </row>
    <row r="644" spans="1:33" ht="10.5" customHeight="1" x14ac:dyDescent="0.2">
      <c r="A644" s="537"/>
      <c r="B644" s="537"/>
      <c r="C644" s="537"/>
      <c r="D644" s="537"/>
      <c r="E644" s="537"/>
      <c r="F644" s="537"/>
      <c r="G644" s="537"/>
      <c r="H644" s="537"/>
      <c r="I644" s="537"/>
      <c r="L644" s="537"/>
      <c r="AA644" s="539"/>
      <c r="AB644" s="539"/>
      <c r="AC644" s="539"/>
      <c r="AD644" s="539"/>
      <c r="AE644" s="539"/>
      <c r="AF644" s="539"/>
      <c r="AG644" s="537"/>
    </row>
    <row r="645" spans="1:33" ht="10.5" customHeight="1" x14ac:dyDescent="0.2">
      <c r="A645" s="537"/>
      <c r="B645" s="537"/>
      <c r="C645" s="537"/>
      <c r="D645" s="537"/>
      <c r="E645" s="537"/>
      <c r="F645" s="537"/>
      <c r="G645" s="537"/>
      <c r="H645" s="537"/>
      <c r="I645" s="537"/>
      <c r="L645" s="537"/>
      <c r="AA645" s="539"/>
      <c r="AB645" s="539"/>
      <c r="AC645" s="539"/>
      <c r="AD645" s="539"/>
      <c r="AE645" s="539"/>
      <c r="AF645" s="539"/>
      <c r="AG645" s="537"/>
    </row>
    <row r="646" spans="1:33" ht="10.5" customHeight="1" x14ac:dyDescent="0.2">
      <c r="A646" s="537"/>
      <c r="B646" s="537"/>
      <c r="C646" s="537"/>
      <c r="D646" s="537"/>
      <c r="E646" s="537"/>
      <c r="F646" s="537"/>
      <c r="G646" s="537"/>
      <c r="H646" s="537"/>
      <c r="I646" s="537"/>
      <c r="L646" s="537"/>
      <c r="AA646" s="539"/>
      <c r="AB646" s="539"/>
      <c r="AC646" s="539"/>
      <c r="AD646" s="539"/>
      <c r="AE646" s="539"/>
      <c r="AF646" s="539"/>
      <c r="AG646" s="537"/>
    </row>
    <row r="647" spans="1:33" ht="10.5" customHeight="1" x14ac:dyDescent="0.2">
      <c r="A647" s="537"/>
      <c r="B647" s="537"/>
      <c r="C647" s="537"/>
      <c r="D647" s="537"/>
      <c r="E647" s="537"/>
      <c r="F647" s="537"/>
      <c r="G647" s="537"/>
      <c r="H647" s="537"/>
      <c r="I647" s="537"/>
      <c r="L647" s="537"/>
      <c r="AA647" s="539"/>
      <c r="AB647" s="539"/>
      <c r="AC647" s="539"/>
      <c r="AD647" s="539"/>
      <c r="AE647" s="539"/>
      <c r="AF647" s="539"/>
      <c r="AG647" s="537"/>
    </row>
    <row r="648" spans="1:33" ht="10.5" customHeight="1" x14ac:dyDescent="0.2">
      <c r="A648" s="537"/>
      <c r="B648" s="537"/>
      <c r="C648" s="537"/>
      <c r="D648" s="537"/>
      <c r="E648" s="537"/>
      <c r="F648" s="537"/>
      <c r="G648" s="537"/>
      <c r="H648" s="537"/>
      <c r="I648" s="537"/>
      <c r="L648" s="537"/>
      <c r="AA648" s="539"/>
      <c r="AB648" s="539"/>
      <c r="AC648" s="539"/>
      <c r="AD648" s="539"/>
      <c r="AE648" s="539"/>
      <c r="AF648" s="539"/>
      <c r="AG648" s="537"/>
    </row>
    <row r="649" spans="1:33" ht="10.5" customHeight="1" x14ac:dyDescent="0.2">
      <c r="A649" s="537"/>
      <c r="B649" s="537"/>
      <c r="C649" s="537"/>
      <c r="D649" s="537"/>
      <c r="E649" s="537"/>
      <c r="F649" s="537"/>
      <c r="G649" s="537"/>
      <c r="H649" s="537"/>
      <c r="I649" s="537"/>
      <c r="L649" s="537"/>
      <c r="AA649" s="539"/>
      <c r="AB649" s="539"/>
      <c r="AC649" s="539"/>
      <c r="AD649" s="539"/>
      <c r="AE649" s="539"/>
      <c r="AF649" s="539"/>
      <c r="AG649" s="537"/>
    </row>
    <row r="650" spans="1:33" ht="10.5" customHeight="1" x14ac:dyDescent="0.2">
      <c r="A650" s="537"/>
      <c r="B650" s="537"/>
      <c r="C650" s="537"/>
      <c r="D650" s="537"/>
      <c r="E650" s="537"/>
      <c r="F650" s="537"/>
      <c r="G650" s="537"/>
      <c r="H650" s="537"/>
      <c r="I650" s="537"/>
      <c r="L650" s="537"/>
      <c r="AA650" s="539"/>
      <c r="AB650" s="539"/>
      <c r="AC650" s="539"/>
      <c r="AD650" s="539"/>
      <c r="AE650" s="539"/>
      <c r="AF650" s="539"/>
      <c r="AG650" s="537"/>
    </row>
    <row r="651" spans="1:33" ht="10.5" customHeight="1" x14ac:dyDescent="0.2">
      <c r="A651" s="537"/>
      <c r="B651" s="537"/>
      <c r="C651" s="537"/>
      <c r="D651" s="537"/>
      <c r="E651" s="537"/>
      <c r="F651" s="537"/>
      <c r="G651" s="537"/>
      <c r="H651" s="537"/>
      <c r="I651" s="537"/>
      <c r="L651" s="537"/>
      <c r="AA651" s="539"/>
      <c r="AB651" s="539"/>
      <c r="AC651" s="539"/>
      <c r="AD651" s="539"/>
      <c r="AE651" s="539"/>
      <c r="AF651" s="539"/>
      <c r="AG651" s="537"/>
    </row>
    <row r="652" spans="1:33" ht="10.5" customHeight="1" x14ac:dyDescent="0.2">
      <c r="A652" s="537"/>
      <c r="B652" s="537"/>
      <c r="C652" s="537"/>
      <c r="D652" s="537"/>
      <c r="E652" s="537"/>
      <c r="F652" s="537"/>
      <c r="G652" s="537"/>
      <c r="H652" s="537"/>
      <c r="I652" s="537"/>
      <c r="L652" s="537"/>
      <c r="AA652" s="539"/>
      <c r="AB652" s="539"/>
      <c r="AC652" s="539"/>
      <c r="AD652" s="539"/>
      <c r="AE652" s="539"/>
      <c r="AF652" s="539"/>
      <c r="AG652" s="537"/>
    </row>
    <row r="653" spans="1:33" ht="10.5" customHeight="1" x14ac:dyDescent="0.2">
      <c r="A653" s="537"/>
      <c r="B653" s="537"/>
      <c r="C653" s="537"/>
      <c r="D653" s="537"/>
      <c r="E653" s="537"/>
      <c r="F653" s="537"/>
      <c r="G653" s="537"/>
      <c r="H653" s="537"/>
      <c r="I653" s="537"/>
      <c r="L653" s="537"/>
      <c r="AA653" s="539"/>
      <c r="AB653" s="539"/>
      <c r="AC653" s="539"/>
      <c r="AD653" s="539"/>
      <c r="AE653" s="539"/>
      <c r="AF653" s="539"/>
      <c r="AG653" s="537"/>
    </row>
    <row r="654" spans="1:33" ht="10.5" customHeight="1" x14ac:dyDescent="0.2">
      <c r="A654" s="537"/>
      <c r="B654" s="537"/>
      <c r="C654" s="537"/>
      <c r="D654" s="537"/>
      <c r="E654" s="537"/>
      <c r="F654" s="537"/>
      <c r="G654" s="537"/>
      <c r="H654" s="537"/>
      <c r="I654" s="537"/>
      <c r="L654" s="537"/>
      <c r="AA654" s="539"/>
      <c r="AB654" s="539"/>
      <c r="AC654" s="539"/>
      <c r="AD654" s="539"/>
      <c r="AE654" s="539"/>
      <c r="AF654" s="539"/>
      <c r="AG654" s="537"/>
    </row>
    <row r="655" spans="1:33" ht="10.5" customHeight="1" x14ac:dyDescent="0.2">
      <c r="A655" s="537"/>
      <c r="B655" s="537"/>
      <c r="C655" s="537"/>
      <c r="D655" s="537"/>
      <c r="E655" s="537"/>
      <c r="F655" s="537"/>
      <c r="G655" s="537"/>
      <c r="H655" s="537"/>
      <c r="I655" s="537"/>
      <c r="L655" s="537"/>
      <c r="AA655" s="539"/>
      <c r="AB655" s="539"/>
      <c r="AC655" s="539"/>
      <c r="AD655" s="539"/>
      <c r="AE655" s="539"/>
      <c r="AF655" s="539"/>
      <c r="AG655" s="537"/>
    </row>
    <row r="656" spans="1:33" ht="10.5" customHeight="1" x14ac:dyDescent="0.2">
      <c r="A656" s="537"/>
      <c r="B656" s="537"/>
      <c r="C656" s="537"/>
      <c r="D656" s="537"/>
      <c r="E656" s="537"/>
      <c r="F656" s="537"/>
      <c r="G656" s="537"/>
      <c r="H656" s="537"/>
      <c r="I656" s="537"/>
      <c r="L656" s="537"/>
      <c r="AA656" s="539"/>
      <c r="AB656" s="539"/>
      <c r="AC656" s="539"/>
      <c r="AD656" s="539"/>
      <c r="AE656" s="539"/>
      <c r="AF656" s="539"/>
      <c r="AG656" s="537"/>
    </row>
    <row r="657" spans="1:33" ht="10.5" customHeight="1" x14ac:dyDescent="0.2">
      <c r="A657" s="537"/>
      <c r="B657" s="537"/>
      <c r="C657" s="537"/>
      <c r="D657" s="537"/>
      <c r="E657" s="537"/>
      <c r="F657" s="537"/>
      <c r="G657" s="537"/>
      <c r="H657" s="537"/>
      <c r="I657" s="537"/>
      <c r="L657" s="537"/>
      <c r="AA657" s="539"/>
      <c r="AB657" s="539"/>
      <c r="AC657" s="539"/>
      <c r="AD657" s="539"/>
      <c r="AE657" s="539"/>
      <c r="AF657" s="539"/>
      <c r="AG657" s="537"/>
    </row>
    <row r="658" spans="1:33" ht="10.5" customHeight="1" x14ac:dyDescent="0.2">
      <c r="A658" s="537"/>
      <c r="B658" s="537"/>
      <c r="C658" s="537"/>
      <c r="D658" s="537"/>
      <c r="E658" s="537"/>
      <c r="F658" s="537"/>
      <c r="G658" s="537"/>
      <c r="H658" s="537"/>
      <c r="I658" s="537"/>
      <c r="L658" s="537"/>
      <c r="AA658" s="539"/>
      <c r="AB658" s="539"/>
      <c r="AC658" s="539"/>
      <c r="AD658" s="539"/>
      <c r="AE658" s="539"/>
      <c r="AF658" s="539"/>
      <c r="AG658" s="537"/>
    </row>
    <row r="659" spans="1:33" ht="10.5" customHeight="1" x14ac:dyDescent="0.2">
      <c r="A659" s="537"/>
      <c r="B659" s="537"/>
      <c r="C659" s="537"/>
      <c r="D659" s="537"/>
      <c r="E659" s="537"/>
      <c r="F659" s="537"/>
      <c r="G659" s="537"/>
      <c r="H659" s="537"/>
      <c r="I659" s="537"/>
      <c r="L659" s="537"/>
      <c r="AA659" s="539"/>
      <c r="AB659" s="539"/>
      <c r="AC659" s="539"/>
      <c r="AD659" s="539"/>
      <c r="AE659" s="539"/>
      <c r="AF659" s="539"/>
      <c r="AG659" s="537"/>
    </row>
    <row r="660" spans="1:33" ht="10.5" customHeight="1" x14ac:dyDescent="0.2">
      <c r="A660" s="537"/>
      <c r="B660" s="537"/>
      <c r="C660" s="537"/>
      <c r="D660" s="537"/>
      <c r="E660" s="537"/>
      <c r="F660" s="537"/>
      <c r="G660" s="537"/>
      <c r="H660" s="537"/>
      <c r="I660" s="537"/>
      <c r="L660" s="537"/>
      <c r="AA660" s="539"/>
      <c r="AB660" s="539"/>
      <c r="AC660" s="539"/>
      <c r="AD660" s="539"/>
      <c r="AE660" s="539"/>
      <c r="AF660" s="539"/>
      <c r="AG660" s="537"/>
    </row>
    <row r="661" spans="1:33" ht="10.5" customHeight="1" x14ac:dyDescent="0.2">
      <c r="A661" s="537"/>
      <c r="B661" s="537"/>
      <c r="C661" s="537"/>
      <c r="D661" s="537"/>
      <c r="E661" s="537"/>
      <c r="F661" s="537"/>
      <c r="G661" s="537"/>
      <c r="H661" s="537"/>
      <c r="I661" s="537"/>
      <c r="L661" s="537"/>
      <c r="AA661" s="539"/>
      <c r="AB661" s="539"/>
      <c r="AC661" s="539"/>
      <c r="AD661" s="539"/>
      <c r="AE661" s="539"/>
      <c r="AF661" s="539"/>
      <c r="AG661" s="537"/>
    </row>
    <row r="662" spans="1:33" ht="10.5" customHeight="1" x14ac:dyDescent="0.2">
      <c r="A662" s="537"/>
      <c r="B662" s="537"/>
      <c r="C662" s="537"/>
      <c r="D662" s="537"/>
      <c r="E662" s="537"/>
      <c r="F662" s="537"/>
      <c r="G662" s="537"/>
      <c r="H662" s="537"/>
      <c r="I662" s="537"/>
      <c r="L662" s="537"/>
      <c r="AA662" s="539"/>
      <c r="AB662" s="539"/>
      <c r="AC662" s="539"/>
      <c r="AD662" s="539"/>
      <c r="AE662" s="539"/>
      <c r="AF662" s="539"/>
      <c r="AG662" s="537"/>
    </row>
    <row r="663" spans="1:33" ht="10.5" customHeight="1" x14ac:dyDescent="0.2">
      <c r="A663" s="537"/>
      <c r="B663" s="537"/>
      <c r="C663" s="537"/>
      <c r="D663" s="537"/>
      <c r="E663" s="537"/>
      <c r="F663" s="537"/>
      <c r="G663" s="537"/>
      <c r="H663" s="537"/>
      <c r="I663" s="537"/>
      <c r="L663" s="537"/>
      <c r="AA663" s="539"/>
      <c r="AB663" s="539"/>
      <c r="AC663" s="539"/>
      <c r="AD663" s="539"/>
      <c r="AE663" s="539"/>
      <c r="AF663" s="539"/>
      <c r="AG663" s="537"/>
    </row>
    <row r="664" spans="1:33" ht="10.5" customHeight="1" x14ac:dyDescent="0.2">
      <c r="A664" s="537"/>
      <c r="B664" s="537"/>
      <c r="C664" s="537"/>
      <c r="D664" s="537"/>
      <c r="E664" s="537"/>
      <c r="F664" s="537"/>
      <c r="G664" s="537"/>
      <c r="H664" s="537"/>
      <c r="I664" s="537"/>
      <c r="L664" s="537"/>
      <c r="AA664" s="539"/>
      <c r="AB664" s="539"/>
      <c r="AC664" s="539"/>
      <c r="AD664" s="539"/>
      <c r="AE664" s="539"/>
      <c r="AF664" s="539"/>
      <c r="AG664" s="537"/>
    </row>
    <row r="665" spans="1:33" ht="10.5" customHeight="1" x14ac:dyDescent="0.2">
      <c r="A665" s="537"/>
      <c r="B665" s="537"/>
      <c r="C665" s="537"/>
      <c r="D665" s="537"/>
      <c r="E665" s="537"/>
      <c r="F665" s="537"/>
      <c r="G665" s="537"/>
      <c r="H665" s="537"/>
      <c r="I665" s="537"/>
      <c r="L665" s="537"/>
      <c r="AA665" s="539"/>
      <c r="AB665" s="539"/>
      <c r="AC665" s="539"/>
      <c r="AD665" s="539"/>
      <c r="AE665" s="539"/>
      <c r="AF665" s="539"/>
      <c r="AG665" s="537"/>
    </row>
    <row r="666" spans="1:33" ht="10.5" customHeight="1" x14ac:dyDescent="0.2">
      <c r="A666" s="537"/>
      <c r="B666" s="537"/>
      <c r="C666" s="537"/>
      <c r="D666" s="537"/>
      <c r="E666" s="537"/>
      <c r="F666" s="537"/>
      <c r="G666" s="537"/>
      <c r="H666" s="537"/>
      <c r="I666" s="537"/>
      <c r="L666" s="537"/>
      <c r="AA666" s="539"/>
      <c r="AB666" s="539"/>
      <c r="AC666" s="539"/>
      <c r="AD666" s="539"/>
      <c r="AE666" s="539"/>
      <c r="AF666" s="539"/>
      <c r="AG666" s="537"/>
    </row>
    <row r="667" spans="1:33" ht="10.5" customHeight="1" x14ac:dyDescent="0.2">
      <c r="A667" s="537"/>
      <c r="B667" s="537"/>
      <c r="C667" s="537"/>
      <c r="D667" s="537"/>
      <c r="E667" s="537"/>
      <c r="F667" s="537"/>
      <c r="G667" s="537"/>
      <c r="H667" s="537"/>
      <c r="I667" s="537"/>
      <c r="L667" s="537"/>
      <c r="AA667" s="539"/>
      <c r="AB667" s="539"/>
      <c r="AC667" s="539"/>
      <c r="AD667" s="539"/>
      <c r="AE667" s="539"/>
      <c r="AF667" s="539"/>
      <c r="AG667" s="537"/>
    </row>
    <row r="668" spans="1:33" ht="10.5" customHeight="1" x14ac:dyDescent="0.2">
      <c r="A668" s="537"/>
      <c r="B668" s="537"/>
      <c r="C668" s="537"/>
      <c r="D668" s="537"/>
      <c r="E668" s="537"/>
      <c r="F668" s="537"/>
      <c r="G668" s="537"/>
      <c r="H668" s="537"/>
      <c r="I668" s="537"/>
      <c r="L668" s="537"/>
      <c r="AA668" s="539"/>
      <c r="AB668" s="539"/>
      <c r="AC668" s="539"/>
      <c r="AD668" s="539"/>
      <c r="AE668" s="539"/>
      <c r="AF668" s="539"/>
      <c r="AG668" s="537"/>
    </row>
    <row r="669" spans="1:33" ht="10.5" customHeight="1" x14ac:dyDescent="0.2">
      <c r="A669" s="537"/>
      <c r="B669" s="537"/>
      <c r="C669" s="537"/>
      <c r="D669" s="537"/>
      <c r="E669" s="537"/>
      <c r="F669" s="537"/>
      <c r="G669" s="537"/>
      <c r="H669" s="537"/>
      <c r="I669" s="537"/>
      <c r="L669" s="537"/>
      <c r="AA669" s="539"/>
      <c r="AB669" s="539"/>
      <c r="AC669" s="539"/>
      <c r="AD669" s="539"/>
      <c r="AE669" s="539"/>
      <c r="AF669" s="539"/>
      <c r="AG669" s="537"/>
    </row>
    <row r="670" spans="1:33" ht="10.5" customHeight="1" x14ac:dyDescent="0.2">
      <c r="A670" s="537"/>
      <c r="B670" s="537"/>
      <c r="C670" s="537"/>
      <c r="D670" s="537"/>
      <c r="E670" s="537"/>
      <c r="F670" s="537"/>
      <c r="G670" s="537"/>
      <c r="H670" s="537"/>
      <c r="I670" s="537"/>
      <c r="L670" s="537"/>
      <c r="AA670" s="539"/>
      <c r="AB670" s="539"/>
      <c r="AC670" s="539"/>
      <c r="AD670" s="539"/>
      <c r="AE670" s="539"/>
      <c r="AF670" s="539"/>
      <c r="AG670" s="537"/>
    </row>
    <row r="671" spans="1:33" ht="10.5" customHeight="1" x14ac:dyDescent="0.2">
      <c r="A671" s="537"/>
      <c r="B671" s="537"/>
      <c r="C671" s="537"/>
      <c r="D671" s="537"/>
      <c r="E671" s="537"/>
      <c r="F671" s="537"/>
      <c r="G671" s="537"/>
      <c r="H671" s="537"/>
      <c r="I671" s="537"/>
      <c r="L671" s="537"/>
      <c r="AA671" s="539"/>
      <c r="AB671" s="539"/>
      <c r="AC671" s="539"/>
      <c r="AD671" s="539"/>
      <c r="AE671" s="539"/>
      <c r="AF671" s="539"/>
      <c r="AG671" s="537"/>
    </row>
    <row r="672" spans="1:33" ht="10.5" customHeight="1" x14ac:dyDescent="0.2">
      <c r="A672" s="537"/>
      <c r="B672" s="537"/>
      <c r="C672" s="537"/>
      <c r="D672" s="537"/>
      <c r="E672" s="537"/>
      <c r="F672" s="537"/>
      <c r="G672" s="537"/>
      <c r="H672" s="537"/>
      <c r="I672" s="537"/>
      <c r="L672" s="537"/>
      <c r="AA672" s="539"/>
      <c r="AB672" s="539"/>
      <c r="AC672" s="539"/>
      <c r="AD672" s="539"/>
      <c r="AE672" s="539"/>
      <c r="AF672" s="539"/>
      <c r="AG672" s="537"/>
    </row>
    <row r="673" spans="1:33" ht="10.5" customHeight="1" x14ac:dyDescent="0.2">
      <c r="A673" s="537"/>
      <c r="B673" s="537"/>
      <c r="C673" s="537"/>
      <c r="D673" s="537"/>
      <c r="E673" s="537"/>
      <c r="F673" s="537"/>
      <c r="G673" s="537"/>
      <c r="H673" s="537"/>
      <c r="I673" s="537"/>
      <c r="L673" s="537"/>
      <c r="AA673" s="539"/>
      <c r="AB673" s="539"/>
      <c r="AC673" s="539"/>
      <c r="AD673" s="539"/>
      <c r="AE673" s="539"/>
      <c r="AF673" s="539"/>
      <c r="AG673" s="537"/>
    </row>
    <row r="674" spans="1:33" ht="10.5" customHeight="1" x14ac:dyDescent="0.2">
      <c r="A674" s="537"/>
      <c r="B674" s="537"/>
      <c r="C674" s="537"/>
      <c r="D674" s="537"/>
      <c r="E674" s="537"/>
      <c r="F674" s="537"/>
      <c r="G674" s="537"/>
      <c r="H674" s="537"/>
      <c r="I674" s="537"/>
      <c r="L674" s="537"/>
      <c r="AA674" s="539"/>
      <c r="AB674" s="539"/>
      <c r="AC674" s="539"/>
      <c r="AD674" s="539"/>
      <c r="AE674" s="539"/>
      <c r="AF674" s="539"/>
      <c r="AG674" s="537"/>
    </row>
    <row r="675" spans="1:33" ht="10.5" customHeight="1" x14ac:dyDescent="0.2">
      <c r="A675" s="537"/>
      <c r="B675" s="537"/>
      <c r="C675" s="537"/>
      <c r="D675" s="537"/>
      <c r="E675" s="537"/>
      <c r="F675" s="537"/>
      <c r="G675" s="537"/>
      <c r="H675" s="537"/>
      <c r="I675" s="537"/>
      <c r="L675" s="537"/>
      <c r="AA675" s="539"/>
      <c r="AB675" s="539"/>
      <c r="AC675" s="539"/>
      <c r="AD675" s="539"/>
      <c r="AE675" s="539"/>
      <c r="AF675" s="539"/>
      <c r="AG675" s="537"/>
    </row>
    <row r="676" spans="1:33" ht="10.5" customHeight="1" x14ac:dyDescent="0.2">
      <c r="A676" s="537"/>
      <c r="B676" s="537"/>
      <c r="C676" s="537"/>
      <c r="D676" s="537"/>
      <c r="E676" s="537"/>
      <c r="F676" s="537"/>
      <c r="G676" s="537"/>
      <c r="H676" s="537"/>
      <c r="I676" s="537"/>
      <c r="L676" s="537"/>
      <c r="AA676" s="539"/>
      <c r="AB676" s="539"/>
      <c r="AC676" s="539"/>
      <c r="AD676" s="539"/>
      <c r="AE676" s="539"/>
      <c r="AF676" s="539"/>
      <c r="AG676" s="537"/>
    </row>
    <row r="677" spans="1:33" ht="10.5" customHeight="1" x14ac:dyDescent="0.2">
      <c r="A677" s="537"/>
      <c r="B677" s="537"/>
      <c r="C677" s="537"/>
      <c r="D677" s="537"/>
      <c r="E677" s="537"/>
      <c r="F677" s="537"/>
      <c r="G677" s="537"/>
      <c r="H677" s="537"/>
      <c r="I677" s="537"/>
      <c r="L677" s="537"/>
      <c r="AA677" s="539"/>
      <c r="AB677" s="539"/>
      <c r="AC677" s="539"/>
      <c r="AD677" s="539"/>
      <c r="AE677" s="539"/>
      <c r="AF677" s="539"/>
      <c r="AG677" s="537"/>
    </row>
    <row r="678" spans="1:33" ht="10.5" customHeight="1" x14ac:dyDescent="0.2">
      <c r="A678" s="537"/>
      <c r="B678" s="537"/>
      <c r="C678" s="537"/>
      <c r="D678" s="537"/>
      <c r="E678" s="537"/>
      <c r="F678" s="537"/>
      <c r="G678" s="537"/>
      <c r="H678" s="537"/>
      <c r="I678" s="537"/>
      <c r="L678" s="537"/>
      <c r="AA678" s="539"/>
      <c r="AB678" s="539"/>
      <c r="AC678" s="539"/>
      <c r="AD678" s="539"/>
      <c r="AE678" s="539"/>
      <c r="AF678" s="539"/>
      <c r="AG678" s="537"/>
    </row>
    <row r="679" spans="1:33" ht="10.5" customHeight="1" x14ac:dyDescent="0.2">
      <c r="A679" s="537"/>
      <c r="B679" s="537"/>
      <c r="C679" s="537"/>
      <c r="D679" s="537"/>
      <c r="E679" s="537"/>
      <c r="F679" s="537"/>
      <c r="G679" s="537"/>
      <c r="H679" s="537"/>
      <c r="I679" s="537"/>
      <c r="L679" s="537"/>
      <c r="AA679" s="539"/>
      <c r="AB679" s="539"/>
      <c r="AC679" s="539"/>
      <c r="AD679" s="539"/>
      <c r="AE679" s="539"/>
      <c r="AF679" s="539"/>
      <c r="AG679" s="537"/>
    </row>
    <row r="680" spans="1:33" ht="10.5" customHeight="1" x14ac:dyDescent="0.2">
      <c r="A680" s="537"/>
      <c r="B680" s="537"/>
      <c r="C680" s="537"/>
      <c r="D680" s="537"/>
      <c r="E680" s="537"/>
      <c r="F680" s="537"/>
      <c r="G680" s="537"/>
      <c r="H680" s="537"/>
      <c r="I680" s="537"/>
      <c r="L680" s="537"/>
      <c r="AA680" s="539"/>
      <c r="AB680" s="539"/>
      <c r="AC680" s="539"/>
      <c r="AD680" s="539"/>
      <c r="AE680" s="539"/>
      <c r="AF680" s="539"/>
      <c r="AG680" s="537"/>
    </row>
    <row r="681" spans="1:33" ht="10.5" customHeight="1" x14ac:dyDescent="0.2">
      <c r="A681" s="537"/>
      <c r="B681" s="537"/>
      <c r="C681" s="537"/>
      <c r="D681" s="537"/>
      <c r="E681" s="537"/>
      <c r="F681" s="537"/>
      <c r="G681" s="537"/>
      <c r="H681" s="537"/>
      <c r="I681" s="537"/>
      <c r="L681" s="537"/>
      <c r="AA681" s="539"/>
      <c r="AB681" s="539"/>
      <c r="AC681" s="539"/>
      <c r="AD681" s="539"/>
      <c r="AE681" s="539"/>
      <c r="AF681" s="539"/>
      <c r="AG681" s="537"/>
    </row>
    <row r="682" spans="1:33" ht="10.5" customHeight="1" x14ac:dyDescent="0.2">
      <c r="A682" s="537"/>
      <c r="B682" s="537"/>
      <c r="C682" s="537"/>
      <c r="D682" s="537"/>
      <c r="E682" s="537"/>
      <c r="F682" s="537"/>
      <c r="G682" s="537"/>
      <c r="H682" s="537"/>
      <c r="I682" s="537"/>
      <c r="L682" s="537"/>
      <c r="AA682" s="539"/>
      <c r="AB682" s="539"/>
      <c r="AC682" s="539"/>
      <c r="AD682" s="539"/>
      <c r="AE682" s="539"/>
      <c r="AF682" s="539"/>
      <c r="AG682" s="537"/>
    </row>
    <row r="683" spans="1:33" ht="10.5" customHeight="1" x14ac:dyDescent="0.2">
      <c r="A683" s="537"/>
      <c r="B683" s="537"/>
      <c r="C683" s="537"/>
      <c r="D683" s="537"/>
      <c r="E683" s="537"/>
      <c r="F683" s="537"/>
      <c r="G683" s="537"/>
      <c r="H683" s="537"/>
      <c r="I683" s="537"/>
      <c r="L683" s="537"/>
      <c r="AA683" s="539"/>
      <c r="AB683" s="539"/>
      <c r="AC683" s="539"/>
      <c r="AD683" s="539"/>
      <c r="AE683" s="539"/>
      <c r="AF683" s="539"/>
      <c r="AG683" s="537"/>
    </row>
    <row r="684" spans="1:33" ht="10.5" customHeight="1" x14ac:dyDescent="0.2">
      <c r="A684" s="537"/>
      <c r="B684" s="537"/>
      <c r="C684" s="537"/>
      <c r="D684" s="537"/>
      <c r="E684" s="537"/>
      <c r="F684" s="537"/>
      <c r="G684" s="537"/>
      <c r="H684" s="537"/>
      <c r="I684" s="537"/>
      <c r="L684" s="537"/>
      <c r="AA684" s="539"/>
      <c r="AB684" s="539"/>
      <c r="AC684" s="539"/>
      <c r="AD684" s="539"/>
      <c r="AE684" s="539"/>
      <c r="AF684" s="539"/>
      <c r="AG684" s="537"/>
    </row>
    <row r="685" spans="1:33" ht="10.5" customHeight="1" x14ac:dyDescent="0.2">
      <c r="A685" s="537"/>
      <c r="B685" s="537"/>
      <c r="C685" s="537"/>
      <c r="D685" s="537"/>
      <c r="E685" s="537"/>
      <c r="F685" s="537"/>
      <c r="G685" s="537"/>
      <c r="H685" s="537"/>
      <c r="I685" s="537"/>
      <c r="L685" s="537"/>
      <c r="AA685" s="539"/>
      <c r="AB685" s="539"/>
      <c r="AC685" s="539"/>
      <c r="AD685" s="539"/>
      <c r="AE685" s="539"/>
      <c r="AF685" s="539"/>
      <c r="AG685" s="537"/>
    </row>
    <row r="686" spans="1:33" ht="10.5" customHeight="1" x14ac:dyDescent="0.2">
      <c r="A686" s="537"/>
      <c r="B686" s="537"/>
      <c r="C686" s="537"/>
      <c r="D686" s="537"/>
      <c r="E686" s="537"/>
      <c r="F686" s="537"/>
      <c r="G686" s="537"/>
      <c r="H686" s="537"/>
      <c r="I686" s="537"/>
      <c r="L686" s="537"/>
      <c r="AA686" s="539"/>
      <c r="AB686" s="539"/>
      <c r="AC686" s="539"/>
      <c r="AD686" s="539"/>
      <c r="AE686" s="539"/>
      <c r="AF686" s="539"/>
      <c r="AG686" s="537"/>
    </row>
    <row r="687" spans="1:33" ht="10.5" customHeight="1" x14ac:dyDescent="0.2">
      <c r="A687" s="537"/>
      <c r="B687" s="537"/>
      <c r="C687" s="537"/>
      <c r="D687" s="537"/>
      <c r="E687" s="537"/>
      <c r="F687" s="537"/>
      <c r="G687" s="537"/>
      <c r="H687" s="537"/>
      <c r="I687" s="537"/>
      <c r="L687" s="537"/>
      <c r="AA687" s="539"/>
      <c r="AB687" s="539"/>
      <c r="AC687" s="539"/>
      <c r="AD687" s="539"/>
      <c r="AE687" s="539"/>
      <c r="AF687" s="539"/>
      <c r="AG687" s="537"/>
    </row>
    <row r="688" spans="1:33" ht="10.5" customHeight="1" x14ac:dyDescent="0.2">
      <c r="A688" s="537"/>
      <c r="B688" s="537"/>
      <c r="C688" s="537"/>
      <c r="D688" s="537"/>
      <c r="E688" s="537"/>
      <c r="F688" s="537"/>
      <c r="G688" s="537"/>
      <c r="H688" s="537"/>
      <c r="I688" s="537"/>
      <c r="L688" s="537"/>
      <c r="AA688" s="539"/>
      <c r="AB688" s="539"/>
      <c r="AC688" s="539"/>
      <c r="AD688" s="539"/>
      <c r="AE688" s="539"/>
      <c r="AF688" s="539"/>
      <c r="AG688" s="537"/>
    </row>
    <row r="689" spans="1:33" ht="10.5" customHeight="1" x14ac:dyDescent="0.2">
      <c r="A689" s="537"/>
      <c r="B689" s="537"/>
      <c r="C689" s="537"/>
      <c r="D689" s="537"/>
      <c r="E689" s="537"/>
      <c r="F689" s="537"/>
      <c r="G689" s="537"/>
      <c r="H689" s="537"/>
      <c r="I689" s="537"/>
      <c r="L689" s="537"/>
      <c r="AA689" s="539"/>
      <c r="AB689" s="539"/>
      <c r="AC689" s="539"/>
      <c r="AD689" s="539"/>
      <c r="AE689" s="539"/>
      <c r="AF689" s="539"/>
      <c r="AG689" s="537"/>
    </row>
    <row r="690" spans="1:33" ht="10.5" customHeight="1" x14ac:dyDescent="0.2">
      <c r="A690" s="537"/>
      <c r="B690" s="537"/>
      <c r="C690" s="537"/>
      <c r="D690" s="537"/>
      <c r="E690" s="537"/>
      <c r="F690" s="537"/>
      <c r="G690" s="537"/>
      <c r="H690" s="537"/>
      <c r="I690" s="537"/>
      <c r="L690" s="537"/>
      <c r="AA690" s="539"/>
      <c r="AB690" s="539"/>
      <c r="AC690" s="539"/>
      <c r="AD690" s="539"/>
      <c r="AE690" s="539"/>
      <c r="AF690" s="539"/>
      <c r="AG690" s="537"/>
    </row>
    <row r="691" spans="1:33" ht="10.5" customHeight="1" x14ac:dyDescent="0.2">
      <c r="A691" s="537"/>
      <c r="B691" s="537"/>
      <c r="C691" s="537"/>
      <c r="D691" s="537"/>
      <c r="E691" s="537"/>
      <c r="F691" s="537"/>
      <c r="G691" s="537"/>
      <c r="H691" s="537"/>
      <c r="I691" s="537"/>
      <c r="L691" s="537"/>
      <c r="AA691" s="539"/>
      <c r="AB691" s="539"/>
      <c r="AC691" s="539"/>
      <c r="AD691" s="539"/>
      <c r="AE691" s="539"/>
      <c r="AF691" s="539"/>
      <c r="AG691" s="537"/>
    </row>
    <row r="692" spans="1:33" ht="10.5" customHeight="1" x14ac:dyDescent="0.2">
      <c r="A692" s="537"/>
      <c r="B692" s="537"/>
      <c r="C692" s="537"/>
      <c r="D692" s="537"/>
      <c r="E692" s="537"/>
      <c r="F692" s="537"/>
      <c r="G692" s="537"/>
      <c r="H692" s="537"/>
      <c r="I692" s="537"/>
      <c r="L692" s="537"/>
      <c r="AA692" s="539"/>
      <c r="AB692" s="539"/>
      <c r="AC692" s="539"/>
      <c r="AD692" s="539"/>
      <c r="AE692" s="539"/>
      <c r="AF692" s="539"/>
      <c r="AG692" s="537"/>
    </row>
    <row r="693" spans="1:33" ht="10.5" customHeight="1" x14ac:dyDescent="0.2">
      <c r="A693" s="537"/>
      <c r="B693" s="537"/>
      <c r="C693" s="537"/>
      <c r="D693" s="537"/>
      <c r="E693" s="537"/>
      <c r="F693" s="537"/>
      <c r="G693" s="537"/>
      <c r="H693" s="537"/>
      <c r="I693" s="537"/>
      <c r="L693" s="537"/>
      <c r="AA693" s="539"/>
      <c r="AB693" s="539"/>
      <c r="AC693" s="539"/>
      <c r="AD693" s="539"/>
      <c r="AE693" s="539"/>
      <c r="AF693" s="539"/>
      <c r="AG693" s="537"/>
    </row>
    <row r="694" spans="1:33" ht="10.5" customHeight="1" x14ac:dyDescent="0.2">
      <c r="A694" s="537"/>
      <c r="B694" s="537"/>
      <c r="C694" s="537"/>
      <c r="D694" s="537"/>
      <c r="E694" s="537"/>
      <c r="F694" s="537"/>
      <c r="G694" s="537"/>
      <c r="H694" s="537"/>
      <c r="I694" s="537"/>
      <c r="L694" s="537"/>
      <c r="AA694" s="539"/>
      <c r="AB694" s="539"/>
      <c r="AC694" s="539"/>
      <c r="AD694" s="539"/>
      <c r="AE694" s="539"/>
      <c r="AF694" s="539"/>
      <c r="AG694" s="537"/>
    </row>
    <row r="695" spans="1:33" ht="10.5" customHeight="1" x14ac:dyDescent="0.2">
      <c r="A695" s="537"/>
      <c r="B695" s="537"/>
      <c r="C695" s="537"/>
      <c r="D695" s="537"/>
      <c r="E695" s="537"/>
      <c r="F695" s="537"/>
      <c r="G695" s="537"/>
      <c r="H695" s="537"/>
      <c r="I695" s="537"/>
      <c r="L695" s="537"/>
      <c r="AA695" s="539"/>
      <c r="AB695" s="539"/>
      <c r="AC695" s="539"/>
      <c r="AD695" s="539"/>
      <c r="AE695" s="539"/>
      <c r="AF695" s="539"/>
      <c r="AG695" s="537"/>
    </row>
    <row r="696" spans="1:33" ht="10.5" customHeight="1" x14ac:dyDescent="0.2">
      <c r="A696" s="537"/>
      <c r="B696" s="537"/>
      <c r="C696" s="537"/>
      <c r="D696" s="537"/>
      <c r="E696" s="537"/>
      <c r="F696" s="537"/>
      <c r="G696" s="537"/>
      <c r="H696" s="537"/>
      <c r="I696" s="537"/>
      <c r="L696" s="537"/>
      <c r="AA696" s="539"/>
      <c r="AB696" s="539"/>
      <c r="AC696" s="539"/>
      <c r="AD696" s="539"/>
      <c r="AE696" s="539"/>
      <c r="AF696" s="539"/>
      <c r="AG696" s="537"/>
    </row>
    <row r="697" spans="1:33" ht="10.5" customHeight="1" x14ac:dyDescent="0.2">
      <c r="A697" s="537"/>
      <c r="B697" s="537"/>
      <c r="C697" s="537"/>
      <c r="D697" s="537"/>
      <c r="E697" s="537"/>
      <c r="F697" s="537"/>
      <c r="G697" s="537"/>
      <c r="H697" s="537"/>
      <c r="I697" s="537"/>
      <c r="L697" s="537"/>
      <c r="AA697" s="539"/>
      <c r="AB697" s="539"/>
      <c r="AC697" s="539"/>
      <c r="AD697" s="539"/>
      <c r="AE697" s="539"/>
      <c r="AF697" s="539"/>
      <c r="AG697" s="537"/>
    </row>
    <row r="698" spans="1:33" ht="10.5" customHeight="1" x14ac:dyDescent="0.2">
      <c r="A698" s="537"/>
      <c r="B698" s="537"/>
      <c r="C698" s="537"/>
      <c r="D698" s="537"/>
      <c r="E698" s="537"/>
      <c r="F698" s="537"/>
      <c r="G698" s="537"/>
      <c r="H698" s="537"/>
      <c r="I698" s="537"/>
      <c r="L698" s="537"/>
      <c r="AA698" s="539"/>
      <c r="AB698" s="539"/>
      <c r="AC698" s="539"/>
      <c r="AD698" s="539"/>
      <c r="AE698" s="539"/>
      <c r="AF698" s="539"/>
      <c r="AG698" s="537"/>
    </row>
    <row r="699" spans="1:33" ht="10.5" customHeight="1" x14ac:dyDescent="0.2">
      <c r="A699" s="537"/>
      <c r="B699" s="537"/>
      <c r="C699" s="537"/>
      <c r="D699" s="537"/>
      <c r="E699" s="537"/>
      <c r="F699" s="537"/>
      <c r="G699" s="537"/>
      <c r="H699" s="537"/>
      <c r="I699" s="537"/>
      <c r="L699" s="537"/>
      <c r="AA699" s="539"/>
      <c r="AB699" s="539"/>
      <c r="AC699" s="539"/>
      <c r="AD699" s="539"/>
      <c r="AE699" s="539"/>
      <c r="AF699" s="539"/>
      <c r="AG699" s="537"/>
    </row>
    <row r="700" spans="1:33" ht="10.5" customHeight="1" x14ac:dyDescent="0.2">
      <c r="A700" s="537"/>
      <c r="B700" s="537"/>
      <c r="C700" s="537"/>
      <c r="D700" s="537"/>
      <c r="E700" s="537"/>
      <c r="F700" s="537"/>
      <c r="G700" s="537"/>
      <c r="H700" s="537"/>
      <c r="I700" s="537"/>
      <c r="L700" s="537"/>
      <c r="AA700" s="539"/>
      <c r="AB700" s="539"/>
      <c r="AC700" s="539"/>
      <c r="AD700" s="539"/>
      <c r="AE700" s="539"/>
      <c r="AF700" s="539"/>
      <c r="AG700" s="537"/>
    </row>
    <row r="701" spans="1:33" ht="10.5" customHeight="1" x14ac:dyDescent="0.2">
      <c r="A701" s="537"/>
      <c r="B701" s="537"/>
      <c r="C701" s="537"/>
      <c r="D701" s="537"/>
      <c r="E701" s="537"/>
      <c r="F701" s="537"/>
      <c r="G701" s="537"/>
      <c r="H701" s="537"/>
      <c r="I701" s="537"/>
      <c r="L701" s="537"/>
      <c r="AA701" s="539"/>
      <c r="AB701" s="539"/>
      <c r="AC701" s="539"/>
      <c r="AD701" s="539"/>
      <c r="AE701" s="539"/>
      <c r="AF701" s="539"/>
      <c r="AG701" s="537"/>
    </row>
    <row r="702" spans="1:33" ht="10.5" customHeight="1" x14ac:dyDescent="0.2">
      <c r="A702" s="537"/>
      <c r="B702" s="537"/>
      <c r="C702" s="537"/>
      <c r="D702" s="537"/>
      <c r="E702" s="537"/>
      <c r="F702" s="537"/>
      <c r="G702" s="537"/>
      <c r="H702" s="537"/>
      <c r="I702" s="537"/>
      <c r="L702" s="537"/>
      <c r="AA702" s="539"/>
      <c r="AB702" s="539"/>
      <c r="AC702" s="539"/>
      <c r="AD702" s="539"/>
      <c r="AE702" s="539"/>
      <c r="AF702" s="539"/>
      <c r="AG702" s="537"/>
    </row>
    <row r="703" spans="1:33" ht="10.5" customHeight="1" x14ac:dyDescent="0.2">
      <c r="A703" s="537"/>
      <c r="B703" s="537"/>
      <c r="C703" s="537"/>
      <c r="D703" s="537"/>
      <c r="E703" s="537"/>
      <c r="F703" s="537"/>
      <c r="G703" s="537"/>
      <c r="H703" s="537"/>
      <c r="I703" s="537"/>
      <c r="L703" s="537"/>
      <c r="AA703" s="539"/>
      <c r="AB703" s="539"/>
      <c r="AC703" s="539"/>
      <c r="AD703" s="539"/>
      <c r="AE703" s="539"/>
      <c r="AF703" s="539"/>
      <c r="AG703" s="537"/>
    </row>
    <row r="704" spans="1:33" ht="10.5" customHeight="1" x14ac:dyDescent="0.2">
      <c r="A704" s="537"/>
      <c r="B704" s="537"/>
      <c r="C704" s="537"/>
      <c r="D704" s="537"/>
      <c r="E704" s="537"/>
      <c r="F704" s="537"/>
      <c r="G704" s="537"/>
      <c r="H704" s="537"/>
      <c r="I704" s="537"/>
      <c r="L704" s="537"/>
      <c r="AA704" s="539"/>
      <c r="AB704" s="539"/>
      <c r="AC704" s="539"/>
      <c r="AD704" s="539"/>
      <c r="AE704" s="539"/>
      <c r="AF704" s="539"/>
      <c r="AG704" s="537"/>
    </row>
    <row r="705" spans="1:33" ht="10.5" customHeight="1" x14ac:dyDescent="0.2">
      <c r="A705" s="537"/>
      <c r="B705" s="537"/>
      <c r="C705" s="537"/>
      <c r="D705" s="537"/>
      <c r="E705" s="537"/>
      <c r="F705" s="537"/>
      <c r="G705" s="537"/>
      <c r="H705" s="537"/>
      <c r="I705" s="537"/>
      <c r="L705" s="537"/>
      <c r="AA705" s="539"/>
      <c r="AB705" s="539"/>
      <c r="AC705" s="539"/>
      <c r="AD705" s="539"/>
      <c r="AE705" s="539"/>
      <c r="AF705" s="539"/>
      <c r="AG705" s="537"/>
    </row>
    <row r="706" spans="1:33" ht="10.5" customHeight="1" x14ac:dyDescent="0.2">
      <c r="A706" s="537"/>
      <c r="B706" s="537"/>
      <c r="C706" s="537"/>
      <c r="D706" s="537"/>
      <c r="E706" s="537"/>
      <c r="F706" s="537"/>
      <c r="G706" s="537"/>
      <c r="H706" s="537"/>
      <c r="I706" s="537"/>
      <c r="L706" s="537"/>
      <c r="AA706" s="539"/>
      <c r="AB706" s="539"/>
      <c r="AC706" s="539"/>
      <c r="AD706" s="539"/>
      <c r="AE706" s="539"/>
      <c r="AF706" s="539"/>
      <c r="AG706" s="537"/>
    </row>
    <row r="707" spans="1:33" ht="10.5" customHeight="1" x14ac:dyDescent="0.2">
      <c r="A707" s="537"/>
      <c r="B707" s="537"/>
      <c r="C707" s="537"/>
      <c r="D707" s="537"/>
      <c r="E707" s="537"/>
      <c r="F707" s="537"/>
      <c r="G707" s="537"/>
      <c r="H707" s="537"/>
      <c r="I707" s="537"/>
      <c r="L707" s="537"/>
      <c r="AA707" s="539"/>
      <c r="AB707" s="539"/>
      <c r="AC707" s="539"/>
      <c r="AD707" s="539"/>
      <c r="AE707" s="539"/>
      <c r="AF707" s="539"/>
      <c r="AG707" s="537"/>
    </row>
    <row r="708" spans="1:33" ht="10.5" customHeight="1" x14ac:dyDescent="0.2">
      <c r="A708" s="537"/>
      <c r="B708" s="537"/>
      <c r="C708" s="537"/>
      <c r="D708" s="537"/>
      <c r="E708" s="537"/>
      <c r="F708" s="537"/>
      <c r="G708" s="537"/>
      <c r="H708" s="537"/>
      <c r="I708" s="537"/>
      <c r="L708" s="537"/>
      <c r="AA708" s="539"/>
      <c r="AB708" s="539"/>
      <c r="AC708" s="539"/>
      <c r="AD708" s="539"/>
      <c r="AE708" s="539"/>
      <c r="AF708" s="539"/>
      <c r="AG708" s="537"/>
    </row>
    <row r="709" spans="1:33" ht="10.5" customHeight="1" x14ac:dyDescent="0.2">
      <c r="A709" s="537"/>
      <c r="B709" s="537"/>
      <c r="C709" s="537"/>
      <c r="D709" s="537"/>
      <c r="E709" s="537"/>
      <c r="F709" s="537"/>
      <c r="G709" s="537"/>
      <c r="H709" s="537"/>
      <c r="I709" s="537"/>
      <c r="L709" s="537"/>
      <c r="AA709" s="539"/>
      <c r="AB709" s="539"/>
      <c r="AC709" s="539"/>
      <c r="AD709" s="539"/>
      <c r="AE709" s="539"/>
      <c r="AF709" s="539"/>
      <c r="AG709" s="537"/>
    </row>
    <row r="710" spans="1:33" ht="10.5" customHeight="1" x14ac:dyDescent="0.2">
      <c r="A710" s="537"/>
      <c r="B710" s="537"/>
      <c r="C710" s="537"/>
      <c r="D710" s="537"/>
      <c r="E710" s="537"/>
      <c r="F710" s="537"/>
      <c r="G710" s="537"/>
      <c r="H710" s="537"/>
      <c r="I710" s="537"/>
      <c r="L710" s="537"/>
      <c r="AA710" s="539"/>
      <c r="AB710" s="539"/>
      <c r="AC710" s="539"/>
      <c r="AD710" s="539"/>
      <c r="AE710" s="539"/>
      <c r="AF710" s="539"/>
      <c r="AG710" s="537"/>
    </row>
    <row r="711" spans="1:33" ht="10.5" customHeight="1" x14ac:dyDescent="0.2">
      <c r="A711" s="537"/>
      <c r="B711" s="537"/>
      <c r="C711" s="537"/>
      <c r="D711" s="537"/>
      <c r="E711" s="537"/>
      <c r="F711" s="537"/>
      <c r="G711" s="537"/>
      <c r="H711" s="537"/>
      <c r="I711" s="537"/>
      <c r="L711" s="537"/>
      <c r="AA711" s="539"/>
      <c r="AB711" s="539"/>
      <c r="AC711" s="539"/>
      <c r="AD711" s="539"/>
      <c r="AE711" s="539"/>
      <c r="AF711" s="539"/>
      <c r="AG711" s="537"/>
    </row>
    <row r="712" spans="1:33" ht="10.5" customHeight="1" x14ac:dyDescent="0.2">
      <c r="A712" s="537"/>
      <c r="B712" s="537"/>
      <c r="C712" s="537"/>
      <c r="D712" s="537"/>
      <c r="E712" s="537"/>
      <c r="F712" s="537"/>
      <c r="G712" s="537"/>
      <c r="H712" s="537"/>
      <c r="I712" s="537"/>
      <c r="L712" s="537"/>
      <c r="AA712" s="539"/>
      <c r="AB712" s="539"/>
      <c r="AC712" s="539"/>
      <c r="AD712" s="539"/>
      <c r="AE712" s="539"/>
      <c r="AF712" s="539"/>
      <c r="AG712" s="537"/>
    </row>
    <row r="713" spans="1:33" ht="10.5" customHeight="1" x14ac:dyDescent="0.2">
      <c r="A713" s="537"/>
      <c r="B713" s="537"/>
      <c r="C713" s="537"/>
      <c r="D713" s="537"/>
      <c r="E713" s="537"/>
      <c r="F713" s="537"/>
      <c r="G713" s="537"/>
      <c r="H713" s="537"/>
      <c r="I713" s="537"/>
      <c r="L713" s="537"/>
      <c r="AA713" s="539"/>
      <c r="AB713" s="539"/>
      <c r="AC713" s="539"/>
      <c r="AD713" s="539"/>
      <c r="AE713" s="539"/>
      <c r="AF713" s="539"/>
      <c r="AG713" s="537"/>
    </row>
    <row r="714" spans="1:33" ht="10.5" customHeight="1" x14ac:dyDescent="0.2">
      <c r="A714" s="537"/>
      <c r="B714" s="537"/>
      <c r="C714" s="537"/>
      <c r="D714" s="537"/>
      <c r="E714" s="537"/>
      <c r="F714" s="537"/>
      <c r="G714" s="537"/>
      <c r="H714" s="537"/>
      <c r="I714" s="537"/>
      <c r="L714" s="537"/>
      <c r="AA714" s="539"/>
      <c r="AB714" s="539"/>
      <c r="AC714" s="539"/>
      <c r="AD714" s="539"/>
      <c r="AE714" s="539"/>
      <c r="AF714" s="539"/>
      <c r="AG714" s="537"/>
    </row>
    <row r="715" spans="1:33" ht="10.5" customHeight="1" x14ac:dyDescent="0.2">
      <c r="A715" s="537"/>
      <c r="B715" s="537"/>
      <c r="C715" s="537"/>
      <c r="D715" s="537"/>
      <c r="E715" s="537"/>
      <c r="F715" s="537"/>
      <c r="G715" s="537"/>
      <c r="H715" s="537"/>
      <c r="I715" s="537"/>
      <c r="L715" s="537"/>
      <c r="AA715" s="539"/>
      <c r="AB715" s="539"/>
      <c r="AC715" s="539"/>
      <c r="AD715" s="539"/>
      <c r="AE715" s="539"/>
      <c r="AF715" s="539"/>
      <c r="AG715" s="537"/>
    </row>
    <row r="716" spans="1:33" ht="10.5" customHeight="1" x14ac:dyDescent="0.2">
      <c r="A716" s="537"/>
      <c r="B716" s="537"/>
      <c r="C716" s="537"/>
      <c r="D716" s="537"/>
      <c r="E716" s="537"/>
      <c r="F716" s="537"/>
      <c r="G716" s="537"/>
      <c r="H716" s="537"/>
      <c r="I716" s="537"/>
      <c r="L716" s="537"/>
      <c r="AA716" s="539"/>
      <c r="AB716" s="539"/>
      <c r="AC716" s="539"/>
      <c r="AD716" s="539"/>
      <c r="AE716" s="539"/>
      <c r="AF716" s="539"/>
      <c r="AG716" s="537"/>
    </row>
    <row r="717" spans="1:33" ht="10.5" customHeight="1" x14ac:dyDescent="0.2">
      <c r="A717" s="537"/>
      <c r="B717" s="537"/>
      <c r="C717" s="537"/>
      <c r="D717" s="537"/>
      <c r="E717" s="537"/>
      <c r="F717" s="537"/>
      <c r="G717" s="537"/>
      <c r="H717" s="537"/>
      <c r="I717" s="537"/>
      <c r="L717" s="537"/>
      <c r="AA717" s="539"/>
      <c r="AB717" s="539"/>
      <c r="AC717" s="539"/>
      <c r="AD717" s="539"/>
      <c r="AE717" s="539"/>
      <c r="AF717" s="539"/>
      <c r="AG717" s="537"/>
    </row>
    <row r="718" spans="1:33" ht="10.5" customHeight="1" x14ac:dyDescent="0.2">
      <c r="A718" s="537"/>
      <c r="B718" s="537"/>
      <c r="C718" s="537"/>
      <c r="D718" s="537"/>
      <c r="E718" s="537"/>
      <c r="F718" s="537"/>
      <c r="G718" s="537"/>
      <c r="H718" s="537"/>
      <c r="I718" s="537"/>
      <c r="L718" s="537"/>
      <c r="AA718" s="539"/>
      <c r="AB718" s="539"/>
      <c r="AC718" s="539"/>
      <c r="AD718" s="539"/>
      <c r="AE718" s="539"/>
      <c r="AF718" s="539"/>
      <c r="AG718" s="537"/>
    </row>
    <row r="719" spans="1:33" ht="10.5" customHeight="1" x14ac:dyDescent="0.2">
      <c r="A719" s="537"/>
      <c r="B719" s="537"/>
      <c r="C719" s="537"/>
      <c r="D719" s="537"/>
      <c r="E719" s="537"/>
      <c r="F719" s="537"/>
      <c r="G719" s="537"/>
      <c r="H719" s="537"/>
      <c r="I719" s="537"/>
      <c r="L719" s="537"/>
      <c r="AA719" s="539"/>
      <c r="AB719" s="539"/>
      <c r="AC719" s="539"/>
      <c r="AD719" s="539"/>
      <c r="AE719" s="539"/>
      <c r="AF719" s="539"/>
      <c r="AG719" s="537"/>
    </row>
    <row r="720" spans="1:33" ht="10.5" customHeight="1" x14ac:dyDescent="0.2">
      <c r="A720" s="537"/>
      <c r="B720" s="537"/>
      <c r="C720" s="537"/>
      <c r="D720" s="537"/>
      <c r="E720" s="537"/>
      <c r="F720" s="537"/>
      <c r="G720" s="537"/>
      <c r="H720" s="537"/>
      <c r="I720" s="537"/>
      <c r="L720" s="537"/>
      <c r="AA720" s="539"/>
      <c r="AB720" s="539"/>
      <c r="AC720" s="539"/>
      <c r="AD720" s="539"/>
      <c r="AE720" s="539"/>
      <c r="AF720" s="539"/>
      <c r="AG720" s="537"/>
    </row>
    <row r="721" spans="1:33" ht="10.5" customHeight="1" x14ac:dyDescent="0.2">
      <c r="A721" s="537"/>
      <c r="B721" s="537"/>
      <c r="C721" s="537"/>
      <c r="D721" s="537"/>
      <c r="E721" s="537"/>
      <c r="F721" s="537"/>
      <c r="G721" s="537"/>
      <c r="H721" s="537"/>
      <c r="I721" s="537"/>
      <c r="L721" s="537"/>
      <c r="AA721" s="539"/>
      <c r="AB721" s="539"/>
      <c r="AC721" s="539"/>
      <c r="AD721" s="539"/>
      <c r="AE721" s="539"/>
      <c r="AF721" s="539"/>
      <c r="AG721" s="537"/>
    </row>
    <row r="722" spans="1:33" ht="10.5" customHeight="1" x14ac:dyDescent="0.2">
      <c r="A722" s="537"/>
      <c r="B722" s="537"/>
      <c r="C722" s="537"/>
      <c r="D722" s="537"/>
      <c r="E722" s="537"/>
      <c r="F722" s="537"/>
      <c r="G722" s="537"/>
      <c r="H722" s="537"/>
      <c r="I722" s="537"/>
      <c r="L722" s="537"/>
      <c r="AA722" s="539"/>
      <c r="AB722" s="539"/>
      <c r="AC722" s="539"/>
      <c r="AD722" s="539"/>
      <c r="AE722" s="539"/>
      <c r="AF722" s="539"/>
      <c r="AG722" s="537"/>
    </row>
    <row r="723" spans="1:33" ht="10.5" customHeight="1" x14ac:dyDescent="0.2">
      <c r="A723" s="537"/>
      <c r="B723" s="537"/>
      <c r="C723" s="537"/>
      <c r="D723" s="537"/>
      <c r="E723" s="537"/>
      <c r="F723" s="537"/>
      <c r="G723" s="537"/>
      <c r="H723" s="537"/>
      <c r="I723" s="537"/>
      <c r="L723" s="537"/>
      <c r="AA723" s="539"/>
      <c r="AB723" s="539"/>
      <c r="AC723" s="539"/>
      <c r="AD723" s="539"/>
      <c r="AE723" s="539"/>
      <c r="AF723" s="539"/>
      <c r="AG723" s="537"/>
    </row>
    <row r="724" spans="1:33" ht="10.5" customHeight="1" x14ac:dyDescent="0.2">
      <c r="A724" s="537"/>
      <c r="B724" s="537"/>
      <c r="C724" s="537"/>
      <c r="D724" s="537"/>
      <c r="E724" s="537"/>
      <c r="F724" s="537"/>
      <c r="G724" s="537"/>
      <c r="H724" s="537"/>
      <c r="I724" s="537"/>
      <c r="L724" s="537"/>
      <c r="AA724" s="539"/>
      <c r="AB724" s="539"/>
      <c r="AC724" s="539"/>
      <c r="AD724" s="539"/>
      <c r="AE724" s="539"/>
      <c r="AF724" s="539"/>
      <c r="AG724" s="537"/>
    </row>
    <row r="725" spans="1:33" ht="10.5" customHeight="1" x14ac:dyDescent="0.2">
      <c r="A725" s="537"/>
      <c r="B725" s="537"/>
      <c r="C725" s="537"/>
      <c r="D725" s="537"/>
      <c r="E725" s="537"/>
      <c r="F725" s="537"/>
      <c r="G725" s="537"/>
      <c r="H725" s="537"/>
      <c r="I725" s="537"/>
      <c r="L725" s="537"/>
      <c r="AA725" s="539"/>
      <c r="AB725" s="539"/>
      <c r="AC725" s="539"/>
      <c r="AD725" s="539"/>
      <c r="AE725" s="539"/>
      <c r="AF725" s="539"/>
      <c r="AG725" s="537"/>
    </row>
    <row r="726" spans="1:33" ht="10.5" customHeight="1" x14ac:dyDescent="0.2">
      <c r="A726" s="537"/>
      <c r="B726" s="537"/>
      <c r="C726" s="537"/>
      <c r="D726" s="537"/>
      <c r="E726" s="537"/>
      <c r="F726" s="537"/>
      <c r="G726" s="537"/>
      <c r="H726" s="537"/>
      <c r="I726" s="537"/>
      <c r="L726" s="537"/>
      <c r="AA726" s="539"/>
      <c r="AB726" s="539"/>
      <c r="AC726" s="539"/>
      <c r="AD726" s="539"/>
      <c r="AE726" s="539"/>
      <c r="AF726" s="539"/>
      <c r="AG726" s="537"/>
    </row>
    <row r="727" spans="1:33" ht="10.5" customHeight="1" x14ac:dyDescent="0.2">
      <c r="A727" s="537"/>
      <c r="B727" s="537"/>
      <c r="C727" s="537"/>
      <c r="D727" s="537"/>
      <c r="E727" s="537"/>
      <c r="F727" s="537"/>
      <c r="G727" s="537"/>
      <c r="H727" s="537"/>
      <c r="I727" s="537"/>
      <c r="L727" s="537"/>
      <c r="AA727" s="539"/>
      <c r="AB727" s="539"/>
      <c r="AC727" s="539"/>
      <c r="AD727" s="539"/>
      <c r="AE727" s="539"/>
      <c r="AF727" s="539"/>
      <c r="AG727" s="537"/>
    </row>
    <row r="728" spans="1:33" ht="10.5" customHeight="1" x14ac:dyDescent="0.2">
      <c r="A728" s="537"/>
      <c r="B728" s="537"/>
      <c r="C728" s="537"/>
      <c r="D728" s="537"/>
      <c r="E728" s="537"/>
      <c r="F728" s="537"/>
      <c r="G728" s="537"/>
      <c r="H728" s="537"/>
      <c r="I728" s="537"/>
      <c r="L728" s="537"/>
      <c r="AA728" s="539"/>
      <c r="AB728" s="539"/>
      <c r="AC728" s="539"/>
      <c r="AD728" s="539"/>
      <c r="AE728" s="539"/>
      <c r="AF728" s="539"/>
      <c r="AG728" s="537"/>
    </row>
    <row r="729" spans="1:33" ht="10.5" customHeight="1" x14ac:dyDescent="0.2">
      <c r="A729" s="537"/>
      <c r="B729" s="537"/>
      <c r="C729" s="537"/>
      <c r="D729" s="537"/>
      <c r="E729" s="537"/>
      <c r="F729" s="537"/>
      <c r="G729" s="537"/>
      <c r="H729" s="537"/>
      <c r="I729" s="537"/>
      <c r="L729" s="537"/>
      <c r="AA729" s="539"/>
      <c r="AB729" s="539"/>
      <c r="AC729" s="539"/>
      <c r="AD729" s="539"/>
      <c r="AE729" s="539"/>
      <c r="AF729" s="539"/>
      <c r="AG729" s="537"/>
    </row>
    <row r="730" spans="1:33" ht="10.5" customHeight="1" x14ac:dyDescent="0.2">
      <c r="A730" s="537"/>
      <c r="B730" s="537"/>
      <c r="C730" s="537"/>
      <c r="D730" s="537"/>
      <c r="E730" s="537"/>
      <c r="F730" s="537"/>
      <c r="G730" s="537"/>
      <c r="H730" s="537"/>
      <c r="I730" s="537"/>
      <c r="L730" s="537"/>
      <c r="AA730" s="539"/>
      <c r="AB730" s="539"/>
      <c r="AC730" s="539"/>
      <c r="AD730" s="539"/>
      <c r="AE730" s="539"/>
      <c r="AF730" s="539"/>
      <c r="AG730" s="537"/>
    </row>
    <row r="731" spans="1:33" ht="10.5" customHeight="1" x14ac:dyDescent="0.2">
      <c r="A731" s="537"/>
      <c r="B731" s="537"/>
      <c r="C731" s="537"/>
      <c r="D731" s="537"/>
      <c r="E731" s="537"/>
      <c r="F731" s="537"/>
      <c r="G731" s="537"/>
      <c r="H731" s="537"/>
      <c r="I731" s="537"/>
      <c r="L731" s="537"/>
      <c r="AA731" s="539"/>
      <c r="AB731" s="539"/>
      <c r="AC731" s="539"/>
      <c r="AD731" s="539"/>
      <c r="AE731" s="539"/>
      <c r="AF731" s="539"/>
      <c r="AG731" s="537"/>
    </row>
    <row r="732" spans="1:33" ht="10.5" customHeight="1" x14ac:dyDescent="0.2">
      <c r="A732" s="537"/>
      <c r="B732" s="537"/>
      <c r="C732" s="537"/>
      <c r="D732" s="537"/>
      <c r="E732" s="537"/>
      <c r="F732" s="537"/>
      <c r="G732" s="537"/>
      <c r="H732" s="537"/>
      <c r="I732" s="537"/>
      <c r="L732" s="537"/>
      <c r="AA732" s="539"/>
      <c r="AB732" s="539"/>
      <c r="AC732" s="539"/>
      <c r="AD732" s="539"/>
      <c r="AE732" s="539"/>
      <c r="AF732" s="539"/>
      <c r="AG732" s="537"/>
    </row>
    <row r="733" spans="1:33" ht="10.5" customHeight="1" x14ac:dyDescent="0.2">
      <c r="A733" s="537"/>
      <c r="B733" s="537"/>
      <c r="C733" s="537"/>
      <c r="D733" s="537"/>
      <c r="E733" s="537"/>
      <c r="F733" s="537"/>
      <c r="G733" s="537"/>
      <c r="H733" s="537"/>
      <c r="I733" s="537"/>
      <c r="L733" s="537"/>
      <c r="AA733" s="539"/>
      <c r="AB733" s="539"/>
      <c r="AC733" s="539"/>
      <c r="AD733" s="539"/>
      <c r="AE733" s="539"/>
      <c r="AF733" s="539"/>
      <c r="AG733" s="537"/>
    </row>
    <row r="734" spans="1:33" ht="10.5" customHeight="1" x14ac:dyDescent="0.2">
      <c r="A734" s="537"/>
      <c r="B734" s="537"/>
      <c r="C734" s="537"/>
      <c r="D734" s="537"/>
      <c r="E734" s="537"/>
      <c r="F734" s="537"/>
      <c r="G734" s="537"/>
      <c r="H734" s="537"/>
      <c r="I734" s="537"/>
      <c r="L734" s="537"/>
      <c r="AA734" s="539"/>
      <c r="AB734" s="539"/>
      <c r="AC734" s="539"/>
      <c r="AD734" s="539"/>
      <c r="AE734" s="539"/>
      <c r="AF734" s="539"/>
      <c r="AG734" s="537"/>
    </row>
    <row r="735" spans="1:33" ht="10.5" customHeight="1" x14ac:dyDescent="0.2">
      <c r="A735" s="537"/>
      <c r="B735" s="537"/>
      <c r="C735" s="537"/>
      <c r="D735" s="537"/>
      <c r="E735" s="537"/>
      <c r="F735" s="537"/>
      <c r="G735" s="537"/>
      <c r="H735" s="537"/>
      <c r="I735" s="537"/>
      <c r="L735" s="537"/>
      <c r="AA735" s="539"/>
      <c r="AB735" s="539"/>
      <c r="AC735" s="539"/>
      <c r="AD735" s="539"/>
      <c r="AE735" s="539"/>
      <c r="AF735" s="539"/>
      <c r="AG735" s="537"/>
    </row>
    <row r="736" spans="1:33" ht="10.5" customHeight="1" x14ac:dyDescent="0.2">
      <c r="A736" s="537"/>
      <c r="B736" s="537"/>
      <c r="C736" s="537"/>
      <c r="D736" s="537"/>
      <c r="E736" s="537"/>
      <c r="F736" s="537"/>
      <c r="G736" s="537"/>
      <c r="H736" s="537"/>
      <c r="I736" s="537"/>
      <c r="L736" s="537"/>
      <c r="AA736" s="539"/>
      <c r="AB736" s="539"/>
      <c r="AC736" s="539"/>
      <c r="AD736" s="539"/>
      <c r="AE736" s="539"/>
      <c r="AF736" s="539"/>
      <c r="AG736" s="537"/>
    </row>
    <row r="737" spans="1:33" ht="10.5" customHeight="1" x14ac:dyDescent="0.2">
      <c r="A737" s="537"/>
      <c r="B737" s="537"/>
      <c r="C737" s="537"/>
      <c r="D737" s="537"/>
      <c r="E737" s="537"/>
      <c r="F737" s="537"/>
      <c r="G737" s="537"/>
      <c r="H737" s="537"/>
      <c r="I737" s="537"/>
      <c r="L737" s="537"/>
      <c r="AA737" s="539"/>
      <c r="AB737" s="539"/>
      <c r="AC737" s="539"/>
      <c r="AD737" s="539"/>
      <c r="AE737" s="539"/>
      <c r="AF737" s="539"/>
      <c r="AG737" s="537"/>
    </row>
    <row r="738" spans="1:33" ht="10.5" customHeight="1" x14ac:dyDescent="0.2">
      <c r="A738" s="537"/>
      <c r="B738" s="537"/>
      <c r="C738" s="537"/>
      <c r="D738" s="537"/>
      <c r="E738" s="537"/>
      <c r="F738" s="537"/>
      <c r="G738" s="537"/>
      <c r="H738" s="537"/>
      <c r="I738" s="537"/>
      <c r="L738" s="537"/>
      <c r="AA738" s="539"/>
      <c r="AB738" s="539"/>
      <c r="AC738" s="539"/>
      <c r="AD738" s="539"/>
      <c r="AE738" s="539"/>
      <c r="AF738" s="539"/>
      <c r="AG738" s="537"/>
    </row>
    <row r="739" spans="1:33" ht="10.5" customHeight="1" x14ac:dyDescent="0.2">
      <c r="A739" s="537"/>
      <c r="B739" s="537"/>
      <c r="C739" s="537"/>
      <c r="D739" s="537"/>
      <c r="E739" s="537"/>
      <c r="F739" s="537"/>
      <c r="G739" s="537"/>
      <c r="H739" s="537"/>
      <c r="I739" s="537"/>
      <c r="L739" s="537"/>
      <c r="AA739" s="539"/>
      <c r="AB739" s="539"/>
      <c r="AC739" s="539"/>
      <c r="AD739" s="539"/>
      <c r="AE739" s="539"/>
      <c r="AF739" s="539"/>
      <c r="AG739" s="537"/>
    </row>
    <row r="740" spans="1:33" ht="10.5" customHeight="1" x14ac:dyDescent="0.2">
      <c r="A740" s="537"/>
      <c r="B740" s="537"/>
      <c r="C740" s="537"/>
      <c r="D740" s="537"/>
      <c r="E740" s="537"/>
      <c r="F740" s="537"/>
      <c r="G740" s="537"/>
      <c r="H740" s="537"/>
      <c r="I740" s="537"/>
      <c r="L740" s="537"/>
      <c r="AA740" s="539"/>
      <c r="AB740" s="539"/>
      <c r="AC740" s="539"/>
      <c r="AD740" s="539"/>
      <c r="AE740" s="539"/>
      <c r="AF740" s="539"/>
      <c r="AG740" s="537"/>
    </row>
    <row r="741" spans="1:33" ht="10.5" customHeight="1" x14ac:dyDescent="0.2">
      <c r="A741" s="537"/>
      <c r="B741" s="537"/>
      <c r="C741" s="537"/>
      <c r="D741" s="537"/>
      <c r="E741" s="537"/>
      <c r="F741" s="537"/>
      <c r="G741" s="537"/>
      <c r="H741" s="537"/>
      <c r="I741" s="537"/>
      <c r="L741" s="537"/>
      <c r="AA741" s="539"/>
      <c r="AB741" s="539"/>
      <c r="AC741" s="539"/>
      <c r="AD741" s="539"/>
      <c r="AE741" s="539"/>
      <c r="AF741" s="539"/>
      <c r="AG741" s="537"/>
    </row>
    <row r="742" spans="1:33" ht="10.5" customHeight="1" x14ac:dyDescent="0.2">
      <c r="A742" s="537"/>
      <c r="B742" s="537"/>
      <c r="C742" s="537"/>
      <c r="D742" s="537"/>
      <c r="E742" s="537"/>
      <c r="F742" s="537"/>
      <c r="G742" s="537"/>
      <c r="H742" s="537"/>
      <c r="I742" s="537"/>
      <c r="L742" s="537"/>
      <c r="AA742" s="539"/>
      <c r="AB742" s="539"/>
      <c r="AC742" s="539"/>
      <c r="AD742" s="539"/>
      <c r="AE742" s="539"/>
      <c r="AF742" s="539"/>
      <c r="AG742" s="537"/>
    </row>
    <row r="743" spans="1:33" ht="10.5" customHeight="1" x14ac:dyDescent="0.2">
      <c r="A743" s="537"/>
      <c r="B743" s="537"/>
      <c r="C743" s="537"/>
      <c r="D743" s="537"/>
      <c r="E743" s="537"/>
      <c r="F743" s="537"/>
      <c r="G743" s="537"/>
      <c r="H743" s="537"/>
      <c r="I743" s="537"/>
      <c r="L743" s="537"/>
      <c r="AA743" s="539"/>
      <c r="AB743" s="539"/>
      <c r="AC743" s="539"/>
      <c r="AD743" s="539"/>
      <c r="AE743" s="539"/>
      <c r="AF743" s="539"/>
      <c r="AG743" s="537"/>
    </row>
    <row r="744" spans="1:33" ht="10.5" customHeight="1" x14ac:dyDescent="0.2">
      <c r="A744" s="537"/>
      <c r="B744" s="537"/>
      <c r="C744" s="537"/>
      <c r="D744" s="537"/>
      <c r="E744" s="537"/>
      <c r="F744" s="537"/>
      <c r="G744" s="537"/>
      <c r="H744" s="537"/>
      <c r="I744" s="537"/>
      <c r="L744" s="537"/>
      <c r="AA744" s="539"/>
      <c r="AB744" s="539"/>
      <c r="AC744" s="539"/>
      <c r="AD744" s="539"/>
      <c r="AE744" s="539"/>
      <c r="AF744" s="539"/>
      <c r="AG744" s="537"/>
    </row>
    <row r="745" spans="1:33" ht="10.5" customHeight="1" x14ac:dyDescent="0.2">
      <c r="A745" s="537"/>
      <c r="B745" s="537"/>
      <c r="C745" s="537"/>
      <c r="D745" s="537"/>
      <c r="E745" s="537"/>
      <c r="F745" s="537"/>
      <c r="G745" s="537"/>
      <c r="H745" s="537"/>
      <c r="I745" s="537"/>
      <c r="L745" s="537"/>
      <c r="AA745" s="539"/>
      <c r="AB745" s="539"/>
      <c r="AC745" s="539"/>
      <c r="AD745" s="539"/>
      <c r="AE745" s="539"/>
      <c r="AF745" s="539"/>
      <c r="AG745" s="537"/>
    </row>
    <row r="746" spans="1:33" ht="10.5" customHeight="1" x14ac:dyDescent="0.2">
      <c r="A746" s="537"/>
      <c r="B746" s="537"/>
      <c r="C746" s="537"/>
      <c r="D746" s="537"/>
      <c r="E746" s="537"/>
      <c r="F746" s="537"/>
      <c r="G746" s="537"/>
      <c r="H746" s="537"/>
      <c r="I746" s="537"/>
      <c r="L746" s="537"/>
      <c r="AA746" s="539"/>
      <c r="AB746" s="539"/>
      <c r="AC746" s="539"/>
      <c r="AD746" s="539"/>
      <c r="AE746" s="539"/>
      <c r="AF746" s="539"/>
      <c r="AG746" s="537"/>
    </row>
    <row r="747" spans="1:33" ht="10.5" customHeight="1" x14ac:dyDescent="0.2">
      <c r="A747" s="537"/>
      <c r="B747" s="537"/>
      <c r="C747" s="537"/>
      <c r="D747" s="537"/>
      <c r="E747" s="537"/>
      <c r="F747" s="537"/>
      <c r="G747" s="537"/>
      <c r="H747" s="537"/>
      <c r="I747" s="537"/>
      <c r="L747" s="537"/>
      <c r="AA747" s="539"/>
      <c r="AB747" s="539"/>
      <c r="AC747" s="539"/>
      <c r="AD747" s="539"/>
      <c r="AE747" s="539"/>
      <c r="AF747" s="539"/>
      <c r="AG747" s="537"/>
    </row>
    <row r="748" spans="1:33" ht="10.5" customHeight="1" x14ac:dyDescent="0.2">
      <c r="A748" s="537"/>
      <c r="B748" s="537"/>
      <c r="C748" s="537"/>
      <c r="D748" s="537"/>
      <c r="E748" s="537"/>
      <c r="F748" s="537"/>
      <c r="G748" s="537"/>
      <c r="H748" s="537"/>
      <c r="I748" s="537"/>
      <c r="L748" s="537"/>
      <c r="AA748" s="539"/>
      <c r="AB748" s="539"/>
      <c r="AC748" s="539"/>
      <c r="AD748" s="539"/>
      <c r="AE748" s="539"/>
      <c r="AF748" s="539"/>
      <c r="AG748" s="537"/>
    </row>
    <row r="749" spans="1:33" ht="10.5" customHeight="1" x14ac:dyDescent="0.2">
      <c r="A749" s="537"/>
      <c r="B749" s="537"/>
      <c r="C749" s="537"/>
      <c r="D749" s="537"/>
      <c r="E749" s="537"/>
      <c r="F749" s="537"/>
      <c r="G749" s="537"/>
      <c r="H749" s="537"/>
      <c r="I749" s="537"/>
      <c r="L749" s="537"/>
      <c r="AA749" s="539"/>
      <c r="AB749" s="539"/>
      <c r="AC749" s="539"/>
      <c r="AD749" s="539"/>
      <c r="AE749" s="539"/>
      <c r="AF749" s="539"/>
      <c r="AG749" s="537"/>
    </row>
    <row r="750" spans="1:33" ht="10.5" customHeight="1" x14ac:dyDescent="0.2">
      <c r="A750" s="537"/>
      <c r="B750" s="537"/>
      <c r="C750" s="537"/>
      <c r="D750" s="537"/>
      <c r="E750" s="537"/>
      <c r="F750" s="537"/>
      <c r="G750" s="537"/>
      <c r="H750" s="537"/>
      <c r="I750" s="537"/>
      <c r="L750" s="537"/>
      <c r="AA750" s="539"/>
      <c r="AB750" s="539"/>
      <c r="AC750" s="539"/>
      <c r="AD750" s="539"/>
      <c r="AE750" s="539"/>
      <c r="AF750" s="539"/>
      <c r="AG750" s="537"/>
    </row>
    <row r="751" spans="1:33" ht="10.5" customHeight="1" x14ac:dyDescent="0.2">
      <c r="A751" s="537"/>
      <c r="B751" s="537"/>
      <c r="C751" s="537"/>
      <c r="D751" s="537"/>
      <c r="E751" s="537"/>
      <c r="F751" s="537"/>
      <c r="G751" s="537"/>
      <c r="H751" s="537"/>
      <c r="I751" s="537"/>
      <c r="L751" s="537"/>
      <c r="AA751" s="539"/>
      <c r="AB751" s="539"/>
      <c r="AC751" s="539"/>
      <c r="AD751" s="539"/>
      <c r="AE751" s="539"/>
      <c r="AF751" s="539"/>
      <c r="AG751" s="537"/>
    </row>
    <row r="752" spans="1:33" ht="10.5" customHeight="1" x14ac:dyDescent="0.2">
      <c r="A752" s="537"/>
      <c r="B752" s="537"/>
      <c r="C752" s="537"/>
      <c r="D752" s="537"/>
      <c r="E752" s="537"/>
      <c r="F752" s="537"/>
      <c r="G752" s="537"/>
      <c r="H752" s="537"/>
      <c r="I752" s="537"/>
      <c r="L752" s="537"/>
      <c r="AA752" s="539"/>
      <c r="AB752" s="539"/>
      <c r="AC752" s="539"/>
      <c r="AD752" s="539"/>
      <c r="AE752" s="539"/>
      <c r="AF752" s="539"/>
      <c r="AG752" s="537"/>
    </row>
    <row r="753" spans="1:33" ht="10.5" customHeight="1" x14ac:dyDescent="0.2">
      <c r="A753" s="537"/>
      <c r="B753" s="537"/>
      <c r="C753" s="537"/>
      <c r="D753" s="537"/>
      <c r="E753" s="537"/>
      <c r="F753" s="537"/>
      <c r="G753" s="537"/>
      <c r="H753" s="537"/>
      <c r="I753" s="537"/>
      <c r="L753" s="537"/>
      <c r="AA753" s="539"/>
      <c r="AB753" s="539"/>
      <c r="AC753" s="539"/>
      <c r="AD753" s="539"/>
      <c r="AE753" s="539"/>
      <c r="AF753" s="539"/>
      <c r="AG753" s="537"/>
    </row>
    <row r="754" spans="1:33" ht="10.5" customHeight="1" x14ac:dyDescent="0.2">
      <c r="A754" s="537"/>
      <c r="B754" s="537"/>
      <c r="C754" s="537"/>
      <c r="D754" s="537"/>
      <c r="E754" s="537"/>
      <c r="F754" s="537"/>
      <c r="G754" s="537"/>
      <c r="H754" s="537"/>
      <c r="I754" s="537"/>
      <c r="L754" s="537"/>
      <c r="AA754" s="539"/>
      <c r="AB754" s="539"/>
      <c r="AC754" s="539"/>
      <c r="AD754" s="539"/>
      <c r="AE754" s="539"/>
      <c r="AF754" s="539"/>
      <c r="AG754" s="537"/>
    </row>
    <row r="755" spans="1:33" ht="10.5" customHeight="1" x14ac:dyDescent="0.2">
      <c r="A755" s="537"/>
      <c r="B755" s="537"/>
      <c r="C755" s="537"/>
      <c r="D755" s="537"/>
      <c r="E755" s="537"/>
      <c r="F755" s="537"/>
      <c r="G755" s="537"/>
      <c r="H755" s="537"/>
      <c r="I755" s="537"/>
      <c r="L755" s="537"/>
      <c r="AA755" s="539"/>
      <c r="AB755" s="539"/>
      <c r="AC755" s="539"/>
      <c r="AD755" s="539"/>
      <c r="AE755" s="539"/>
      <c r="AF755" s="539"/>
      <c r="AG755" s="537"/>
    </row>
    <row r="756" spans="1:33" ht="10.5" customHeight="1" x14ac:dyDescent="0.2">
      <c r="A756" s="537"/>
      <c r="B756" s="537"/>
      <c r="C756" s="537"/>
      <c r="D756" s="537"/>
      <c r="E756" s="537"/>
      <c r="F756" s="537"/>
      <c r="G756" s="537"/>
      <c r="H756" s="537"/>
      <c r="I756" s="537"/>
      <c r="L756" s="537"/>
      <c r="AA756" s="539"/>
      <c r="AB756" s="539"/>
      <c r="AC756" s="539"/>
      <c r="AD756" s="539"/>
      <c r="AE756" s="539"/>
      <c r="AF756" s="539"/>
      <c r="AG756" s="537"/>
    </row>
    <row r="757" spans="1:33" ht="10.5" customHeight="1" x14ac:dyDescent="0.2">
      <c r="A757" s="537"/>
      <c r="B757" s="537"/>
      <c r="C757" s="537"/>
      <c r="D757" s="537"/>
      <c r="E757" s="537"/>
      <c r="F757" s="537"/>
      <c r="G757" s="537"/>
      <c r="H757" s="537"/>
      <c r="I757" s="537"/>
      <c r="L757" s="537"/>
      <c r="AA757" s="539"/>
      <c r="AB757" s="539"/>
      <c r="AC757" s="539"/>
      <c r="AD757" s="539"/>
      <c r="AE757" s="539"/>
      <c r="AF757" s="539"/>
      <c r="AG757" s="537"/>
    </row>
    <row r="758" spans="1:33" ht="10.5" customHeight="1" x14ac:dyDescent="0.2">
      <c r="A758" s="537"/>
      <c r="B758" s="537"/>
      <c r="C758" s="537"/>
      <c r="D758" s="537"/>
      <c r="E758" s="537"/>
      <c r="F758" s="537"/>
      <c r="G758" s="537"/>
      <c r="H758" s="537"/>
      <c r="I758" s="537"/>
      <c r="L758" s="537"/>
      <c r="AA758" s="539"/>
      <c r="AB758" s="539"/>
      <c r="AC758" s="539"/>
      <c r="AD758" s="539"/>
      <c r="AE758" s="539"/>
      <c r="AF758" s="539"/>
      <c r="AG758" s="537"/>
    </row>
    <row r="759" spans="1:33" ht="10.5" customHeight="1" x14ac:dyDescent="0.2">
      <c r="A759" s="537"/>
      <c r="B759" s="537"/>
      <c r="C759" s="537"/>
      <c r="D759" s="537"/>
      <c r="E759" s="537"/>
      <c r="F759" s="537"/>
      <c r="G759" s="537"/>
      <c r="H759" s="537"/>
      <c r="I759" s="537"/>
      <c r="L759" s="537"/>
      <c r="AA759" s="539"/>
      <c r="AB759" s="539"/>
      <c r="AC759" s="539"/>
      <c r="AD759" s="539"/>
      <c r="AE759" s="539"/>
      <c r="AF759" s="539"/>
      <c r="AG759" s="537"/>
    </row>
    <row r="760" spans="1:33" ht="10.5" customHeight="1" x14ac:dyDescent="0.2">
      <c r="A760" s="537"/>
      <c r="B760" s="537"/>
      <c r="C760" s="537"/>
      <c r="D760" s="537"/>
      <c r="E760" s="537"/>
      <c r="F760" s="537"/>
      <c r="G760" s="537"/>
      <c r="H760" s="537"/>
      <c r="I760" s="537"/>
      <c r="L760" s="537"/>
      <c r="AA760" s="539"/>
      <c r="AB760" s="539"/>
      <c r="AC760" s="539"/>
      <c r="AD760" s="539"/>
      <c r="AE760" s="539"/>
      <c r="AF760" s="539"/>
      <c r="AG760" s="537"/>
    </row>
    <row r="761" spans="1:33" ht="10.5" customHeight="1" x14ac:dyDescent="0.2">
      <c r="A761" s="537"/>
      <c r="B761" s="537"/>
      <c r="C761" s="537"/>
      <c r="D761" s="537"/>
      <c r="E761" s="537"/>
      <c r="F761" s="537"/>
      <c r="G761" s="537"/>
      <c r="H761" s="537"/>
      <c r="I761" s="537"/>
      <c r="L761" s="537"/>
      <c r="AA761" s="539"/>
      <c r="AB761" s="539"/>
      <c r="AC761" s="539"/>
      <c r="AD761" s="539"/>
      <c r="AE761" s="539"/>
      <c r="AF761" s="539"/>
      <c r="AG761" s="537"/>
    </row>
    <row r="762" spans="1:33" ht="10.5" customHeight="1" x14ac:dyDescent="0.2">
      <c r="A762" s="537"/>
      <c r="B762" s="537"/>
      <c r="C762" s="537"/>
      <c r="D762" s="537"/>
      <c r="E762" s="537"/>
      <c r="F762" s="537"/>
      <c r="G762" s="537"/>
      <c r="H762" s="537"/>
      <c r="I762" s="537"/>
      <c r="L762" s="537"/>
      <c r="AA762" s="539"/>
      <c r="AB762" s="539"/>
      <c r="AC762" s="539"/>
      <c r="AD762" s="539"/>
      <c r="AE762" s="539"/>
      <c r="AF762" s="539"/>
      <c r="AG762" s="537"/>
    </row>
    <row r="763" spans="1:33" ht="10.5" customHeight="1" x14ac:dyDescent="0.2">
      <c r="A763" s="537"/>
      <c r="B763" s="537"/>
      <c r="C763" s="537"/>
      <c r="D763" s="537"/>
      <c r="E763" s="537"/>
      <c r="F763" s="537"/>
      <c r="G763" s="537"/>
      <c r="H763" s="537"/>
      <c r="I763" s="537"/>
      <c r="L763" s="537"/>
      <c r="AA763" s="539"/>
      <c r="AB763" s="539"/>
      <c r="AC763" s="539"/>
      <c r="AD763" s="539"/>
      <c r="AE763" s="539"/>
      <c r="AF763" s="539"/>
      <c r="AG763" s="537"/>
    </row>
    <row r="764" spans="1:33" ht="10.5" customHeight="1" x14ac:dyDescent="0.2">
      <c r="A764" s="537"/>
      <c r="B764" s="537"/>
      <c r="C764" s="537"/>
      <c r="D764" s="537"/>
      <c r="E764" s="537"/>
      <c r="F764" s="537"/>
      <c r="G764" s="537"/>
      <c r="H764" s="537"/>
      <c r="I764" s="537"/>
      <c r="L764" s="537"/>
      <c r="AA764" s="539"/>
      <c r="AB764" s="539"/>
      <c r="AC764" s="539"/>
      <c r="AD764" s="539"/>
      <c r="AE764" s="539"/>
      <c r="AF764" s="539"/>
      <c r="AG764" s="537"/>
    </row>
    <row r="765" spans="1:33" ht="10.5" customHeight="1" x14ac:dyDescent="0.2">
      <c r="A765" s="537"/>
      <c r="B765" s="537"/>
      <c r="C765" s="537"/>
      <c r="D765" s="537"/>
      <c r="E765" s="537"/>
      <c r="F765" s="537"/>
      <c r="G765" s="537"/>
      <c r="H765" s="537"/>
      <c r="I765" s="537"/>
      <c r="L765" s="537"/>
      <c r="AA765" s="539"/>
      <c r="AB765" s="539"/>
      <c r="AC765" s="539"/>
      <c r="AD765" s="539"/>
      <c r="AE765" s="539"/>
      <c r="AF765" s="539"/>
      <c r="AG765" s="537"/>
    </row>
    <row r="766" spans="1:33" ht="10.5" customHeight="1" x14ac:dyDescent="0.2">
      <c r="A766" s="537"/>
      <c r="B766" s="537"/>
      <c r="C766" s="537"/>
      <c r="D766" s="537"/>
      <c r="E766" s="537"/>
      <c r="F766" s="537"/>
      <c r="G766" s="537"/>
      <c r="H766" s="537"/>
      <c r="I766" s="537"/>
      <c r="L766" s="537"/>
      <c r="AA766" s="539"/>
      <c r="AB766" s="539"/>
      <c r="AC766" s="539"/>
      <c r="AD766" s="539"/>
      <c r="AE766" s="539"/>
      <c r="AF766" s="539"/>
      <c r="AG766" s="537"/>
    </row>
    <row r="767" spans="1:33" ht="10.5" customHeight="1" x14ac:dyDescent="0.2">
      <c r="A767" s="537"/>
      <c r="B767" s="537"/>
      <c r="C767" s="537"/>
      <c r="D767" s="537"/>
      <c r="E767" s="537"/>
      <c r="F767" s="537"/>
      <c r="G767" s="537"/>
      <c r="H767" s="537"/>
      <c r="I767" s="537"/>
      <c r="L767" s="537"/>
      <c r="AA767" s="539"/>
      <c r="AB767" s="539"/>
      <c r="AC767" s="539"/>
      <c r="AD767" s="539"/>
      <c r="AE767" s="539"/>
      <c r="AF767" s="539"/>
      <c r="AG767" s="537"/>
    </row>
    <row r="768" spans="1:33" ht="10.5" customHeight="1" x14ac:dyDescent="0.2">
      <c r="A768" s="537"/>
      <c r="B768" s="537"/>
      <c r="C768" s="537"/>
      <c r="D768" s="537"/>
      <c r="E768" s="537"/>
      <c r="F768" s="537"/>
      <c r="G768" s="537"/>
      <c r="H768" s="537"/>
      <c r="I768" s="537"/>
      <c r="L768" s="537"/>
      <c r="AA768" s="539"/>
      <c r="AB768" s="539"/>
      <c r="AC768" s="539"/>
      <c r="AD768" s="539"/>
      <c r="AE768" s="539"/>
      <c r="AF768" s="539"/>
      <c r="AG768" s="537"/>
    </row>
    <row r="769" spans="1:33" ht="10.5" customHeight="1" x14ac:dyDescent="0.2">
      <c r="A769" s="537"/>
      <c r="B769" s="537"/>
      <c r="C769" s="537"/>
      <c r="D769" s="537"/>
      <c r="E769" s="537"/>
      <c r="F769" s="537"/>
      <c r="G769" s="537"/>
      <c r="H769" s="537"/>
      <c r="I769" s="537"/>
      <c r="L769" s="537"/>
      <c r="AA769" s="539"/>
      <c r="AB769" s="539"/>
      <c r="AC769" s="539"/>
      <c r="AD769" s="539"/>
      <c r="AE769" s="539"/>
      <c r="AF769" s="539"/>
      <c r="AG769" s="537"/>
    </row>
    <row r="770" spans="1:33" ht="10.5" customHeight="1" x14ac:dyDescent="0.2">
      <c r="A770" s="537"/>
      <c r="B770" s="537"/>
      <c r="C770" s="537"/>
      <c r="D770" s="537"/>
      <c r="E770" s="537"/>
      <c r="F770" s="537"/>
      <c r="G770" s="537"/>
      <c r="H770" s="537"/>
      <c r="I770" s="537"/>
      <c r="L770" s="537"/>
      <c r="AA770" s="539"/>
      <c r="AB770" s="539"/>
      <c r="AC770" s="539"/>
      <c r="AD770" s="539"/>
      <c r="AE770" s="539"/>
      <c r="AF770" s="539"/>
      <c r="AG770" s="537"/>
    </row>
    <row r="771" spans="1:33" ht="10.5" customHeight="1" x14ac:dyDescent="0.2">
      <c r="A771" s="537"/>
      <c r="B771" s="537"/>
      <c r="C771" s="537"/>
      <c r="D771" s="537"/>
      <c r="E771" s="537"/>
      <c r="F771" s="537"/>
      <c r="G771" s="537"/>
      <c r="H771" s="537"/>
      <c r="I771" s="537"/>
      <c r="L771" s="537"/>
      <c r="AA771" s="539"/>
      <c r="AB771" s="539"/>
      <c r="AC771" s="539"/>
      <c r="AD771" s="539"/>
      <c r="AE771" s="539"/>
      <c r="AF771" s="539"/>
      <c r="AG771" s="537"/>
    </row>
    <row r="772" spans="1:33" ht="10.5" customHeight="1" x14ac:dyDescent="0.2">
      <c r="A772" s="537"/>
      <c r="B772" s="537"/>
      <c r="C772" s="537"/>
      <c r="D772" s="537"/>
      <c r="E772" s="537"/>
      <c r="F772" s="537"/>
      <c r="G772" s="537"/>
      <c r="H772" s="537"/>
      <c r="I772" s="537"/>
      <c r="L772" s="537"/>
      <c r="AA772" s="539"/>
      <c r="AB772" s="539"/>
      <c r="AC772" s="539"/>
      <c r="AD772" s="539"/>
      <c r="AE772" s="539"/>
      <c r="AF772" s="539"/>
      <c r="AG772" s="537"/>
    </row>
    <row r="773" spans="1:33" ht="10.5" customHeight="1" x14ac:dyDescent="0.2">
      <c r="A773" s="537"/>
      <c r="B773" s="537"/>
      <c r="C773" s="537"/>
      <c r="D773" s="537"/>
      <c r="E773" s="537"/>
      <c r="F773" s="537"/>
      <c r="G773" s="537"/>
      <c r="H773" s="537"/>
      <c r="I773" s="537"/>
      <c r="L773" s="537"/>
      <c r="AA773" s="539"/>
      <c r="AB773" s="539"/>
      <c r="AC773" s="539"/>
      <c r="AD773" s="539"/>
      <c r="AE773" s="539"/>
      <c r="AF773" s="539"/>
      <c r="AG773" s="537"/>
    </row>
    <row r="774" spans="1:33" ht="10.5" customHeight="1" x14ac:dyDescent="0.2">
      <c r="A774" s="537"/>
      <c r="B774" s="537"/>
      <c r="C774" s="537"/>
      <c r="D774" s="537"/>
      <c r="E774" s="537"/>
      <c r="F774" s="537"/>
      <c r="G774" s="537"/>
      <c r="H774" s="537"/>
      <c r="I774" s="537"/>
      <c r="L774" s="537"/>
      <c r="AA774" s="539"/>
      <c r="AB774" s="539"/>
      <c r="AC774" s="539"/>
      <c r="AD774" s="539"/>
      <c r="AE774" s="539"/>
      <c r="AF774" s="539"/>
      <c r="AG774" s="537"/>
    </row>
    <row r="775" spans="1:33" ht="10.5" customHeight="1" x14ac:dyDescent="0.2">
      <c r="A775" s="537"/>
      <c r="B775" s="537"/>
      <c r="C775" s="537"/>
      <c r="D775" s="537"/>
      <c r="E775" s="537"/>
      <c r="F775" s="537"/>
      <c r="G775" s="537"/>
      <c r="H775" s="537"/>
      <c r="I775" s="537"/>
      <c r="L775" s="537"/>
      <c r="AA775" s="539"/>
      <c r="AB775" s="539"/>
      <c r="AC775" s="539"/>
      <c r="AD775" s="539"/>
      <c r="AE775" s="539"/>
      <c r="AF775" s="539"/>
      <c r="AG775" s="537"/>
    </row>
    <row r="776" spans="1:33" ht="10.5" customHeight="1" x14ac:dyDescent="0.2">
      <c r="A776" s="537"/>
      <c r="B776" s="537"/>
      <c r="C776" s="537"/>
      <c r="D776" s="537"/>
      <c r="E776" s="537"/>
      <c r="F776" s="537"/>
      <c r="G776" s="537"/>
      <c r="H776" s="537"/>
      <c r="I776" s="537"/>
      <c r="L776" s="537"/>
      <c r="AA776" s="539"/>
      <c r="AB776" s="539"/>
      <c r="AC776" s="539"/>
      <c r="AD776" s="539"/>
      <c r="AE776" s="539"/>
      <c r="AF776" s="539"/>
      <c r="AG776" s="537"/>
    </row>
    <row r="777" spans="1:33" ht="10.5" customHeight="1" x14ac:dyDescent="0.2">
      <c r="A777" s="537"/>
      <c r="B777" s="537"/>
      <c r="C777" s="537"/>
      <c r="D777" s="537"/>
      <c r="E777" s="537"/>
      <c r="F777" s="537"/>
      <c r="G777" s="537"/>
      <c r="H777" s="537"/>
      <c r="I777" s="537"/>
      <c r="L777" s="537"/>
      <c r="AA777" s="539"/>
      <c r="AB777" s="539"/>
      <c r="AC777" s="539"/>
      <c r="AD777" s="539"/>
      <c r="AE777" s="539"/>
      <c r="AF777" s="539"/>
      <c r="AG777" s="537"/>
    </row>
    <row r="778" spans="1:33" ht="10.5" customHeight="1" x14ac:dyDescent="0.2">
      <c r="A778" s="537"/>
      <c r="B778" s="537"/>
      <c r="C778" s="537"/>
      <c r="D778" s="537"/>
      <c r="E778" s="537"/>
      <c r="F778" s="537"/>
      <c r="G778" s="537"/>
      <c r="H778" s="537"/>
      <c r="I778" s="537"/>
      <c r="L778" s="537"/>
      <c r="AA778" s="539"/>
      <c r="AB778" s="539"/>
      <c r="AC778" s="539"/>
      <c r="AD778" s="539"/>
      <c r="AE778" s="539"/>
      <c r="AF778" s="539"/>
      <c r="AG778" s="537"/>
    </row>
    <row r="779" spans="1:33" ht="10.5" customHeight="1" x14ac:dyDescent="0.2">
      <c r="A779" s="537"/>
      <c r="B779" s="537"/>
      <c r="C779" s="537"/>
      <c r="D779" s="537"/>
      <c r="E779" s="537"/>
      <c r="F779" s="537"/>
      <c r="G779" s="537"/>
      <c r="H779" s="537"/>
      <c r="I779" s="537"/>
      <c r="L779" s="537"/>
      <c r="AA779" s="539"/>
      <c r="AB779" s="539"/>
      <c r="AC779" s="539"/>
      <c r="AD779" s="539"/>
      <c r="AE779" s="539"/>
      <c r="AF779" s="539"/>
      <c r="AG779" s="537"/>
    </row>
    <row r="780" spans="1:33" ht="10.5" customHeight="1" x14ac:dyDescent="0.2">
      <c r="A780" s="537"/>
      <c r="B780" s="537"/>
      <c r="C780" s="537"/>
      <c r="D780" s="537"/>
      <c r="E780" s="537"/>
      <c r="F780" s="537"/>
      <c r="G780" s="537"/>
      <c r="H780" s="537"/>
      <c r="I780" s="537"/>
      <c r="L780" s="537"/>
      <c r="AA780" s="539"/>
      <c r="AB780" s="539"/>
      <c r="AC780" s="539"/>
      <c r="AD780" s="539"/>
      <c r="AE780" s="539"/>
      <c r="AF780" s="539"/>
      <c r="AG780" s="537"/>
    </row>
    <row r="781" spans="1:33" ht="10.5" customHeight="1" x14ac:dyDescent="0.2">
      <c r="A781" s="537"/>
      <c r="B781" s="537"/>
      <c r="C781" s="537"/>
      <c r="D781" s="537"/>
      <c r="E781" s="537"/>
      <c r="F781" s="537"/>
      <c r="G781" s="537"/>
      <c r="H781" s="537"/>
      <c r="I781" s="537"/>
      <c r="L781" s="537"/>
      <c r="AA781" s="539"/>
      <c r="AB781" s="539"/>
      <c r="AC781" s="539"/>
      <c r="AD781" s="539"/>
      <c r="AE781" s="539"/>
      <c r="AF781" s="539"/>
      <c r="AG781" s="537"/>
    </row>
    <row r="782" spans="1:33" ht="10.5" customHeight="1" x14ac:dyDescent="0.2">
      <c r="A782" s="537"/>
      <c r="B782" s="537"/>
      <c r="C782" s="537"/>
      <c r="D782" s="537"/>
      <c r="E782" s="537"/>
      <c r="F782" s="537"/>
      <c r="G782" s="537"/>
      <c r="H782" s="537"/>
      <c r="I782" s="537"/>
      <c r="L782" s="537"/>
      <c r="AA782" s="539"/>
      <c r="AB782" s="539"/>
      <c r="AC782" s="539"/>
      <c r="AD782" s="539"/>
      <c r="AE782" s="539"/>
      <c r="AF782" s="539"/>
      <c r="AG782" s="537"/>
    </row>
    <row r="783" spans="1:33" ht="10.5" customHeight="1" x14ac:dyDescent="0.2">
      <c r="A783" s="537"/>
      <c r="B783" s="537"/>
      <c r="C783" s="537"/>
      <c r="D783" s="537"/>
      <c r="E783" s="537"/>
      <c r="F783" s="537"/>
      <c r="G783" s="537"/>
      <c r="H783" s="537"/>
      <c r="I783" s="537"/>
      <c r="L783" s="537"/>
      <c r="AA783" s="539"/>
      <c r="AB783" s="539"/>
      <c r="AC783" s="539"/>
      <c r="AD783" s="539"/>
      <c r="AE783" s="539"/>
      <c r="AF783" s="539"/>
      <c r="AG783" s="537"/>
    </row>
    <row r="784" spans="1:33" ht="10.5" customHeight="1" x14ac:dyDescent="0.2">
      <c r="A784" s="537"/>
      <c r="B784" s="537"/>
      <c r="C784" s="537"/>
      <c r="D784" s="537"/>
      <c r="E784" s="537"/>
      <c r="F784" s="537"/>
      <c r="G784" s="537"/>
      <c r="H784" s="537"/>
      <c r="I784" s="537"/>
      <c r="L784" s="537"/>
      <c r="AA784" s="539"/>
      <c r="AB784" s="539"/>
      <c r="AC784" s="539"/>
      <c r="AD784" s="539"/>
      <c r="AE784" s="539"/>
      <c r="AF784" s="539"/>
      <c r="AG784" s="537"/>
    </row>
    <row r="785" spans="1:33" ht="10.5" customHeight="1" x14ac:dyDescent="0.2">
      <c r="A785" s="537"/>
      <c r="B785" s="537"/>
      <c r="C785" s="537"/>
      <c r="D785" s="537"/>
      <c r="E785" s="537"/>
      <c r="F785" s="537"/>
      <c r="G785" s="537"/>
      <c r="H785" s="537"/>
      <c r="I785" s="537"/>
      <c r="L785" s="537"/>
      <c r="AA785" s="539"/>
      <c r="AB785" s="539"/>
      <c r="AC785" s="539"/>
      <c r="AD785" s="539"/>
      <c r="AE785" s="539"/>
      <c r="AF785" s="539"/>
      <c r="AG785" s="537"/>
    </row>
    <row r="786" spans="1:33" ht="10.5" customHeight="1" x14ac:dyDescent="0.2">
      <c r="A786" s="537"/>
      <c r="B786" s="537"/>
      <c r="C786" s="537"/>
      <c r="D786" s="537"/>
      <c r="E786" s="537"/>
      <c r="F786" s="537"/>
      <c r="G786" s="537"/>
      <c r="H786" s="537"/>
      <c r="I786" s="537"/>
      <c r="L786" s="537"/>
      <c r="AA786" s="539"/>
      <c r="AB786" s="539"/>
      <c r="AC786" s="539"/>
      <c r="AD786" s="539"/>
      <c r="AE786" s="539"/>
      <c r="AF786" s="539"/>
      <c r="AG786" s="537"/>
    </row>
    <row r="787" spans="1:33" ht="10.5" customHeight="1" x14ac:dyDescent="0.2">
      <c r="A787" s="537"/>
      <c r="B787" s="537"/>
      <c r="C787" s="537"/>
      <c r="D787" s="537"/>
      <c r="E787" s="537"/>
      <c r="F787" s="537"/>
      <c r="G787" s="537"/>
      <c r="H787" s="537"/>
      <c r="I787" s="537"/>
      <c r="L787" s="537"/>
      <c r="AA787" s="539"/>
      <c r="AB787" s="539"/>
      <c r="AC787" s="539"/>
      <c r="AD787" s="539"/>
      <c r="AE787" s="539"/>
      <c r="AF787" s="539"/>
      <c r="AG787" s="537"/>
    </row>
    <row r="788" spans="1:33" ht="10.5" customHeight="1" x14ac:dyDescent="0.2">
      <c r="A788" s="537"/>
      <c r="B788" s="537"/>
      <c r="C788" s="537"/>
      <c r="D788" s="537"/>
      <c r="E788" s="537"/>
      <c r="F788" s="537"/>
      <c r="G788" s="537"/>
      <c r="H788" s="537"/>
      <c r="I788" s="537"/>
      <c r="L788" s="537"/>
      <c r="AA788" s="539"/>
      <c r="AB788" s="539"/>
      <c r="AC788" s="539"/>
      <c r="AD788" s="539"/>
      <c r="AE788" s="539"/>
      <c r="AF788" s="539"/>
      <c r="AG788" s="537"/>
    </row>
    <row r="789" spans="1:33" ht="10.5" customHeight="1" x14ac:dyDescent="0.2">
      <c r="A789" s="537"/>
      <c r="B789" s="537"/>
      <c r="C789" s="537"/>
      <c r="D789" s="537"/>
      <c r="E789" s="537"/>
      <c r="F789" s="537"/>
      <c r="G789" s="537"/>
      <c r="H789" s="537"/>
      <c r="I789" s="537"/>
      <c r="L789" s="537"/>
      <c r="AA789" s="539"/>
      <c r="AB789" s="539"/>
      <c r="AC789" s="539"/>
      <c r="AD789" s="539"/>
      <c r="AE789" s="539"/>
      <c r="AF789" s="539"/>
      <c r="AG789" s="537"/>
    </row>
    <row r="790" spans="1:33" ht="10.5" customHeight="1" x14ac:dyDescent="0.2">
      <c r="A790" s="537"/>
      <c r="B790" s="537"/>
      <c r="C790" s="537"/>
      <c r="D790" s="537"/>
      <c r="E790" s="537"/>
      <c r="F790" s="537"/>
      <c r="G790" s="537"/>
      <c r="H790" s="537"/>
      <c r="I790" s="537"/>
      <c r="L790" s="537"/>
      <c r="AA790" s="539"/>
      <c r="AB790" s="539"/>
      <c r="AC790" s="539"/>
      <c r="AD790" s="539"/>
      <c r="AE790" s="539"/>
      <c r="AF790" s="539"/>
      <c r="AG790" s="537"/>
    </row>
    <row r="791" spans="1:33" ht="10.5" customHeight="1" x14ac:dyDescent="0.2">
      <c r="A791" s="537"/>
      <c r="B791" s="537"/>
      <c r="C791" s="537"/>
      <c r="D791" s="537"/>
      <c r="E791" s="537"/>
      <c r="F791" s="537"/>
      <c r="G791" s="537"/>
      <c r="H791" s="537"/>
      <c r="I791" s="537"/>
      <c r="L791" s="537"/>
      <c r="AA791" s="539"/>
      <c r="AB791" s="539"/>
      <c r="AC791" s="539"/>
      <c r="AD791" s="539"/>
      <c r="AE791" s="539"/>
      <c r="AF791" s="539"/>
      <c r="AG791" s="537"/>
    </row>
    <row r="792" spans="1:33" ht="10.5" customHeight="1" x14ac:dyDescent="0.2">
      <c r="A792" s="537"/>
      <c r="B792" s="537"/>
      <c r="C792" s="537"/>
      <c r="D792" s="537"/>
      <c r="E792" s="537"/>
      <c r="F792" s="537"/>
      <c r="G792" s="537"/>
      <c r="H792" s="537"/>
      <c r="I792" s="537"/>
      <c r="L792" s="537"/>
      <c r="AA792" s="539"/>
      <c r="AB792" s="539"/>
      <c r="AC792" s="539"/>
      <c r="AD792" s="539"/>
      <c r="AE792" s="539"/>
      <c r="AF792" s="539"/>
      <c r="AG792" s="537"/>
    </row>
    <row r="793" spans="1:33" ht="10.5" customHeight="1" x14ac:dyDescent="0.2">
      <c r="A793" s="537"/>
      <c r="B793" s="537"/>
      <c r="C793" s="537"/>
      <c r="D793" s="537"/>
      <c r="E793" s="537"/>
      <c r="F793" s="537"/>
      <c r="G793" s="537"/>
      <c r="H793" s="537"/>
      <c r="I793" s="537"/>
      <c r="L793" s="537"/>
      <c r="AA793" s="539"/>
      <c r="AB793" s="539"/>
      <c r="AC793" s="539"/>
      <c r="AD793" s="539"/>
      <c r="AE793" s="539"/>
      <c r="AF793" s="539"/>
      <c r="AG793" s="537"/>
    </row>
    <row r="794" spans="1:33" ht="10.5" customHeight="1" x14ac:dyDescent="0.2">
      <c r="A794" s="537"/>
      <c r="B794" s="537"/>
      <c r="C794" s="537"/>
      <c r="D794" s="537"/>
      <c r="E794" s="537"/>
      <c r="F794" s="537"/>
      <c r="G794" s="537"/>
      <c r="H794" s="537"/>
      <c r="I794" s="537"/>
      <c r="L794" s="537"/>
      <c r="AA794" s="539"/>
      <c r="AB794" s="539"/>
      <c r="AC794" s="539"/>
      <c r="AD794" s="539"/>
      <c r="AE794" s="539"/>
      <c r="AF794" s="539"/>
      <c r="AG794" s="537"/>
    </row>
    <row r="795" spans="1:33" ht="10.5" customHeight="1" x14ac:dyDescent="0.2">
      <c r="A795" s="537"/>
      <c r="B795" s="537"/>
      <c r="C795" s="537"/>
      <c r="D795" s="537"/>
      <c r="E795" s="537"/>
      <c r="F795" s="537"/>
      <c r="G795" s="537"/>
      <c r="H795" s="537"/>
      <c r="I795" s="537"/>
      <c r="L795" s="537"/>
      <c r="AA795" s="539"/>
      <c r="AB795" s="539"/>
      <c r="AC795" s="539"/>
      <c r="AD795" s="539"/>
      <c r="AE795" s="539"/>
      <c r="AF795" s="539"/>
      <c r="AG795" s="537"/>
    </row>
    <row r="796" spans="1:33" ht="10.5" customHeight="1" x14ac:dyDescent="0.2">
      <c r="A796" s="537"/>
      <c r="B796" s="537"/>
      <c r="C796" s="537"/>
      <c r="D796" s="537"/>
      <c r="E796" s="537"/>
      <c r="F796" s="537"/>
      <c r="G796" s="537"/>
      <c r="H796" s="537"/>
      <c r="I796" s="537"/>
      <c r="L796" s="537"/>
      <c r="AA796" s="539"/>
      <c r="AB796" s="539"/>
      <c r="AC796" s="539"/>
      <c r="AD796" s="539"/>
      <c r="AE796" s="539"/>
      <c r="AF796" s="539"/>
      <c r="AG796" s="537"/>
    </row>
    <row r="797" spans="1:33" ht="10.5" customHeight="1" x14ac:dyDescent="0.2">
      <c r="A797" s="537"/>
      <c r="B797" s="537"/>
      <c r="C797" s="537"/>
      <c r="D797" s="537"/>
      <c r="E797" s="537"/>
      <c r="F797" s="537"/>
      <c r="G797" s="537"/>
      <c r="H797" s="537"/>
      <c r="I797" s="537"/>
      <c r="L797" s="537"/>
      <c r="AA797" s="539"/>
      <c r="AB797" s="539"/>
      <c r="AC797" s="539"/>
      <c r="AD797" s="539"/>
      <c r="AE797" s="539"/>
      <c r="AF797" s="539"/>
      <c r="AG797" s="537"/>
    </row>
    <row r="798" spans="1:33" ht="10.5" customHeight="1" x14ac:dyDescent="0.2">
      <c r="A798" s="537"/>
      <c r="B798" s="537"/>
      <c r="C798" s="537"/>
      <c r="D798" s="537"/>
      <c r="E798" s="537"/>
      <c r="F798" s="537"/>
      <c r="G798" s="537"/>
      <c r="H798" s="537"/>
      <c r="I798" s="537"/>
      <c r="L798" s="537"/>
      <c r="AA798" s="539"/>
      <c r="AB798" s="539"/>
      <c r="AC798" s="539"/>
      <c r="AD798" s="539"/>
      <c r="AE798" s="539"/>
      <c r="AF798" s="539"/>
      <c r="AG798" s="537"/>
    </row>
    <row r="799" spans="1:33" ht="10.5" customHeight="1" x14ac:dyDescent="0.2">
      <c r="A799" s="537"/>
      <c r="B799" s="537"/>
      <c r="C799" s="537"/>
      <c r="D799" s="537"/>
      <c r="E799" s="537"/>
      <c r="F799" s="537"/>
      <c r="G799" s="537"/>
      <c r="H799" s="537"/>
      <c r="I799" s="537"/>
      <c r="L799" s="537"/>
      <c r="AA799" s="539"/>
      <c r="AB799" s="539"/>
      <c r="AC799" s="539"/>
      <c r="AD799" s="539"/>
      <c r="AE799" s="539"/>
      <c r="AF799" s="539"/>
      <c r="AG799" s="537"/>
    </row>
    <row r="800" spans="1:33" ht="10.5" customHeight="1" x14ac:dyDescent="0.2">
      <c r="A800" s="537"/>
      <c r="B800" s="537"/>
      <c r="C800" s="537"/>
      <c r="D800" s="537"/>
      <c r="E800" s="537"/>
      <c r="F800" s="537"/>
      <c r="G800" s="537"/>
      <c r="H800" s="537"/>
      <c r="I800" s="537"/>
      <c r="L800" s="537"/>
      <c r="AA800" s="539"/>
      <c r="AB800" s="539"/>
      <c r="AC800" s="539"/>
      <c r="AD800" s="539"/>
      <c r="AE800" s="539"/>
      <c r="AF800" s="539"/>
      <c r="AG800" s="537"/>
    </row>
    <row r="801" spans="1:33" ht="10.5" customHeight="1" x14ac:dyDescent="0.2">
      <c r="A801" s="537"/>
      <c r="B801" s="537"/>
      <c r="C801" s="537"/>
      <c r="D801" s="537"/>
      <c r="E801" s="537"/>
      <c r="F801" s="537"/>
      <c r="G801" s="537"/>
      <c r="H801" s="537"/>
      <c r="I801" s="537"/>
      <c r="L801" s="537"/>
      <c r="AA801" s="539"/>
      <c r="AB801" s="539"/>
      <c r="AC801" s="539"/>
      <c r="AD801" s="539"/>
      <c r="AE801" s="539"/>
      <c r="AF801" s="539"/>
      <c r="AG801" s="537"/>
    </row>
    <row r="802" spans="1:33" ht="10.5" customHeight="1" x14ac:dyDescent="0.2">
      <c r="A802" s="537"/>
      <c r="B802" s="537"/>
      <c r="C802" s="537"/>
      <c r="D802" s="537"/>
      <c r="E802" s="537"/>
      <c r="F802" s="537"/>
      <c r="G802" s="537"/>
      <c r="H802" s="537"/>
      <c r="I802" s="537"/>
      <c r="L802" s="537"/>
      <c r="AA802" s="539"/>
      <c r="AB802" s="539"/>
      <c r="AC802" s="539"/>
      <c r="AD802" s="539"/>
      <c r="AE802" s="539"/>
      <c r="AF802" s="539"/>
      <c r="AG802" s="537"/>
    </row>
    <row r="803" spans="1:33" ht="10.5" customHeight="1" x14ac:dyDescent="0.2">
      <c r="A803" s="537"/>
      <c r="B803" s="537"/>
      <c r="C803" s="537"/>
      <c r="D803" s="537"/>
      <c r="E803" s="537"/>
      <c r="F803" s="537"/>
      <c r="G803" s="537"/>
      <c r="H803" s="537"/>
      <c r="I803" s="537"/>
      <c r="L803" s="537"/>
      <c r="AA803" s="539"/>
      <c r="AB803" s="539"/>
      <c r="AC803" s="539"/>
      <c r="AD803" s="539"/>
      <c r="AE803" s="539"/>
      <c r="AF803" s="539"/>
      <c r="AG803" s="537"/>
    </row>
    <row r="804" spans="1:33" ht="10.5" customHeight="1" x14ac:dyDescent="0.2">
      <c r="A804" s="537"/>
      <c r="B804" s="537"/>
      <c r="C804" s="537"/>
      <c r="D804" s="537"/>
      <c r="E804" s="537"/>
      <c r="F804" s="537"/>
      <c r="G804" s="537"/>
      <c r="H804" s="537"/>
      <c r="I804" s="537"/>
      <c r="L804" s="537"/>
      <c r="AA804" s="539"/>
      <c r="AB804" s="539"/>
      <c r="AC804" s="539"/>
      <c r="AD804" s="539"/>
      <c r="AE804" s="539"/>
      <c r="AF804" s="539"/>
      <c r="AG804" s="537"/>
    </row>
    <row r="805" spans="1:33" ht="10.5" customHeight="1" x14ac:dyDescent="0.2">
      <c r="A805" s="537"/>
      <c r="B805" s="537"/>
      <c r="C805" s="537"/>
      <c r="D805" s="537"/>
      <c r="E805" s="537"/>
      <c r="F805" s="537"/>
      <c r="G805" s="537"/>
      <c r="H805" s="537"/>
      <c r="I805" s="537"/>
      <c r="L805" s="537"/>
      <c r="AA805" s="539"/>
      <c r="AB805" s="539"/>
      <c r="AC805" s="539"/>
      <c r="AD805" s="539"/>
      <c r="AE805" s="539"/>
      <c r="AF805" s="539"/>
      <c r="AG805" s="537"/>
    </row>
    <row r="806" spans="1:33" ht="10.5" customHeight="1" x14ac:dyDescent="0.2">
      <c r="A806" s="537"/>
      <c r="B806" s="537"/>
      <c r="C806" s="537"/>
      <c r="D806" s="537"/>
      <c r="E806" s="537"/>
      <c r="F806" s="537"/>
      <c r="G806" s="537"/>
      <c r="H806" s="537"/>
      <c r="I806" s="537"/>
      <c r="L806" s="537"/>
      <c r="AA806" s="539"/>
      <c r="AB806" s="539"/>
      <c r="AC806" s="539"/>
      <c r="AD806" s="539"/>
      <c r="AE806" s="539"/>
      <c r="AF806" s="539"/>
      <c r="AG806" s="537"/>
    </row>
    <row r="807" spans="1:33" ht="10.5" customHeight="1" x14ac:dyDescent="0.2">
      <c r="A807" s="537"/>
      <c r="B807" s="537"/>
      <c r="C807" s="537"/>
      <c r="D807" s="537"/>
      <c r="E807" s="537"/>
      <c r="F807" s="537"/>
      <c r="G807" s="537"/>
      <c r="H807" s="537"/>
      <c r="I807" s="537"/>
      <c r="L807" s="537"/>
      <c r="AA807" s="539"/>
      <c r="AB807" s="539"/>
      <c r="AC807" s="539"/>
      <c r="AD807" s="539"/>
      <c r="AE807" s="539"/>
      <c r="AF807" s="539"/>
      <c r="AG807" s="537"/>
    </row>
    <row r="808" spans="1:33" ht="10.5" customHeight="1" x14ac:dyDescent="0.2">
      <c r="A808" s="537"/>
      <c r="B808" s="537"/>
      <c r="C808" s="537"/>
      <c r="D808" s="537"/>
      <c r="E808" s="537"/>
      <c r="F808" s="537"/>
      <c r="G808" s="537"/>
      <c r="H808" s="537"/>
      <c r="I808" s="537"/>
      <c r="L808" s="537"/>
      <c r="AA808" s="539"/>
      <c r="AB808" s="539"/>
      <c r="AC808" s="539"/>
      <c r="AD808" s="539"/>
      <c r="AE808" s="539"/>
      <c r="AF808" s="539"/>
      <c r="AG808" s="537"/>
    </row>
    <row r="809" spans="1:33" ht="10.5" customHeight="1" x14ac:dyDescent="0.2">
      <c r="A809" s="537"/>
      <c r="B809" s="537"/>
      <c r="C809" s="537"/>
      <c r="D809" s="537"/>
      <c r="E809" s="537"/>
      <c r="F809" s="537"/>
      <c r="G809" s="537"/>
      <c r="H809" s="537"/>
      <c r="I809" s="537"/>
      <c r="L809" s="537"/>
      <c r="AA809" s="539"/>
      <c r="AB809" s="539"/>
      <c r="AC809" s="539"/>
      <c r="AD809" s="539"/>
      <c r="AE809" s="539"/>
      <c r="AF809" s="539"/>
      <c r="AG809" s="537"/>
    </row>
    <row r="810" spans="1:33" ht="10.5" customHeight="1" x14ac:dyDescent="0.2">
      <c r="A810" s="537"/>
      <c r="B810" s="537"/>
      <c r="C810" s="537"/>
      <c r="D810" s="537"/>
      <c r="E810" s="537"/>
      <c r="F810" s="537"/>
      <c r="G810" s="537"/>
      <c r="H810" s="537"/>
      <c r="I810" s="537"/>
      <c r="L810" s="537"/>
      <c r="AA810" s="539"/>
      <c r="AB810" s="539"/>
      <c r="AC810" s="539"/>
      <c r="AD810" s="539"/>
      <c r="AE810" s="539"/>
      <c r="AF810" s="539"/>
      <c r="AG810" s="537"/>
    </row>
    <row r="811" spans="1:33" ht="10.5" customHeight="1" x14ac:dyDescent="0.2">
      <c r="A811" s="537"/>
      <c r="B811" s="537"/>
      <c r="C811" s="537"/>
      <c r="D811" s="537"/>
      <c r="E811" s="537"/>
      <c r="F811" s="537"/>
      <c r="G811" s="537"/>
      <c r="H811" s="537"/>
      <c r="I811" s="537"/>
      <c r="L811" s="537"/>
      <c r="AA811" s="539"/>
      <c r="AB811" s="539"/>
      <c r="AC811" s="539"/>
      <c r="AD811" s="539"/>
      <c r="AE811" s="539"/>
      <c r="AF811" s="539"/>
      <c r="AG811" s="537"/>
    </row>
    <row r="812" spans="1:33" ht="10.5" customHeight="1" x14ac:dyDescent="0.2">
      <c r="A812" s="537"/>
      <c r="B812" s="537"/>
      <c r="C812" s="537"/>
      <c r="D812" s="537"/>
      <c r="E812" s="537"/>
      <c r="F812" s="537"/>
      <c r="G812" s="537"/>
      <c r="H812" s="537"/>
      <c r="I812" s="537"/>
      <c r="L812" s="537"/>
      <c r="AA812" s="539"/>
      <c r="AB812" s="539"/>
      <c r="AC812" s="539"/>
      <c r="AD812" s="539"/>
      <c r="AE812" s="539"/>
      <c r="AF812" s="539"/>
      <c r="AG812" s="537"/>
    </row>
    <row r="813" spans="1:33" ht="10.5" customHeight="1" x14ac:dyDescent="0.2">
      <c r="A813" s="537"/>
      <c r="B813" s="537"/>
      <c r="C813" s="537"/>
      <c r="D813" s="537"/>
      <c r="E813" s="537"/>
      <c r="F813" s="537"/>
      <c r="G813" s="537"/>
      <c r="H813" s="537"/>
      <c r="I813" s="537"/>
      <c r="L813" s="537"/>
      <c r="AA813" s="539"/>
      <c r="AB813" s="539"/>
      <c r="AC813" s="539"/>
      <c r="AD813" s="539"/>
      <c r="AE813" s="539"/>
      <c r="AF813" s="539"/>
      <c r="AG813" s="537"/>
    </row>
    <row r="814" spans="1:33" ht="10.5" customHeight="1" x14ac:dyDescent="0.2">
      <c r="A814" s="537"/>
      <c r="B814" s="537"/>
      <c r="C814" s="537"/>
      <c r="D814" s="537"/>
      <c r="E814" s="537"/>
      <c r="F814" s="537"/>
      <c r="G814" s="537"/>
      <c r="H814" s="537"/>
      <c r="I814" s="537"/>
      <c r="L814" s="537"/>
      <c r="AA814" s="539"/>
      <c r="AB814" s="539"/>
      <c r="AC814" s="539"/>
      <c r="AD814" s="539"/>
      <c r="AE814" s="539"/>
      <c r="AF814" s="539"/>
      <c r="AG814" s="537"/>
    </row>
    <row r="815" spans="1:33" ht="10.5" customHeight="1" x14ac:dyDescent="0.2">
      <c r="A815" s="537"/>
      <c r="B815" s="537"/>
      <c r="C815" s="537"/>
      <c r="D815" s="537"/>
      <c r="E815" s="537"/>
      <c r="F815" s="537"/>
      <c r="G815" s="537"/>
      <c r="H815" s="537"/>
      <c r="I815" s="537"/>
      <c r="L815" s="537"/>
      <c r="AA815" s="539"/>
      <c r="AB815" s="539"/>
      <c r="AC815" s="539"/>
      <c r="AD815" s="539"/>
      <c r="AE815" s="539"/>
      <c r="AF815" s="539"/>
      <c r="AG815" s="537"/>
    </row>
    <row r="816" spans="1:33" ht="10.5" customHeight="1" x14ac:dyDescent="0.2">
      <c r="A816" s="537"/>
      <c r="B816" s="537"/>
      <c r="C816" s="537"/>
      <c r="D816" s="537"/>
      <c r="E816" s="537"/>
      <c r="F816" s="537"/>
      <c r="G816" s="537"/>
      <c r="H816" s="537"/>
      <c r="I816" s="537"/>
      <c r="L816" s="537"/>
      <c r="AA816" s="539"/>
      <c r="AB816" s="539"/>
      <c r="AC816" s="539"/>
      <c r="AD816" s="539"/>
      <c r="AE816" s="539"/>
      <c r="AF816" s="539"/>
      <c r="AG816" s="537"/>
    </row>
    <row r="817" spans="1:33" ht="10.5" customHeight="1" x14ac:dyDescent="0.2">
      <c r="A817" s="537"/>
      <c r="B817" s="537"/>
      <c r="C817" s="537"/>
      <c r="D817" s="537"/>
      <c r="E817" s="537"/>
      <c r="F817" s="537"/>
      <c r="G817" s="537"/>
      <c r="H817" s="537"/>
      <c r="I817" s="537"/>
      <c r="L817" s="537"/>
      <c r="AA817" s="539"/>
      <c r="AB817" s="539"/>
      <c r="AC817" s="539"/>
      <c r="AD817" s="539"/>
      <c r="AE817" s="539"/>
      <c r="AF817" s="539"/>
      <c r="AG817" s="537"/>
    </row>
    <row r="818" spans="1:33" ht="10.5" customHeight="1" x14ac:dyDescent="0.2">
      <c r="A818" s="537"/>
      <c r="B818" s="537"/>
      <c r="C818" s="537"/>
      <c r="D818" s="537"/>
      <c r="E818" s="537"/>
      <c r="F818" s="537"/>
      <c r="G818" s="537"/>
      <c r="H818" s="537"/>
      <c r="I818" s="537"/>
      <c r="L818" s="537"/>
      <c r="AA818" s="539"/>
      <c r="AB818" s="539"/>
      <c r="AC818" s="539"/>
      <c r="AD818" s="539"/>
      <c r="AE818" s="539"/>
      <c r="AF818" s="539"/>
      <c r="AG818" s="537"/>
    </row>
    <row r="819" spans="1:33" ht="10.5" customHeight="1" x14ac:dyDescent="0.2">
      <c r="A819" s="537"/>
      <c r="B819" s="537"/>
      <c r="C819" s="537"/>
      <c r="D819" s="537"/>
      <c r="E819" s="537"/>
      <c r="F819" s="537"/>
      <c r="G819" s="537"/>
      <c r="H819" s="537"/>
      <c r="I819" s="537"/>
      <c r="L819" s="537"/>
      <c r="AA819" s="539"/>
      <c r="AB819" s="539"/>
      <c r="AC819" s="539"/>
      <c r="AD819" s="539"/>
      <c r="AE819" s="539"/>
      <c r="AF819" s="539"/>
      <c r="AG819" s="537"/>
    </row>
    <row r="820" spans="1:33" ht="10.5" customHeight="1" x14ac:dyDescent="0.2">
      <c r="A820" s="537"/>
      <c r="B820" s="537"/>
      <c r="C820" s="537"/>
      <c r="D820" s="537"/>
      <c r="E820" s="537"/>
      <c r="F820" s="537"/>
      <c r="G820" s="537"/>
      <c r="H820" s="537"/>
      <c r="I820" s="537"/>
      <c r="L820" s="537"/>
      <c r="AA820" s="539"/>
      <c r="AB820" s="539"/>
      <c r="AC820" s="539"/>
      <c r="AD820" s="539"/>
      <c r="AE820" s="539"/>
      <c r="AF820" s="539"/>
      <c r="AG820" s="537"/>
    </row>
    <row r="821" spans="1:33" ht="10.5" customHeight="1" x14ac:dyDescent="0.2">
      <c r="A821" s="537"/>
      <c r="B821" s="537"/>
      <c r="C821" s="537"/>
      <c r="D821" s="537"/>
      <c r="E821" s="537"/>
      <c r="F821" s="537"/>
      <c r="G821" s="537"/>
      <c r="H821" s="537"/>
      <c r="I821" s="537"/>
      <c r="L821" s="537"/>
      <c r="AA821" s="539"/>
      <c r="AB821" s="539"/>
      <c r="AC821" s="539"/>
      <c r="AD821" s="539"/>
      <c r="AE821" s="539"/>
      <c r="AF821" s="539"/>
      <c r="AG821" s="537"/>
    </row>
    <row r="822" spans="1:33" ht="10.5" customHeight="1" x14ac:dyDescent="0.2">
      <c r="A822" s="537"/>
      <c r="B822" s="537"/>
      <c r="C822" s="537"/>
      <c r="D822" s="537"/>
      <c r="E822" s="537"/>
      <c r="F822" s="537"/>
      <c r="G822" s="537"/>
      <c r="H822" s="537"/>
      <c r="I822" s="537"/>
      <c r="L822" s="537"/>
      <c r="AA822" s="539"/>
      <c r="AB822" s="539"/>
      <c r="AC822" s="539"/>
      <c r="AD822" s="539"/>
      <c r="AE822" s="539"/>
      <c r="AF822" s="539"/>
      <c r="AG822" s="537"/>
    </row>
    <row r="823" spans="1:33" ht="10.5" customHeight="1" x14ac:dyDescent="0.2">
      <c r="A823" s="537"/>
      <c r="B823" s="537"/>
      <c r="C823" s="537"/>
      <c r="D823" s="537"/>
      <c r="E823" s="537"/>
      <c r="F823" s="537"/>
      <c r="G823" s="537"/>
      <c r="H823" s="537"/>
      <c r="I823" s="537"/>
      <c r="L823" s="537"/>
      <c r="AA823" s="539"/>
      <c r="AB823" s="539"/>
      <c r="AC823" s="539"/>
      <c r="AD823" s="539"/>
      <c r="AE823" s="539"/>
      <c r="AF823" s="539"/>
      <c r="AG823" s="537"/>
    </row>
    <row r="824" spans="1:33" ht="10.5" customHeight="1" x14ac:dyDescent="0.2">
      <c r="A824" s="537"/>
      <c r="B824" s="537"/>
      <c r="C824" s="537"/>
      <c r="D824" s="537"/>
      <c r="E824" s="537"/>
      <c r="F824" s="537"/>
      <c r="G824" s="537"/>
      <c r="H824" s="537"/>
      <c r="I824" s="537"/>
      <c r="L824" s="537"/>
      <c r="AA824" s="539"/>
      <c r="AB824" s="539"/>
      <c r="AC824" s="539"/>
      <c r="AD824" s="539"/>
      <c r="AE824" s="539"/>
      <c r="AF824" s="539"/>
      <c r="AG824" s="537"/>
    </row>
    <row r="825" spans="1:33" ht="10.5" customHeight="1" x14ac:dyDescent="0.2">
      <c r="A825" s="537"/>
      <c r="B825" s="537"/>
      <c r="C825" s="537"/>
      <c r="D825" s="537"/>
      <c r="E825" s="537"/>
      <c r="F825" s="537"/>
      <c r="G825" s="537"/>
      <c r="H825" s="537"/>
      <c r="I825" s="537"/>
      <c r="L825" s="537"/>
      <c r="AA825" s="539"/>
      <c r="AB825" s="539"/>
      <c r="AC825" s="539"/>
      <c r="AD825" s="539"/>
      <c r="AE825" s="539"/>
      <c r="AF825" s="539"/>
      <c r="AG825" s="537"/>
    </row>
    <row r="826" spans="1:33" ht="10.5" customHeight="1" x14ac:dyDescent="0.2">
      <c r="A826" s="537"/>
      <c r="B826" s="537"/>
      <c r="C826" s="537"/>
      <c r="D826" s="537"/>
      <c r="E826" s="537"/>
      <c r="F826" s="537"/>
      <c r="G826" s="537"/>
      <c r="H826" s="537"/>
      <c r="I826" s="537"/>
      <c r="L826" s="537"/>
      <c r="AA826" s="539"/>
      <c r="AB826" s="539"/>
      <c r="AC826" s="539"/>
      <c r="AD826" s="539"/>
      <c r="AE826" s="539"/>
      <c r="AF826" s="539"/>
      <c r="AG826" s="537"/>
    </row>
    <row r="827" spans="1:33" ht="10.5" customHeight="1" x14ac:dyDescent="0.2">
      <c r="A827" s="537"/>
      <c r="B827" s="537"/>
      <c r="C827" s="537"/>
      <c r="D827" s="537"/>
      <c r="E827" s="537"/>
      <c r="F827" s="537"/>
      <c r="G827" s="537"/>
      <c r="H827" s="537"/>
      <c r="I827" s="537"/>
      <c r="L827" s="537"/>
      <c r="AA827" s="539"/>
      <c r="AB827" s="539"/>
      <c r="AC827" s="539"/>
      <c r="AD827" s="539"/>
      <c r="AE827" s="539"/>
      <c r="AF827" s="539"/>
      <c r="AG827" s="537"/>
    </row>
    <row r="828" spans="1:33" ht="10.5" customHeight="1" x14ac:dyDescent="0.2">
      <c r="A828" s="537"/>
      <c r="B828" s="537"/>
      <c r="C828" s="537"/>
      <c r="D828" s="537"/>
      <c r="E828" s="537"/>
      <c r="F828" s="537"/>
      <c r="G828" s="537"/>
      <c r="H828" s="537"/>
      <c r="I828" s="537"/>
      <c r="L828" s="537"/>
      <c r="AA828" s="539"/>
      <c r="AB828" s="539"/>
      <c r="AC828" s="539"/>
      <c r="AD828" s="539"/>
      <c r="AE828" s="539"/>
      <c r="AF828" s="539"/>
      <c r="AG828" s="537"/>
    </row>
    <row r="829" spans="1:33" ht="10.5" customHeight="1" x14ac:dyDescent="0.2">
      <c r="A829" s="537"/>
      <c r="B829" s="537"/>
      <c r="C829" s="537"/>
      <c r="D829" s="537"/>
      <c r="E829" s="537"/>
      <c r="F829" s="537"/>
      <c r="G829" s="537"/>
      <c r="H829" s="537"/>
      <c r="I829" s="537"/>
      <c r="L829" s="537"/>
      <c r="AA829" s="539"/>
      <c r="AB829" s="539"/>
      <c r="AC829" s="539"/>
      <c r="AD829" s="539"/>
      <c r="AE829" s="539"/>
      <c r="AF829" s="539"/>
      <c r="AG829" s="537"/>
    </row>
    <row r="830" spans="1:33" ht="10.5" customHeight="1" x14ac:dyDescent="0.2">
      <c r="A830" s="537"/>
      <c r="B830" s="537"/>
      <c r="C830" s="537"/>
      <c r="D830" s="537"/>
      <c r="E830" s="537"/>
      <c r="F830" s="537"/>
      <c r="G830" s="537"/>
      <c r="H830" s="537"/>
      <c r="I830" s="537"/>
      <c r="L830" s="537"/>
      <c r="AA830" s="539"/>
      <c r="AB830" s="539"/>
      <c r="AC830" s="539"/>
      <c r="AD830" s="539"/>
      <c r="AE830" s="539"/>
      <c r="AF830" s="539"/>
      <c r="AG830" s="537"/>
    </row>
    <row r="831" spans="1:33" ht="10.5" customHeight="1" x14ac:dyDescent="0.2">
      <c r="A831" s="537"/>
      <c r="B831" s="537"/>
      <c r="C831" s="537"/>
      <c r="D831" s="537"/>
      <c r="E831" s="537"/>
      <c r="F831" s="537"/>
      <c r="G831" s="537"/>
      <c r="H831" s="537"/>
      <c r="I831" s="537"/>
      <c r="L831" s="537"/>
      <c r="AA831" s="539"/>
      <c r="AB831" s="539"/>
      <c r="AC831" s="539"/>
      <c r="AD831" s="539"/>
      <c r="AE831" s="539"/>
      <c r="AF831" s="539"/>
      <c r="AG831" s="537"/>
    </row>
    <row r="832" spans="1:33" ht="10.5" customHeight="1" x14ac:dyDescent="0.2">
      <c r="A832" s="537"/>
      <c r="B832" s="537"/>
      <c r="C832" s="537"/>
      <c r="D832" s="537"/>
      <c r="E832" s="537"/>
      <c r="F832" s="537"/>
      <c r="G832" s="537"/>
      <c r="H832" s="537"/>
      <c r="I832" s="537"/>
      <c r="L832" s="537"/>
      <c r="AA832" s="539"/>
      <c r="AB832" s="539"/>
      <c r="AC832" s="539"/>
      <c r="AD832" s="539"/>
      <c r="AE832" s="539"/>
      <c r="AF832" s="539"/>
      <c r="AG832" s="537"/>
    </row>
    <row r="833" spans="1:33" ht="10.5" customHeight="1" x14ac:dyDescent="0.2">
      <c r="A833" s="537"/>
      <c r="B833" s="537"/>
      <c r="C833" s="537"/>
      <c r="D833" s="537"/>
      <c r="E833" s="537"/>
      <c r="F833" s="537"/>
      <c r="G833" s="537"/>
      <c r="H833" s="537"/>
      <c r="I833" s="537"/>
      <c r="L833" s="537"/>
      <c r="AA833" s="539"/>
      <c r="AB833" s="539"/>
      <c r="AC833" s="539"/>
      <c r="AD833" s="539"/>
      <c r="AE833" s="539"/>
      <c r="AF833" s="539"/>
      <c r="AG833" s="537"/>
    </row>
    <row r="834" spans="1:33" ht="10.5" customHeight="1" x14ac:dyDescent="0.2">
      <c r="A834" s="537"/>
      <c r="B834" s="537"/>
      <c r="C834" s="537"/>
      <c r="D834" s="537"/>
      <c r="E834" s="537"/>
      <c r="F834" s="537"/>
      <c r="G834" s="537"/>
      <c r="H834" s="537"/>
      <c r="I834" s="537"/>
      <c r="L834" s="537"/>
      <c r="AA834" s="539"/>
      <c r="AB834" s="539"/>
      <c r="AC834" s="539"/>
      <c r="AD834" s="539"/>
      <c r="AE834" s="539"/>
      <c r="AF834" s="539"/>
      <c r="AG834" s="537"/>
    </row>
    <row r="835" spans="1:33" ht="10.5" customHeight="1" x14ac:dyDescent="0.2">
      <c r="A835" s="537"/>
      <c r="B835" s="537"/>
      <c r="C835" s="537"/>
      <c r="D835" s="537"/>
      <c r="E835" s="537"/>
      <c r="F835" s="537"/>
      <c r="G835" s="537"/>
      <c r="H835" s="537"/>
      <c r="I835" s="537"/>
      <c r="L835" s="537"/>
      <c r="AA835" s="539"/>
      <c r="AB835" s="539"/>
      <c r="AC835" s="539"/>
      <c r="AD835" s="539"/>
      <c r="AE835" s="539"/>
      <c r="AF835" s="539"/>
      <c r="AG835" s="537"/>
    </row>
    <row r="836" spans="1:33" ht="10.5" customHeight="1" x14ac:dyDescent="0.2">
      <c r="A836" s="537"/>
      <c r="B836" s="537"/>
      <c r="C836" s="537"/>
      <c r="D836" s="537"/>
      <c r="E836" s="537"/>
      <c r="F836" s="537"/>
      <c r="G836" s="537"/>
      <c r="H836" s="537"/>
      <c r="I836" s="537"/>
      <c r="L836" s="537"/>
      <c r="AA836" s="539"/>
      <c r="AB836" s="539"/>
      <c r="AC836" s="539"/>
      <c r="AD836" s="539"/>
      <c r="AE836" s="539"/>
      <c r="AF836" s="539"/>
      <c r="AG836" s="537"/>
    </row>
    <row r="837" spans="1:33" ht="10.5" customHeight="1" x14ac:dyDescent="0.2">
      <c r="A837" s="537"/>
      <c r="B837" s="537"/>
      <c r="C837" s="537"/>
      <c r="D837" s="537"/>
      <c r="E837" s="537"/>
      <c r="F837" s="537"/>
      <c r="G837" s="537"/>
      <c r="H837" s="537"/>
      <c r="I837" s="537"/>
      <c r="L837" s="537"/>
      <c r="AA837" s="539"/>
      <c r="AB837" s="539"/>
      <c r="AC837" s="539"/>
      <c r="AD837" s="539"/>
      <c r="AE837" s="539"/>
      <c r="AF837" s="539"/>
      <c r="AG837" s="537"/>
    </row>
    <row r="838" spans="1:33" ht="10.5" customHeight="1" x14ac:dyDescent="0.2">
      <c r="A838" s="537"/>
      <c r="B838" s="537"/>
      <c r="C838" s="537"/>
      <c r="D838" s="537"/>
      <c r="E838" s="537"/>
      <c r="F838" s="537"/>
      <c r="G838" s="537"/>
      <c r="H838" s="537"/>
      <c r="I838" s="537"/>
      <c r="L838" s="537"/>
      <c r="AA838" s="539"/>
      <c r="AB838" s="539"/>
      <c r="AC838" s="539"/>
      <c r="AD838" s="539"/>
      <c r="AE838" s="539"/>
      <c r="AF838" s="539"/>
      <c r="AG838" s="537"/>
    </row>
    <row r="839" spans="1:33" ht="10.5" customHeight="1" x14ac:dyDescent="0.2">
      <c r="A839" s="537"/>
      <c r="B839" s="537"/>
      <c r="C839" s="537"/>
      <c r="D839" s="537"/>
      <c r="E839" s="537"/>
      <c r="F839" s="537"/>
      <c r="G839" s="537"/>
      <c r="H839" s="537"/>
      <c r="I839" s="537"/>
      <c r="L839" s="537"/>
      <c r="AA839" s="539"/>
      <c r="AB839" s="539"/>
      <c r="AC839" s="539"/>
      <c r="AD839" s="539"/>
      <c r="AE839" s="539"/>
      <c r="AF839" s="539"/>
      <c r="AG839" s="537"/>
    </row>
    <row r="840" spans="1:33" ht="10.5" customHeight="1" x14ac:dyDescent="0.2">
      <c r="A840" s="537"/>
      <c r="B840" s="537"/>
      <c r="C840" s="537"/>
      <c r="D840" s="537"/>
      <c r="E840" s="537"/>
      <c r="F840" s="537"/>
      <c r="G840" s="537"/>
      <c r="H840" s="537"/>
      <c r="I840" s="537"/>
      <c r="L840" s="537"/>
      <c r="AA840" s="539"/>
      <c r="AB840" s="539"/>
      <c r="AC840" s="539"/>
      <c r="AD840" s="539"/>
      <c r="AE840" s="539"/>
      <c r="AF840" s="539"/>
      <c r="AG840" s="537"/>
    </row>
    <row r="841" spans="1:33" ht="10.5" customHeight="1" x14ac:dyDescent="0.2">
      <c r="A841" s="537"/>
      <c r="B841" s="537"/>
      <c r="C841" s="537"/>
      <c r="D841" s="537"/>
      <c r="E841" s="537"/>
      <c r="F841" s="537"/>
      <c r="G841" s="537"/>
      <c r="H841" s="537"/>
      <c r="I841" s="537"/>
      <c r="L841" s="537"/>
      <c r="AA841" s="539"/>
      <c r="AB841" s="539"/>
      <c r="AC841" s="539"/>
      <c r="AD841" s="539"/>
      <c r="AE841" s="539"/>
      <c r="AF841" s="539"/>
      <c r="AG841" s="537"/>
    </row>
    <row r="842" spans="1:33" ht="10.5" customHeight="1" x14ac:dyDescent="0.2">
      <c r="A842" s="537"/>
      <c r="B842" s="537"/>
      <c r="C842" s="537"/>
      <c r="D842" s="537"/>
      <c r="E842" s="537"/>
      <c r="F842" s="537"/>
      <c r="G842" s="537"/>
      <c r="H842" s="537"/>
      <c r="I842" s="537"/>
      <c r="L842" s="537"/>
      <c r="AA842" s="539"/>
      <c r="AB842" s="539"/>
      <c r="AC842" s="539"/>
      <c r="AD842" s="539"/>
      <c r="AE842" s="539"/>
      <c r="AF842" s="539"/>
      <c r="AG842" s="537"/>
    </row>
    <row r="843" spans="1:33" ht="10.5" customHeight="1" x14ac:dyDescent="0.2">
      <c r="A843" s="537"/>
      <c r="B843" s="537"/>
      <c r="C843" s="537"/>
      <c r="D843" s="537"/>
      <c r="E843" s="537"/>
      <c r="F843" s="537"/>
      <c r="G843" s="537"/>
      <c r="H843" s="537"/>
      <c r="I843" s="537"/>
      <c r="L843" s="537"/>
      <c r="AA843" s="539"/>
      <c r="AB843" s="539"/>
      <c r="AC843" s="539"/>
      <c r="AD843" s="539"/>
      <c r="AE843" s="539"/>
      <c r="AF843" s="539"/>
      <c r="AG843" s="537"/>
    </row>
    <row r="844" spans="1:33" ht="10.5" customHeight="1" x14ac:dyDescent="0.2">
      <c r="A844" s="537"/>
      <c r="B844" s="537"/>
      <c r="C844" s="537"/>
      <c r="D844" s="537"/>
      <c r="E844" s="537"/>
      <c r="F844" s="537"/>
      <c r="G844" s="537"/>
      <c r="H844" s="537"/>
      <c r="I844" s="537"/>
      <c r="L844" s="537"/>
      <c r="AA844" s="539"/>
      <c r="AB844" s="539"/>
      <c r="AC844" s="539"/>
      <c r="AD844" s="539"/>
      <c r="AE844" s="539"/>
      <c r="AF844" s="539"/>
      <c r="AG844" s="537"/>
    </row>
    <row r="845" spans="1:33" ht="10.5" customHeight="1" x14ac:dyDescent="0.2">
      <c r="A845" s="537"/>
      <c r="B845" s="537"/>
      <c r="C845" s="537"/>
      <c r="D845" s="537"/>
      <c r="E845" s="537"/>
      <c r="F845" s="537"/>
      <c r="G845" s="537"/>
      <c r="H845" s="537"/>
      <c r="I845" s="537"/>
      <c r="L845" s="537"/>
      <c r="AA845" s="539"/>
      <c r="AB845" s="539"/>
      <c r="AC845" s="539"/>
      <c r="AD845" s="539"/>
      <c r="AE845" s="539"/>
      <c r="AF845" s="539"/>
      <c r="AG845" s="537"/>
    </row>
    <row r="846" spans="1:33" ht="10.5" customHeight="1" x14ac:dyDescent="0.2">
      <c r="A846" s="537"/>
      <c r="B846" s="537"/>
      <c r="C846" s="537"/>
      <c r="D846" s="537"/>
      <c r="E846" s="537"/>
      <c r="F846" s="537"/>
      <c r="G846" s="537"/>
      <c r="H846" s="537"/>
      <c r="I846" s="537"/>
      <c r="L846" s="537"/>
      <c r="AA846" s="539"/>
      <c r="AB846" s="539"/>
      <c r="AC846" s="539"/>
      <c r="AD846" s="539"/>
      <c r="AE846" s="539"/>
      <c r="AF846" s="539"/>
      <c r="AG846" s="537"/>
    </row>
    <row r="847" spans="1:33" ht="10.5" customHeight="1" x14ac:dyDescent="0.2">
      <c r="A847" s="537"/>
      <c r="B847" s="537"/>
      <c r="C847" s="537"/>
      <c r="D847" s="537"/>
      <c r="E847" s="537"/>
      <c r="F847" s="537"/>
      <c r="G847" s="537"/>
      <c r="H847" s="537"/>
      <c r="I847" s="537"/>
      <c r="L847" s="537"/>
      <c r="AA847" s="539"/>
      <c r="AB847" s="539"/>
      <c r="AC847" s="539"/>
      <c r="AD847" s="539"/>
      <c r="AE847" s="539"/>
      <c r="AF847" s="539"/>
      <c r="AG847" s="537"/>
    </row>
    <row r="848" spans="1:33" ht="10.5" customHeight="1" x14ac:dyDescent="0.2">
      <c r="A848" s="537"/>
      <c r="B848" s="537"/>
      <c r="C848" s="537"/>
      <c r="D848" s="537"/>
      <c r="E848" s="537"/>
      <c r="F848" s="537"/>
      <c r="G848" s="537"/>
      <c r="H848" s="537"/>
      <c r="I848" s="537"/>
      <c r="L848" s="537"/>
      <c r="AA848" s="539"/>
      <c r="AB848" s="539"/>
      <c r="AC848" s="539"/>
      <c r="AD848" s="539"/>
      <c r="AE848" s="539"/>
      <c r="AF848" s="539"/>
      <c r="AG848" s="537"/>
    </row>
    <row r="849" spans="1:33" ht="10.5" customHeight="1" x14ac:dyDescent="0.2">
      <c r="A849" s="537"/>
      <c r="B849" s="537"/>
      <c r="C849" s="537"/>
      <c r="D849" s="537"/>
      <c r="E849" s="537"/>
      <c r="F849" s="537"/>
      <c r="G849" s="537"/>
      <c r="H849" s="537"/>
      <c r="I849" s="537"/>
      <c r="L849" s="537"/>
      <c r="AA849" s="539"/>
      <c r="AB849" s="539"/>
      <c r="AC849" s="539"/>
      <c r="AD849" s="539"/>
      <c r="AE849" s="539"/>
      <c r="AF849" s="539"/>
      <c r="AG849" s="537"/>
    </row>
    <row r="850" spans="1:33" ht="10.5" customHeight="1" x14ac:dyDescent="0.2">
      <c r="A850" s="537"/>
      <c r="B850" s="537"/>
      <c r="C850" s="537"/>
      <c r="D850" s="537"/>
      <c r="E850" s="537"/>
      <c r="F850" s="537"/>
      <c r="G850" s="537"/>
      <c r="H850" s="537"/>
      <c r="I850" s="537"/>
      <c r="L850" s="537"/>
      <c r="AA850" s="539"/>
      <c r="AB850" s="539"/>
      <c r="AC850" s="539"/>
      <c r="AD850" s="539"/>
      <c r="AE850" s="539"/>
      <c r="AF850" s="539"/>
      <c r="AG850" s="537"/>
    </row>
    <row r="851" spans="1:33" ht="10.5" customHeight="1" x14ac:dyDescent="0.2">
      <c r="A851" s="537"/>
      <c r="B851" s="537"/>
      <c r="C851" s="537"/>
      <c r="D851" s="537"/>
      <c r="E851" s="537"/>
      <c r="F851" s="537"/>
      <c r="G851" s="537"/>
      <c r="H851" s="537"/>
      <c r="I851" s="537"/>
      <c r="L851" s="537"/>
      <c r="AA851" s="539"/>
      <c r="AB851" s="539"/>
      <c r="AC851" s="539"/>
      <c r="AD851" s="539"/>
      <c r="AE851" s="539"/>
      <c r="AF851" s="539"/>
      <c r="AG851" s="537"/>
    </row>
    <row r="852" spans="1:33" ht="10.5" customHeight="1" x14ac:dyDescent="0.2">
      <c r="A852" s="537"/>
      <c r="B852" s="537"/>
      <c r="C852" s="537"/>
      <c r="D852" s="537"/>
      <c r="E852" s="537"/>
      <c r="F852" s="537"/>
      <c r="G852" s="537"/>
      <c r="H852" s="537"/>
      <c r="I852" s="537"/>
      <c r="L852" s="537"/>
      <c r="AA852" s="539"/>
      <c r="AB852" s="539"/>
      <c r="AC852" s="539"/>
      <c r="AD852" s="539"/>
      <c r="AE852" s="539"/>
      <c r="AF852" s="539"/>
      <c r="AG852" s="537"/>
    </row>
    <row r="853" spans="1:33" ht="10.5" customHeight="1" x14ac:dyDescent="0.2">
      <c r="A853" s="537"/>
      <c r="B853" s="537"/>
      <c r="C853" s="537"/>
      <c r="D853" s="537"/>
      <c r="E853" s="537"/>
      <c r="F853" s="537"/>
      <c r="G853" s="537"/>
      <c r="H853" s="537"/>
      <c r="I853" s="537"/>
      <c r="L853" s="537"/>
      <c r="AA853" s="539"/>
      <c r="AB853" s="539"/>
      <c r="AC853" s="539"/>
      <c r="AD853" s="539"/>
      <c r="AE853" s="539"/>
      <c r="AF853" s="539"/>
      <c r="AG853" s="537"/>
    </row>
    <row r="854" spans="1:33" ht="10.5" customHeight="1" x14ac:dyDescent="0.2">
      <c r="A854" s="537"/>
      <c r="B854" s="537"/>
      <c r="C854" s="537"/>
      <c r="D854" s="537"/>
      <c r="E854" s="537"/>
      <c r="F854" s="537"/>
      <c r="G854" s="537"/>
      <c r="H854" s="537"/>
      <c r="I854" s="537"/>
      <c r="L854" s="537"/>
      <c r="AA854" s="539"/>
      <c r="AB854" s="539"/>
      <c r="AC854" s="539"/>
      <c r="AD854" s="539"/>
      <c r="AE854" s="539"/>
      <c r="AF854" s="539"/>
      <c r="AG854" s="537"/>
    </row>
    <row r="855" spans="1:33" ht="10.5" customHeight="1" x14ac:dyDescent="0.2">
      <c r="A855" s="537"/>
      <c r="B855" s="537"/>
      <c r="C855" s="537"/>
      <c r="D855" s="537"/>
      <c r="E855" s="537"/>
      <c r="F855" s="537"/>
      <c r="G855" s="537"/>
      <c r="H855" s="537"/>
      <c r="I855" s="537"/>
      <c r="L855" s="537"/>
      <c r="AA855" s="539"/>
      <c r="AB855" s="539"/>
      <c r="AC855" s="539"/>
      <c r="AD855" s="539"/>
      <c r="AE855" s="539"/>
      <c r="AF855" s="539"/>
      <c r="AG855" s="537"/>
    </row>
    <row r="856" spans="1:33" ht="10.5" customHeight="1" x14ac:dyDescent="0.2">
      <c r="A856" s="537"/>
      <c r="B856" s="537"/>
      <c r="C856" s="537"/>
      <c r="D856" s="537"/>
      <c r="E856" s="537"/>
      <c r="F856" s="537"/>
      <c r="G856" s="537"/>
      <c r="H856" s="537"/>
      <c r="I856" s="537"/>
      <c r="L856" s="537"/>
      <c r="AA856" s="539"/>
      <c r="AB856" s="539"/>
      <c r="AC856" s="539"/>
      <c r="AD856" s="539"/>
      <c r="AE856" s="539"/>
      <c r="AF856" s="539"/>
      <c r="AG856" s="537"/>
    </row>
    <row r="857" spans="1:33" ht="10.5" customHeight="1" x14ac:dyDescent="0.2">
      <c r="A857" s="537"/>
      <c r="B857" s="537"/>
      <c r="C857" s="537"/>
      <c r="D857" s="537"/>
      <c r="E857" s="537"/>
      <c r="F857" s="537"/>
      <c r="G857" s="537"/>
      <c r="H857" s="537"/>
      <c r="I857" s="537"/>
      <c r="L857" s="537"/>
      <c r="AA857" s="539"/>
      <c r="AB857" s="539"/>
      <c r="AC857" s="539"/>
      <c r="AD857" s="539"/>
      <c r="AE857" s="539"/>
      <c r="AF857" s="539"/>
      <c r="AG857" s="537"/>
    </row>
    <row r="858" spans="1:33" ht="10.5" customHeight="1" x14ac:dyDescent="0.2">
      <c r="A858" s="537"/>
      <c r="B858" s="537"/>
      <c r="C858" s="537"/>
      <c r="D858" s="537"/>
      <c r="E858" s="537"/>
      <c r="F858" s="537"/>
      <c r="G858" s="537"/>
      <c r="H858" s="537"/>
      <c r="I858" s="537"/>
      <c r="L858" s="537"/>
      <c r="AA858" s="539"/>
      <c r="AB858" s="539"/>
      <c r="AC858" s="539"/>
      <c r="AD858" s="539"/>
      <c r="AE858" s="539"/>
      <c r="AF858" s="539"/>
      <c r="AG858" s="537"/>
    </row>
    <row r="859" spans="1:33" ht="10.5" customHeight="1" x14ac:dyDescent="0.2">
      <c r="A859" s="537"/>
      <c r="B859" s="537"/>
      <c r="C859" s="537"/>
      <c r="D859" s="537"/>
      <c r="E859" s="537"/>
      <c r="F859" s="537"/>
      <c r="G859" s="537"/>
      <c r="H859" s="537"/>
      <c r="I859" s="537"/>
      <c r="L859" s="537"/>
      <c r="AA859" s="539"/>
      <c r="AB859" s="539"/>
      <c r="AC859" s="539"/>
      <c r="AD859" s="539"/>
      <c r="AE859" s="539"/>
      <c r="AF859" s="539"/>
      <c r="AG859" s="537"/>
    </row>
    <row r="860" spans="1:33" ht="10.5" customHeight="1" x14ac:dyDescent="0.2">
      <c r="A860" s="537"/>
      <c r="B860" s="537"/>
      <c r="C860" s="537"/>
      <c r="D860" s="537"/>
      <c r="E860" s="537"/>
      <c r="F860" s="537"/>
      <c r="G860" s="537"/>
      <c r="H860" s="537"/>
      <c r="I860" s="537"/>
      <c r="L860" s="537"/>
      <c r="AA860" s="539"/>
      <c r="AB860" s="539"/>
      <c r="AC860" s="539"/>
      <c r="AD860" s="539"/>
      <c r="AE860" s="539"/>
      <c r="AF860" s="539"/>
      <c r="AG860" s="537"/>
    </row>
    <row r="861" spans="1:33" ht="10.5" customHeight="1" x14ac:dyDescent="0.2">
      <c r="A861" s="537"/>
      <c r="B861" s="537"/>
      <c r="C861" s="537"/>
      <c r="D861" s="537"/>
      <c r="E861" s="537"/>
      <c r="F861" s="537"/>
      <c r="G861" s="537"/>
      <c r="H861" s="537"/>
      <c r="I861" s="537"/>
      <c r="L861" s="537"/>
      <c r="AA861" s="539"/>
      <c r="AB861" s="539"/>
      <c r="AC861" s="539"/>
      <c r="AD861" s="539"/>
      <c r="AE861" s="539"/>
      <c r="AF861" s="539"/>
      <c r="AG861" s="537"/>
    </row>
    <row r="862" spans="1:33" ht="10.5" customHeight="1" x14ac:dyDescent="0.2">
      <c r="A862" s="537"/>
      <c r="B862" s="537"/>
      <c r="C862" s="537"/>
      <c r="D862" s="537"/>
      <c r="E862" s="537"/>
      <c r="F862" s="537"/>
      <c r="G862" s="537"/>
      <c r="H862" s="537"/>
      <c r="I862" s="537"/>
      <c r="L862" s="537"/>
      <c r="AA862" s="539"/>
      <c r="AB862" s="539"/>
      <c r="AC862" s="539"/>
      <c r="AD862" s="539"/>
      <c r="AE862" s="539"/>
      <c r="AF862" s="539"/>
      <c r="AG862" s="537"/>
    </row>
    <row r="863" spans="1:33" ht="10.5" customHeight="1" x14ac:dyDescent="0.2">
      <c r="A863" s="537"/>
      <c r="B863" s="537"/>
      <c r="C863" s="537"/>
      <c r="D863" s="537"/>
      <c r="E863" s="537"/>
      <c r="F863" s="537"/>
      <c r="G863" s="537"/>
      <c r="H863" s="537"/>
      <c r="I863" s="537"/>
      <c r="L863" s="537"/>
      <c r="AA863" s="539"/>
      <c r="AB863" s="539"/>
      <c r="AC863" s="539"/>
      <c r="AD863" s="539"/>
      <c r="AE863" s="539"/>
      <c r="AF863" s="539"/>
      <c r="AG863" s="537"/>
    </row>
    <row r="864" spans="1:33" ht="10.5" customHeight="1" x14ac:dyDescent="0.2">
      <c r="A864" s="537"/>
      <c r="B864" s="537"/>
      <c r="C864" s="537"/>
      <c r="D864" s="537"/>
      <c r="E864" s="537"/>
      <c r="F864" s="537"/>
      <c r="G864" s="537"/>
      <c r="H864" s="537"/>
      <c r="I864" s="537"/>
      <c r="L864" s="537"/>
      <c r="AA864" s="539"/>
      <c r="AB864" s="539"/>
      <c r="AC864" s="539"/>
      <c r="AD864" s="539"/>
      <c r="AE864" s="539"/>
      <c r="AF864" s="539"/>
      <c r="AG864" s="537"/>
    </row>
    <row r="865" spans="1:33" ht="10.5" customHeight="1" x14ac:dyDescent="0.2">
      <c r="A865" s="537"/>
      <c r="B865" s="537"/>
      <c r="C865" s="537"/>
      <c r="D865" s="537"/>
      <c r="E865" s="537"/>
      <c r="F865" s="537"/>
      <c r="G865" s="537"/>
      <c r="H865" s="537"/>
      <c r="I865" s="537"/>
      <c r="L865" s="537"/>
      <c r="AA865" s="539"/>
      <c r="AB865" s="539"/>
      <c r="AC865" s="539"/>
      <c r="AD865" s="539"/>
      <c r="AE865" s="539"/>
      <c r="AF865" s="539"/>
      <c r="AG865" s="537"/>
    </row>
    <row r="866" spans="1:33" ht="10.5" customHeight="1" x14ac:dyDescent="0.2">
      <c r="A866" s="537"/>
      <c r="B866" s="537"/>
      <c r="C866" s="537"/>
      <c r="D866" s="537"/>
      <c r="E866" s="537"/>
      <c r="F866" s="537"/>
      <c r="G866" s="537"/>
      <c r="H866" s="537"/>
      <c r="I866" s="537"/>
      <c r="L866" s="537"/>
      <c r="AA866" s="539"/>
      <c r="AB866" s="539"/>
      <c r="AC866" s="539"/>
      <c r="AD866" s="539"/>
      <c r="AE866" s="539"/>
      <c r="AF866" s="539"/>
      <c r="AG866" s="537"/>
    </row>
    <row r="867" spans="1:33" ht="10.5" customHeight="1" x14ac:dyDescent="0.2">
      <c r="A867" s="537"/>
      <c r="B867" s="537"/>
      <c r="C867" s="537"/>
      <c r="D867" s="537"/>
      <c r="E867" s="537"/>
      <c r="F867" s="537"/>
      <c r="G867" s="537"/>
      <c r="H867" s="537"/>
      <c r="I867" s="537"/>
      <c r="L867" s="537"/>
      <c r="AA867" s="539"/>
      <c r="AB867" s="539"/>
      <c r="AC867" s="539"/>
      <c r="AD867" s="539"/>
      <c r="AE867" s="539"/>
      <c r="AF867" s="539"/>
      <c r="AG867" s="537"/>
    </row>
    <row r="868" spans="1:33" ht="10.5" customHeight="1" x14ac:dyDescent="0.2">
      <c r="A868" s="537"/>
      <c r="B868" s="537"/>
      <c r="C868" s="537"/>
      <c r="D868" s="537"/>
      <c r="E868" s="537"/>
      <c r="F868" s="537"/>
      <c r="G868" s="537"/>
      <c r="H868" s="537"/>
      <c r="I868" s="537"/>
      <c r="L868" s="537"/>
      <c r="AA868" s="539"/>
      <c r="AB868" s="539"/>
      <c r="AC868" s="539"/>
      <c r="AD868" s="539"/>
      <c r="AE868" s="539"/>
      <c r="AF868" s="539"/>
      <c r="AG868" s="537"/>
    </row>
    <row r="869" spans="1:33" ht="10.5" customHeight="1" x14ac:dyDescent="0.2">
      <c r="A869" s="537"/>
      <c r="B869" s="537"/>
      <c r="C869" s="537"/>
      <c r="D869" s="537"/>
      <c r="E869" s="537"/>
      <c r="F869" s="537"/>
      <c r="G869" s="537"/>
      <c r="H869" s="537"/>
      <c r="I869" s="537"/>
      <c r="L869" s="537"/>
      <c r="AA869" s="539"/>
      <c r="AB869" s="539"/>
      <c r="AC869" s="539"/>
      <c r="AD869" s="539"/>
      <c r="AE869" s="539"/>
      <c r="AF869" s="539"/>
      <c r="AG869" s="537"/>
    </row>
    <row r="870" spans="1:33" ht="10.5" customHeight="1" x14ac:dyDescent="0.2">
      <c r="A870" s="537"/>
      <c r="B870" s="537"/>
      <c r="C870" s="537"/>
      <c r="D870" s="537"/>
      <c r="E870" s="537"/>
      <c r="F870" s="537"/>
      <c r="G870" s="537"/>
      <c r="H870" s="537"/>
      <c r="I870" s="537"/>
      <c r="L870" s="537"/>
      <c r="AA870" s="539"/>
      <c r="AB870" s="539"/>
      <c r="AC870" s="539"/>
      <c r="AD870" s="539"/>
      <c r="AE870" s="539"/>
      <c r="AF870" s="539"/>
      <c r="AG870" s="537"/>
    </row>
    <row r="871" spans="1:33" ht="10.5" customHeight="1" x14ac:dyDescent="0.2">
      <c r="A871" s="537"/>
      <c r="B871" s="537"/>
      <c r="C871" s="537"/>
      <c r="D871" s="537"/>
      <c r="E871" s="537"/>
      <c r="F871" s="537"/>
      <c r="G871" s="537"/>
      <c r="H871" s="537"/>
      <c r="I871" s="537"/>
      <c r="L871" s="537"/>
      <c r="AA871" s="539"/>
      <c r="AB871" s="539"/>
      <c r="AC871" s="539"/>
      <c r="AD871" s="539"/>
      <c r="AE871" s="539"/>
      <c r="AF871" s="539"/>
      <c r="AG871" s="537"/>
    </row>
    <row r="872" spans="1:33" ht="10.5" customHeight="1" x14ac:dyDescent="0.2">
      <c r="A872" s="537"/>
      <c r="B872" s="537"/>
      <c r="C872" s="537"/>
      <c r="D872" s="537"/>
      <c r="E872" s="537"/>
      <c r="F872" s="537"/>
      <c r="G872" s="537"/>
      <c r="H872" s="537"/>
      <c r="I872" s="537"/>
      <c r="L872" s="537"/>
      <c r="AA872" s="539"/>
      <c r="AB872" s="539"/>
      <c r="AC872" s="539"/>
      <c r="AD872" s="539"/>
      <c r="AE872" s="539"/>
      <c r="AF872" s="539"/>
      <c r="AG872" s="537"/>
    </row>
    <row r="873" spans="1:33" ht="10.5" customHeight="1" x14ac:dyDescent="0.2">
      <c r="A873" s="537"/>
      <c r="B873" s="537"/>
      <c r="C873" s="537"/>
      <c r="D873" s="537"/>
      <c r="E873" s="537"/>
      <c r="F873" s="537"/>
      <c r="G873" s="537"/>
      <c r="H873" s="537"/>
      <c r="I873" s="537"/>
      <c r="L873" s="537"/>
      <c r="AA873" s="539"/>
      <c r="AB873" s="539"/>
      <c r="AC873" s="539"/>
      <c r="AD873" s="539"/>
      <c r="AE873" s="539"/>
      <c r="AF873" s="539"/>
      <c r="AG873" s="537"/>
    </row>
    <row r="874" spans="1:33" ht="10.5" customHeight="1" x14ac:dyDescent="0.2">
      <c r="A874" s="537"/>
      <c r="B874" s="537"/>
      <c r="C874" s="537"/>
      <c r="D874" s="537"/>
      <c r="E874" s="537"/>
      <c r="F874" s="537"/>
      <c r="G874" s="537"/>
      <c r="H874" s="537"/>
      <c r="I874" s="537"/>
      <c r="L874" s="537"/>
      <c r="AA874" s="539"/>
      <c r="AB874" s="539"/>
      <c r="AC874" s="539"/>
      <c r="AD874" s="539"/>
      <c r="AE874" s="539"/>
      <c r="AF874" s="539"/>
      <c r="AG874" s="537"/>
    </row>
    <row r="875" spans="1:33" ht="10.5" customHeight="1" x14ac:dyDescent="0.2">
      <c r="A875" s="537"/>
      <c r="B875" s="537"/>
      <c r="C875" s="537"/>
      <c r="D875" s="537"/>
      <c r="E875" s="537"/>
      <c r="F875" s="537"/>
      <c r="G875" s="537"/>
      <c r="H875" s="537"/>
      <c r="I875" s="537"/>
      <c r="L875" s="537"/>
      <c r="AA875" s="539"/>
      <c r="AB875" s="539"/>
      <c r="AC875" s="539"/>
      <c r="AD875" s="539"/>
      <c r="AE875" s="539"/>
      <c r="AF875" s="539"/>
      <c r="AG875" s="537"/>
    </row>
    <row r="876" spans="1:33" ht="10.5" customHeight="1" x14ac:dyDescent="0.2">
      <c r="A876" s="537"/>
      <c r="B876" s="537"/>
      <c r="C876" s="537"/>
      <c r="D876" s="537"/>
      <c r="E876" s="537"/>
      <c r="F876" s="537"/>
      <c r="G876" s="537"/>
      <c r="H876" s="537"/>
      <c r="I876" s="537"/>
      <c r="L876" s="537"/>
      <c r="AA876" s="539"/>
      <c r="AB876" s="539"/>
      <c r="AC876" s="539"/>
      <c r="AD876" s="539"/>
      <c r="AE876" s="539"/>
      <c r="AF876" s="539"/>
      <c r="AG876" s="537"/>
    </row>
    <row r="877" spans="1:33" ht="10.5" customHeight="1" x14ac:dyDescent="0.2">
      <c r="A877" s="537"/>
      <c r="B877" s="537"/>
      <c r="C877" s="537"/>
      <c r="D877" s="537"/>
      <c r="E877" s="537"/>
      <c r="F877" s="537"/>
      <c r="G877" s="537"/>
      <c r="H877" s="537"/>
      <c r="I877" s="537"/>
      <c r="L877" s="537"/>
      <c r="AA877" s="539"/>
      <c r="AB877" s="539"/>
      <c r="AC877" s="539"/>
      <c r="AD877" s="539"/>
      <c r="AE877" s="539"/>
      <c r="AF877" s="539"/>
      <c r="AG877" s="537"/>
    </row>
    <row r="878" spans="1:33" ht="10.5" customHeight="1" x14ac:dyDescent="0.2">
      <c r="A878" s="537"/>
      <c r="B878" s="537"/>
      <c r="C878" s="537"/>
      <c r="D878" s="537"/>
      <c r="E878" s="537"/>
      <c r="F878" s="537"/>
      <c r="G878" s="537"/>
      <c r="H878" s="537"/>
      <c r="I878" s="537"/>
      <c r="L878" s="537"/>
      <c r="AA878" s="539"/>
      <c r="AB878" s="539"/>
      <c r="AC878" s="539"/>
      <c r="AD878" s="539"/>
      <c r="AE878" s="539"/>
      <c r="AF878" s="539"/>
      <c r="AG878" s="537"/>
    </row>
    <row r="879" spans="1:33" ht="10.5" customHeight="1" x14ac:dyDescent="0.2">
      <c r="A879" s="537"/>
      <c r="B879" s="537"/>
      <c r="C879" s="537"/>
      <c r="D879" s="537"/>
      <c r="E879" s="537"/>
      <c r="F879" s="537"/>
      <c r="G879" s="537"/>
      <c r="H879" s="537"/>
      <c r="I879" s="537"/>
      <c r="L879" s="537"/>
      <c r="AA879" s="539"/>
      <c r="AB879" s="539"/>
      <c r="AC879" s="539"/>
      <c r="AD879" s="539"/>
      <c r="AE879" s="539"/>
      <c r="AF879" s="539"/>
      <c r="AG879" s="537"/>
    </row>
    <row r="880" spans="1:33" ht="10.5" customHeight="1" x14ac:dyDescent="0.2">
      <c r="A880" s="537"/>
      <c r="B880" s="537"/>
      <c r="C880" s="537"/>
      <c r="D880" s="537"/>
      <c r="E880" s="537"/>
      <c r="F880" s="537"/>
      <c r="G880" s="537"/>
      <c r="H880" s="537"/>
      <c r="I880" s="537"/>
      <c r="L880" s="537"/>
      <c r="AA880" s="539"/>
      <c r="AB880" s="539"/>
      <c r="AC880" s="539"/>
      <c r="AD880" s="539"/>
      <c r="AE880" s="539"/>
      <c r="AF880" s="539"/>
      <c r="AG880" s="537"/>
    </row>
    <row r="881" spans="1:33" ht="10.5" customHeight="1" x14ac:dyDescent="0.2">
      <c r="A881" s="537"/>
      <c r="B881" s="537"/>
      <c r="C881" s="537"/>
      <c r="D881" s="537"/>
      <c r="E881" s="537"/>
      <c r="F881" s="537"/>
      <c r="G881" s="537"/>
      <c r="H881" s="537"/>
      <c r="I881" s="537"/>
      <c r="L881" s="537"/>
      <c r="AA881" s="539"/>
      <c r="AB881" s="539"/>
      <c r="AC881" s="539"/>
      <c r="AD881" s="539"/>
      <c r="AE881" s="539"/>
      <c r="AF881" s="539"/>
      <c r="AG881" s="537"/>
    </row>
    <row r="882" spans="1:33" ht="10.5" customHeight="1" x14ac:dyDescent="0.2">
      <c r="A882" s="537"/>
      <c r="B882" s="537"/>
      <c r="C882" s="537"/>
      <c r="D882" s="537"/>
      <c r="E882" s="537"/>
      <c r="F882" s="537"/>
      <c r="G882" s="537"/>
      <c r="H882" s="537"/>
      <c r="I882" s="537"/>
      <c r="L882" s="537"/>
      <c r="AA882" s="539"/>
      <c r="AB882" s="539"/>
      <c r="AC882" s="539"/>
      <c r="AD882" s="539"/>
      <c r="AE882" s="539"/>
      <c r="AF882" s="539"/>
      <c r="AG882" s="537"/>
    </row>
    <row r="883" spans="1:33" ht="10.5" customHeight="1" x14ac:dyDescent="0.2">
      <c r="A883" s="537"/>
      <c r="B883" s="537"/>
      <c r="C883" s="537"/>
      <c r="D883" s="537"/>
      <c r="E883" s="537"/>
      <c r="F883" s="537"/>
      <c r="G883" s="537"/>
      <c r="H883" s="537"/>
      <c r="I883" s="537"/>
      <c r="L883" s="537"/>
      <c r="AA883" s="539"/>
      <c r="AB883" s="539"/>
      <c r="AC883" s="539"/>
      <c r="AD883" s="539"/>
      <c r="AE883" s="539"/>
      <c r="AF883" s="539"/>
      <c r="AG883" s="537"/>
    </row>
    <row r="884" spans="1:33" ht="10.5" customHeight="1" x14ac:dyDescent="0.2">
      <c r="A884" s="537"/>
      <c r="B884" s="537"/>
      <c r="C884" s="537"/>
      <c r="D884" s="537"/>
      <c r="E884" s="537"/>
      <c r="F884" s="537"/>
      <c r="G884" s="537"/>
      <c r="H884" s="537"/>
      <c r="I884" s="537"/>
      <c r="L884" s="537"/>
      <c r="AA884" s="539"/>
      <c r="AB884" s="539"/>
      <c r="AC884" s="539"/>
      <c r="AD884" s="539"/>
      <c r="AE884" s="539"/>
      <c r="AF884" s="539"/>
      <c r="AG884" s="537"/>
    </row>
    <row r="885" spans="1:33" ht="10.5" customHeight="1" x14ac:dyDescent="0.2">
      <c r="A885" s="537"/>
      <c r="B885" s="537"/>
      <c r="C885" s="537"/>
      <c r="D885" s="537"/>
      <c r="E885" s="537"/>
      <c r="F885" s="537"/>
      <c r="G885" s="537"/>
      <c r="H885" s="537"/>
      <c r="I885" s="537"/>
      <c r="L885" s="537"/>
      <c r="AA885" s="539"/>
      <c r="AB885" s="539"/>
      <c r="AC885" s="539"/>
      <c r="AD885" s="539"/>
      <c r="AE885" s="539"/>
      <c r="AF885" s="539"/>
      <c r="AG885" s="537"/>
    </row>
    <row r="886" spans="1:33" ht="10.5" customHeight="1" x14ac:dyDescent="0.2">
      <c r="A886" s="537"/>
      <c r="B886" s="537"/>
      <c r="C886" s="537"/>
      <c r="D886" s="537"/>
      <c r="E886" s="537"/>
      <c r="F886" s="537"/>
      <c r="G886" s="537"/>
      <c r="H886" s="537"/>
      <c r="I886" s="537"/>
      <c r="L886" s="537"/>
      <c r="AA886" s="539"/>
      <c r="AB886" s="539"/>
      <c r="AC886" s="539"/>
      <c r="AD886" s="539"/>
      <c r="AE886" s="539"/>
      <c r="AF886" s="539"/>
      <c r="AG886" s="537"/>
    </row>
    <row r="887" spans="1:33" ht="10.5" customHeight="1" x14ac:dyDescent="0.2">
      <c r="A887" s="537"/>
      <c r="B887" s="537"/>
      <c r="C887" s="537"/>
      <c r="D887" s="537"/>
      <c r="E887" s="537"/>
      <c r="F887" s="537"/>
      <c r="G887" s="537"/>
      <c r="H887" s="537"/>
      <c r="I887" s="537"/>
      <c r="L887" s="537"/>
      <c r="AA887" s="539"/>
      <c r="AB887" s="539"/>
      <c r="AC887" s="539"/>
      <c r="AD887" s="539"/>
      <c r="AE887" s="539"/>
      <c r="AF887" s="539"/>
      <c r="AG887" s="537"/>
    </row>
    <row r="888" spans="1:33" ht="10.5" customHeight="1" x14ac:dyDescent="0.2">
      <c r="A888" s="537"/>
      <c r="B888" s="537"/>
      <c r="C888" s="537"/>
      <c r="D888" s="537"/>
      <c r="E888" s="537"/>
      <c r="F888" s="537"/>
      <c r="G888" s="537"/>
      <c r="H888" s="537"/>
      <c r="I888" s="537"/>
      <c r="L888" s="537"/>
      <c r="AA888" s="539"/>
      <c r="AB888" s="539"/>
      <c r="AC888" s="539"/>
      <c r="AD888" s="539"/>
      <c r="AE888" s="539"/>
      <c r="AF888" s="539"/>
      <c r="AG888" s="537"/>
    </row>
    <row r="889" spans="1:33" ht="10.5" customHeight="1" x14ac:dyDescent="0.2">
      <c r="A889" s="537"/>
      <c r="B889" s="537"/>
      <c r="C889" s="537"/>
      <c r="D889" s="537"/>
      <c r="E889" s="537"/>
      <c r="F889" s="537"/>
      <c r="G889" s="537"/>
      <c r="H889" s="537"/>
      <c r="I889" s="537"/>
      <c r="L889" s="537"/>
      <c r="AA889" s="539"/>
      <c r="AB889" s="539"/>
      <c r="AC889" s="539"/>
      <c r="AD889" s="539"/>
      <c r="AE889" s="539"/>
      <c r="AF889" s="539"/>
      <c r="AG889" s="537"/>
    </row>
    <row r="890" spans="1:33" ht="10.5" customHeight="1" x14ac:dyDescent="0.2">
      <c r="A890" s="537"/>
      <c r="B890" s="537"/>
      <c r="C890" s="537"/>
      <c r="D890" s="537"/>
      <c r="E890" s="537"/>
      <c r="F890" s="537"/>
      <c r="G890" s="537"/>
      <c r="H890" s="537"/>
      <c r="I890" s="537"/>
      <c r="L890" s="537"/>
      <c r="AA890" s="539"/>
      <c r="AB890" s="539"/>
      <c r="AC890" s="539"/>
      <c r="AD890" s="539"/>
      <c r="AE890" s="539"/>
      <c r="AF890" s="539"/>
      <c r="AG890" s="537"/>
    </row>
    <row r="891" spans="1:33" ht="10.5" customHeight="1" x14ac:dyDescent="0.2">
      <c r="A891" s="537"/>
      <c r="B891" s="537"/>
      <c r="C891" s="537"/>
      <c r="D891" s="537"/>
      <c r="E891" s="537"/>
      <c r="F891" s="537"/>
      <c r="G891" s="537"/>
      <c r="H891" s="537"/>
      <c r="I891" s="537"/>
      <c r="L891" s="537"/>
      <c r="AA891" s="539"/>
      <c r="AB891" s="539"/>
      <c r="AC891" s="539"/>
      <c r="AD891" s="539"/>
      <c r="AE891" s="539"/>
      <c r="AF891" s="539"/>
      <c r="AG891" s="537"/>
    </row>
    <row r="892" spans="1:33" ht="10.5" customHeight="1" x14ac:dyDescent="0.2">
      <c r="A892" s="537"/>
      <c r="B892" s="537"/>
      <c r="C892" s="537"/>
      <c r="D892" s="537"/>
      <c r="E892" s="537"/>
      <c r="F892" s="537"/>
      <c r="G892" s="537"/>
      <c r="H892" s="537"/>
      <c r="I892" s="537"/>
      <c r="L892" s="537"/>
      <c r="AA892" s="539"/>
      <c r="AB892" s="539"/>
      <c r="AC892" s="539"/>
      <c r="AD892" s="539"/>
      <c r="AE892" s="539"/>
      <c r="AF892" s="539"/>
      <c r="AG892" s="537"/>
    </row>
    <row r="893" spans="1:33" ht="10.5" customHeight="1" x14ac:dyDescent="0.2">
      <c r="A893" s="537"/>
      <c r="B893" s="537"/>
      <c r="C893" s="537"/>
      <c r="D893" s="537"/>
      <c r="E893" s="537"/>
      <c r="F893" s="537"/>
      <c r="G893" s="537"/>
      <c r="H893" s="537"/>
      <c r="I893" s="537"/>
      <c r="L893" s="537"/>
      <c r="AA893" s="539"/>
      <c r="AB893" s="539"/>
      <c r="AC893" s="539"/>
      <c r="AD893" s="539"/>
      <c r="AE893" s="539"/>
      <c r="AF893" s="539"/>
      <c r="AG893" s="537"/>
    </row>
    <row r="894" spans="1:33" ht="10.5" customHeight="1" x14ac:dyDescent="0.2">
      <c r="A894" s="537"/>
      <c r="B894" s="537"/>
      <c r="C894" s="537"/>
      <c r="D894" s="537"/>
      <c r="E894" s="537"/>
      <c r="F894" s="537"/>
      <c r="G894" s="537"/>
      <c r="H894" s="537"/>
      <c r="I894" s="537"/>
      <c r="L894" s="537"/>
      <c r="AA894" s="539"/>
      <c r="AB894" s="539"/>
      <c r="AC894" s="539"/>
      <c r="AD894" s="539"/>
      <c r="AE894" s="539"/>
      <c r="AF894" s="539"/>
      <c r="AG894" s="537"/>
    </row>
    <row r="895" spans="1:33" ht="10.5" customHeight="1" x14ac:dyDescent="0.2">
      <c r="A895" s="537"/>
      <c r="B895" s="537"/>
      <c r="C895" s="537"/>
      <c r="D895" s="537"/>
      <c r="E895" s="537"/>
      <c r="F895" s="537"/>
      <c r="G895" s="537"/>
      <c r="H895" s="537"/>
      <c r="I895" s="537"/>
      <c r="L895" s="537"/>
      <c r="AA895" s="539"/>
      <c r="AB895" s="539"/>
      <c r="AC895" s="539"/>
      <c r="AD895" s="539"/>
      <c r="AE895" s="539"/>
      <c r="AF895" s="539"/>
      <c r="AG895" s="537"/>
    </row>
    <row r="896" spans="1:33" ht="10.5" customHeight="1" x14ac:dyDescent="0.2">
      <c r="A896" s="537"/>
      <c r="B896" s="537"/>
      <c r="C896" s="537"/>
      <c r="D896" s="537"/>
      <c r="E896" s="537"/>
      <c r="F896" s="537"/>
      <c r="G896" s="537"/>
      <c r="H896" s="537"/>
      <c r="I896" s="537"/>
      <c r="L896" s="537"/>
      <c r="AA896" s="539"/>
      <c r="AB896" s="539"/>
      <c r="AC896" s="539"/>
      <c r="AD896" s="539"/>
      <c r="AE896" s="539"/>
      <c r="AF896" s="539"/>
      <c r="AG896" s="537"/>
    </row>
    <row r="897" spans="1:33" ht="10.5" customHeight="1" x14ac:dyDescent="0.2">
      <c r="A897" s="537"/>
      <c r="B897" s="537"/>
      <c r="C897" s="537"/>
      <c r="D897" s="537"/>
      <c r="E897" s="537"/>
      <c r="F897" s="537"/>
      <c r="G897" s="537"/>
      <c r="H897" s="537"/>
      <c r="I897" s="537"/>
      <c r="L897" s="537"/>
      <c r="AA897" s="539"/>
      <c r="AB897" s="539"/>
      <c r="AC897" s="539"/>
      <c r="AD897" s="539"/>
      <c r="AE897" s="539"/>
      <c r="AF897" s="539"/>
      <c r="AG897" s="537"/>
    </row>
    <row r="898" spans="1:33" ht="10.5" customHeight="1" x14ac:dyDescent="0.2">
      <c r="A898" s="537"/>
      <c r="B898" s="537"/>
      <c r="C898" s="537"/>
      <c r="D898" s="537"/>
      <c r="E898" s="537"/>
      <c r="F898" s="537"/>
      <c r="G898" s="537"/>
      <c r="H898" s="537"/>
      <c r="I898" s="537"/>
      <c r="L898" s="537"/>
      <c r="AA898" s="539"/>
      <c r="AB898" s="539"/>
      <c r="AC898" s="539"/>
      <c r="AD898" s="539"/>
      <c r="AE898" s="539"/>
      <c r="AF898" s="539"/>
      <c r="AG898" s="537"/>
    </row>
    <row r="899" spans="1:33" ht="10.5" customHeight="1" x14ac:dyDescent="0.2">
      <c r="A899" s="537"/>
      <c r="B899" s="537"/>
      <c r="C899" s="537"/>
      <c r="D899" s="537"/>
      <c r="E899" s="537"/>
      <c r="F899" s="537"/>
      <c r="G899" s="537"/>
      <c r="H899" s="537"/>
      <c r="I899" s="537"/>
      <c r="L899" s="537"/>
      <c r="AA899" s="539"/>
      <c r="AB899" s="539"/>
      <c r="AC899" s="539"/>
      <c r="AD899" s="539"/>
      <c r="AE899" s="539"/>
      <c r="AF899" s="539"/>
      <c r="AG899" s="537"/>
    </row>
    <row r="900" spans="1:33" ht="10.5" customHeight="1" x14ac:dyDescent="0.2">
      <c r="A900" s="537"/>
      <c r="B900" s="537"/>
      <c r="C900" s="537"/>
      <c r="D900" s="537"/>
      <c r="E900" s="537"/>
      <c r="F900" s="537"/>
      <c r="G900" s="537"/>
      <c r="H900" s="537"/>
      <c r="I900" s="537"/>
      <c r="L900" s="537"/>
      <c r="AA900" s="539"/>
      <c r="AB900" s="539"/>
      <c r="AC900" s="539"/>
      <c r="AD900" s="539"/>
      <c r="AE900" s="539"/>
      <c r="AF900" s="539"/>
      <c r="AG900" s="537"/>
    </row>
    <row r="901" spans="1:33" ht="10.5" customHeight="1" x14ac:dyDescent="0.2">
      <c r="A901" s="537"/>
      <c r="B901" s="537"/>
      <c r="C901" s="537"/>
      <c r="D901" s="537"/>
      <c r="E901" s="537"/>
      <c r="F901" s="537"/>
      <c r="G901" s="537"/>
      <c r="H901" s="537"/>
      <c r="I901" s="537"/>
      <c r="L901" s="537"/>
      <c r="AA901" s="539"/>
      <c r="AB901" s="539"/>
      <c r="AC901" s="539"/>
      <c r="AD901" s="539"/>
      <c r="AE901" s="539"/>
      <c r="AF901" s="539"/>
      <c r="AG901" s="537"/>
    </row>
    <row r="902" spans="1:33" ht="10.5" customHeight="1" x14ac:dyDescent="0.2">
      <c r="A902" s="537"/>
      <c r="B902" s="537"/>
      <c r="C902" s="537"/>
      <c r="D902" s="537"/>
      <c r="E902" s="537"/>
      <c r="F902" s="537"/>
      <c r="G902" s="537"/>
      <c r="H902" s="537"/>
      <c r="I902" s="537"/>
      <c r="L902" s="537"/>
      <c r="AA902" s="539"/>
      <c r="AB902" s="539"/>
      <c r="AC902" s="539"/>
      <c r="AD902" s="539"/>
      <c r="AE902" s="539"/>
      <c r="AF902" s="539"/>
      <c r="AG902" s="537"/>
    </row>
    <row r="903" spans="1:33" ht="10.5" customHeight="1" x14ac:dyDescent="0.2">
      <c r="A903" s="537"/>
      <c r="B903" s="537"/>
      <c r="C903" s="537"/>
      <c r="D903" s="537"/>
      <c r="E903" s="537"/>
      <c r="F903" s="537"/>
      <c r="G903" s="537"/>
      <c r="H903" s="537"/>
      <c r="I903" s="537"/>
      <c r="L903" s="537"/>
      <c r="AA903" s="539"/>
      <c r="AB903" s="539"/>
      <c r="AC903" s="539"/>
      <c r="AD903" s="539"/>
      <c r="AE903" s="539"/>
      <c r="AF903" s="539"/>
      <c r="AG903" s="537"/>
    </row>
    <row r="904" spans="1:33" ht="10.5" customHeight="1" x14ac:dyDescent="0.2">
      <c r="A904" s="537"/>
      <c r="B904" s="537"/>
      <c r="C904" s="537"/>
      <c r="D904" s="537"/>
      <c r="E904" s="537"/>
      <c r="F904" s="537"/>
      <c r="G904" s="537"/>
      <c r="H904" s="537"/>
      <c r="I904" s="537"/>
      <c r="L904" s="537"/>
      <c r="AA904" s="539"/>
      <c r="AB904" s="539"/>
      <c r="AC904" s="539"/>
      <c r="AD904" s="539"/>
      <c r="AE904" s="539"/>
      <c r="AF904" s="539"/>
      <c r="AG904" s="537"/>
    </row>
    <row r="905" spans="1:33" ht="10.5" customHeight="1" x14ac:dyDescent="0.2">
      <c r="A905" s="537"/>
      <c r="B905" s="537"/>
      <c r="C905" s="537"/>
      <c r="D905" s="537"/>
      <c r="E905" s="537"/>
      <c r="F905" s="537"/>
      <c r="G905" s="537"/>
      <c r="H905" s="537"/>
      <c r="I905" s="537"/>
      <c r="L905" s="537"/>
      <c r="AA905" s="539"/>
      <c r="AB905" s="539"/>
      <c r="AC905" s="539"/>
      <c r="AD905" s="539"/>
      <c r="AE905" s="539"/>
      <c r="AF905" s="539"/>
      <c r="AG905" s="537"/>
    </row>
    <row r="906" spans="1:33" ht="10.5" customHeight="1" x14ac:dyDescent="0.2">
      <c r="A906" s="537"/>
      <c r="B906" s="537"/>
      <c r="C906" s="537"/>
      <c r="D906" s="537"/>
      <c r="E906" s="537"/>
      <c r="F906" s="537"/>
      <c r="G906" s="537"/>
      <c r="H906" s="537"/>
      <c r="I906" s="537"/>
      <c r="L906" s="537"/>
      <c r="AA906" s="539"/>
      <c r="AB906" s="539"/>
      <c r="AC906" s="539"/>
      <c r="AD906" s="539"/>
      <c r="AE906" s="539"/>
      <c r="AF906" s="539"/>
      <c r="AG906" s="537"/>
    </row>
    <row r="907" spans="1:33" ht="10.5" customHeight="1" x14ac:dyDescent="0.2">
      <c r="A907" s="537"/>
      <c r="B907" s="537"/>
      <c r="C907" s="537"/>
      <c r="D907" s="537"/>
      <c r="E907" s="537"/>
      <c r="F907" s="537"/>
      <c r="G907" s="537"/>
      <c r="H907" s="537"/>
      <c r="I907" s="537"/>
      <c r="L907" s="537"/>
      <c r="AA907" s="539"/>
      <c r="AB907" s="539"/>
      <c r="AC907" s="539"/>
      <c r="AD907" s="539"/>
      <c r="AE907" s="539"/>
      <c r="AF907" s="539"/>
      <c r="AG907" s="537"/>
    </row>
    <row r="908" spans="1:33" ht="10.5" customHeight="1" x14ac:dyDescent="0.2">
      <c r="A908" s="537"/>
      <c r="B908" s="537"/>
      <c r="C908" s="537"/>
      <c r="D908" s="537"/>
      <c r="E908" s="537"/>
      <c r="F908" s="537"/>
      <c r="G908" s="537"/>
      <c r="H908" s="537"/>
      <c r="I908" s="537"/>
      <c r="L908" s="537"/>
      <c r="AA908" s="539"/>
      <c r="AB908" s="539"/>
      <c r="AC908" s="539"/>
      <c r="AD908" s="539"/>
      <c r="AE908" s="539"/>
      <c r="AF908" s="539"/>
      <c r="AG908" s="537"/>
    </row>
    <row r="909" spans="1:33" ht="10.5" customHeight="1" x14ac:dyDescent="0.2">
      <c r="A909" s="537"/>
      <c r="B909" s="537"/>
      <c r="C909" s="537"/>
      <c r="D909" s="537"/>
      <c r="E909" s="537"/>
      <c r="F909" s="537"/>
      <c r="G909" s="537"/>
      <c r="H909" s="537"/>
      <c r="I909" s="537"/>
      <c r="L909" s="537"/>
      <c r="AA909" s="539"/>
      <c r="AB909" s="539"/>
      <c r="AC909" s="539"/>
      <c r="AD909" s="539"/>
      <c r="AE909" s="539"/>
      <c r="AF909" s="539"/>
      <c r="AG909" s="537"/>
    </row>
    <row r="910" spans="1:33" ht="10.5" customHeight="1" x14ac:dyDescent="0.2">
      <c r="A910" s="537"/>
      <c r="B910" s="537"/>
      <c r="C910" s="537"/>
      <c r="D910" s="537"/>
      <c r="E910" s="537"/>
      <c r="F910" s="537"/>
      <c r="G910" s="537"/>
      <c r="H910" s="537"/>
      <c r="I910" s="537"/>
      <c r="L910" s="537"/>
      <c r="AA910" s="539"/>
      <c r="AB910" s="539"/>
      <c r="AC910" s="539"/>
      <c r="AD910" s="539"/>
      <c r="AE910" s="539"/>
      <c r="AF910" s="539"/>
      <c r="AG910" s="537"/>
    </row>
    <row r="911" spans="1:33" ht="10.5" customHeight="1" x14ac:dyDescent="0.2">
      <c r="A911" s="537"/>
      <c r="B911" s="537"/>
      <c r="C911" s="537"/>
      <c r="D911" s="537"/>
      <c r="E911" s="537"/>
      <c r="F911" s="537"/>
      <c r="G911" s="537"/>
      <c r="H911" s="537"/>
      <c r="I911" s="537"/>
      <c r="L911" s="537"/>
      <c r="AA911" s="539"/>
      <c r="AB911" s="539"/>
      <c r="AC911" s="539"/>
      <c r="AD911" s="539"/>
      <c r="AE911" s="539"/>
      <c r="AF911" s="539"/>
      <c r="AG911" s="537"/>
    </row>
    <row r="912" spans="1:33" ht="10.5" customHeight="1" x14ac:dyDescent="0.2">
      <c r="A912" s="537"/>
      <c r="B912" s="537"/>
      <c r="C912" s="537"/>
      <c r="D912" s="537"/>
      <c r="E912" s="537"/>
      <c r="F912" s="537"/>
      <c r="G912" s="537"/>
      <c r="H912" s="537"/>
      <c r="I912" s="537"/>
      <c r="L912" s="537"/>
      <c r="AA912" s="539"/>
      <c r="AB912" s="539"/>
      <c r="AC912" s="539"/>
      <c r="AD912" s="539"/>
      <c r="AE912" s="539"/>
      <c r="AF912" s="539"/>
      <c r="AG912" s="537"/>
    </row>
    <row r="913" spans="1:33" ht="10.5" customHeight="1" x14ac:dyDescent="0.2">
      <c r="A913" s="537"/>
      <c r="B913" s="537"/>
      <c r="C913" s="537"/>
      <c r="D913" s="537"/>
      <c r="E913" s="537"/>
      <c r="F913" s="537"/>
      <c r="G913" s="537"/>
      <c r="H913" s="537"/>
      <c r="I913" s="537"/>
      <c r="L913" s="537"/>
      <c r="AA913" s="539"/>
      <c r="AB913" s="539"/>
      <c r="AC913" s="539"/>
      <c r="AD913" s="539"/>
      <c r="AE913" s="539"/>
      <c r="AF913" s="539"/>
      <c r="AG913" s="537"/>
    </row>
    <row r="914" spans="1:33" ht="10.5" customHeight="1" x14ac:dyDescent="0.2">
      <c r="A914" s="537"/>
      <c r="B914" s="537"/>
      <c r="C914" s="537"/>
      <c r="D914" s="537"/>
      <c r="E914" s="537"/>
      <c r="F914" s="537"/>
      <c r="G914" s="537"/>
      <c r="H914" s="537"/>
      <c r="I914" s="537"/>
      <c r="L914" s="537"/>
      <c r="AA914" s="539"/>
      <c r="AB914" s="539"/>
      <c r="AC914" s="539"/>
      <c r="AD914" s="539"/>
      <c r="AE914" s="539"/>
      <c r="AF914" s="539"/>
      <c r="AG914" s="537"/>
    </row>
    <row r="915" spans="1:33" ht="10.5" customHeight="1" x14ac:dyDescent="0.2">
      <c r="A915" s="537"/>
      <c r="B915" s="537"/>
      <c r="C915" s="537"/>
      <c r="D915" s="537"/>
      <c r="E915" s="537"/>
      <c r="F915" s="537"/>
      <c r="G915" s="537"/>
      <c r="H915" s="537"/>
      <c r="I915" s="537"/>
      <c r="L915" s="537"/>
      <c r="AA915" s="539"/>
      <c r="AB915" s="539"/>
      <c r="AC915" s="539"/>
      <c r="AD915" s="539"/>
      <c r="AE915" s="539"/>
      <c r="AF915" s="539"/>
      <c r="AG915" s="537"/>
    </row>
    <row r="916" spans="1:33" ht="10.5" customHeight="1" x14ac:dyDescent="0.2">
      <c r="A916" s="537"/>
      <c r="B916" s="537"/>
      <c r="C916" s="537"/>
      <c r="D916" s="537"/>
      <c r="E916" s="537"/>
      <c r="F916" s="537"/>
      <c r="G916" s="537"/>
      <c r="H916" s="537"/>
      <c r="I916" s="537"/>
      <c r="L916" s="537"/>
      <c r="AA916" s="539"/>
      <c r="AB916" s="539"/>
      <c r="AC916" s="539"/>
      <c r="AD916" s="539"/>
      <c r="AE916" s="539"/>
      <c r="AF916" s="539"/>
      <c r="AG916" s="537"/>
    </row>
    <row r="917" spans="1:33" ht="10.5" customHeight="1" x14ac:dyDescent="0.2">
      <c r="A917" s="537"/>
      <c r="B917" s="537"/>
      <c r="C917" s="537"/>
      <c r="D917" s="537"/>
      <c r="E917" s="537"/>
      <c r="F917" s="537"/>
      <c r="G917" s="537"/>
      <c r="H917" s="537"/>
      <c r="I917" s="537"/>
      <c r="L917" s="537"/>
      <c r="AA917" s="539"/>
      <c r="AB917" s="539"/>
      <c r="AC917" s="539"/>
      <c r="AD917" s="539"/>
      <c r="AE917" s="539"/>
      <c r="AF917" s="539"/>
      <c r="AG917" s="537"/>
    </row>
    <row r="918" spans="1:33" ht="10.5" customHeight="1" x14ac:dyDescent="0.2">
      <c r="A918" s="537"/>
      <c r="B918" s="537"/>
      <c r="C918" s="537"/>
      <c r="D918" s="537"/>
      <c r="E918" s="537"/>
      <c r="F918" s="537"/>
      <c r="G918" s="537"/>
      <c r="H918" s="537"/>
      <c r="I918" s="537"/>
      <c r="L918" s="537"/>
      <c r="AA918" s="539"/>
      <c r="AB918" s="539"/>
      <c r="AC918" s="539"/>
      <c r="AD918" s="539"/>
      <c r="AE918" s="539"/>
      <c r="AF918" s="539"/>
      <c r="AG918" s="537"/>
    </row>
    <row r="919" spans="1:33" ht="10.5" customHeight="1" x14ac:dyDescent="0.2">
      <c r="A919" s="537"/>
      <c r="B919" s="537"/>
      <c r="C919" s="537"/>
      <c r="D919" s="537"/>
      <c r="E919" s="537"/>
      <c r="F919" s="537"/>
      <c r="G919" s="537"/>
      <c r="H919" s="537"/>
      <c r="I919" s="537"/>
      <c r="L919" s="537"/>
      <c r="AA919" s="539"/>
      <c r="AB919" s="539"/>
      <c r="AC919" s="539"/>
      <c r="AD919" s="539"/>
      <c r="AE919" s="539"/>
      <c r="AF919" s="539"/>
      <c r="AG919" s="537"/>
    </row>
    <row r="920" spans="1:33" ht="10.5" customHeight="1" x14ac:dyDescent="0.2">
      <c r="A920" s="537"/>
      <c r="B920" s="537"/>
      <c r="C920" s="537"/>
      <c r="D920" s="537"/>
      <c r="E920" s="537"/>
      <c r="F920" s="537"/>
      <c r="G920" s="537"/>
      <c r="H920" s="537"/>
      <c r="I920" s="537"/>
      <c r="L920" s="537"/>
      <c r="AA920" s="539"/>
      <c r="AB920" s="539"/>
      <c r="AC920" s="539"/>
      <c r="AD920" s="539"/>
      <c r="AE920" s="539"/>
      <c r="AF920" s="539"/>
      <c r="AG920" s="537"/>
    </row>
    <row r="921" spans="1:33" ht="10.5" customHeight="1" x14ac:dyDescent="0.2">
      <c r="A921" s="537"/>
      <c r="B921" s="537"/>
      <c r="C921" s="537"/>
      <c r="D921" s="537"/>
      <c r="E921" s="537"/>
      <c r="F921" s="537"/>
      <c r="G921" s="537"/>
      <c r="H921" s="537"/>
      <c r="I921" s="537"/>
      <c r="L921" s="537"/>
      <c r="AA921" s="539"/>
      <c r="AB921" s="539"/>
      <c r="AC921" s="539"/>
      <c r="AD921" s="539"/>
      <c r="AE921" s="539"/>
      <c r="AF921" s="539"/>
      <c r="AG921" s="537"/>
    </row>
    <row r="922" spans="1:33" ht="10.5" customHeight="1" x14ac:dyDescent="0.2">
      <c r="A922" s="537"/>
      <c r="B922" s="537"/>
      <c r="C922" s="537"/>
      <c r="D922" s="537"/>
      <c r="E922" s="537"/>
      <c r="F922" s="537"/>
      <c r="G922" s="537"/>
      <c r="H922" s="537"/>
      <c r="I922" s="537"/>
      <c r="L922" s="537"/>
      <c r="AA922" s="539"/>
      <c r="AB922" s="539"/>
      <c r="AC922" s="539"/>
      <c r="AD922" s="539"/>
      <c r="AE922" s="539"/>
      <c r="AF922" s="539"/>
      <c r="AG922" s="537"/>
    </row>
    <row r="923" spans="1:33" ht="10.5" customHeight="1" x14ac:dyDescent="0.2">
      <c r="A923" s="537"/>
      <c r="B923" s="537"/>
      <c r="C923" s="537"/>
      <c r="D923" s="537"/>
      <c r="E923" s="537"/>
      <c r="F923" s="537"/>
      <c r="G923" s="537"/>
      <c r="H923" s="537"/>
      <c r="I923" s="537"/>
      <c r="L923" s="537"/>
      <c r="AA923" s="539"/>
      <c r="AB923" s="539"/>
      <c r="AC923" s="539"/>
      <c r="AD923" s="539"/>
      <c r="AE923" s="539"/>
      <c r="AF923" s="539"/>
      <c r="AG923" s="537"/>
    </row>
    <row r="924" spans="1:33" ht="10.5" customHeight="1" x14ac:dyDescent="0.2">
      <c r="A924" s="537"/>
      <c r="B924" s="537"/>
      <c r="C924" s="537"/>
      <c r="D924" s="537"/>
      <c r="E924" s="537"/>
      <c r="F924" s="537"/>
      <c r="G924" s="537"/>
      <c r="H924" s="537"/>
      <c r="I924" s="537"/>
      <c r="L924" s="537"/>
      <c r="AA924" s="539"/>
      <c r="AB924" s="539"/>
      <c r="AC924" s="539"/>
      <c r="AD924" s="539"/>
      <c r="AE924" s="539"/>
      <c r="AF924" s="539"/>
      <c r="AG924" s="537"/>
    </row>
    <row r="925" spans="1:33" ht="10.5" customHeight="1" x14ac:dyDescent="0.2">
      <c r="A925" s="537"/>
      <c r="B925" s="537"/>
      <c r="C925" s="537"/>
      <c r="D925" s="537"/>
      <c r="E925" s="537"/>
      <c r="F925" s="537"/>
      <c r="G925" s="537"/>
      <c r="H925" s="537"/>
      <c r="I925" s="537"/>
      <c r="L925" s="537"/>
      <c r="AA925" s="539"/>
      <c r="AB925" s="539"/>
      <c r="AC925" s="539"/>
      <c r="AD925" s="539"/>
      <c r="AE925" s="539"/>
      <c r="AF925" s="539"/>
      <c r="AG925" s="537"/>
    </row>
    <row r="926" spans="1:33" ht="10.5" customHeight="1" x14ac:dyDescent="0.2">
      <c r="A926" s="537"/>
      <c r="B926" s="537"/>
      <c r="C926" s="537"/>
      <c r="D926" s="537"/>
      <c r="E926" s="537"/>
      <c r="F926" s="537"/>
      <c r="G926" s="537"/>
      <c r="H926" s="537"/>
      <c r="I926" s="537"/>
      <c r="L926" s="537"/>
      <c r="AA926" s="539"/>
      <c r="AB926" s="539"/>
      <c r="AC926" s="539"/>
      <c r="AD926" s="539"/>
      <c r="AE926" s="539"/>
      <c r="AF926" s="539"/>
      <c r="AG926" s="537"/>
    </row>
    <row r="927" spans="1:33" ht="10.5" customHeight="1" x14ac:dyDescent="0.2">
      <c r="A927" s="537"/>
      <c r="B927" s="537"/>
      <c r="C927" s="537"/>
      <c r="D927" s="537"/>
      <c r="E927" s="537"/>
      <c r="F927" s="537"/>
      <c r="G927" s="537"/>
      <c r="H927" s="537"/>
      <c r="I927" s="537"/>
      <c r="L927" s="537"/>
      <c r="AA927" s="539"/>
      <c r="AB927" s="539"/>
      <c r="AC927" s="539"/>
      <c r="AD927" s="539"/>
      <c r="AE927" s="539"/>
      <c r="AF927" s="539"/>
      <c r="AG927" s="537"/>
    </row>
    <row r="928" spans="1:33" ht="10.5" customHeight="1" x14ac:dyDescent="0.2">
      <c r="A928" s="537"/>
      <c r="B928" s="537"/>
      <c r="C928" s="537"/>
      <c r="D928" s="537"/>
      <c r="E928" s="537"/>
      <c r="F928" s="537"/>
      <c r="G928" s="537"/>
      <c r="H928" s="537"/>
      <c r="I928" s="537"/>
      <c r="L928" s="537"/>
      <c r="AA928" s="539"/>
      <c r="AB928" s="539"/>
      <c r="AC928" s="539"/>
      <c r="AD928" s="539"/>
      <c r="AE928" s="539"/>
      <c r="AF928" s="539"/>
      <c r="AG928" s="537"/>
    </row>
    <row r="929" spans="1:33" ht="10.5" customHeight="1" x14ac:dyDescent="0.2">
      <c r="A929" s="537"/>
      <c r="B929" s="537"/>
      <c r="C929" s="537"/>
      <c r="D929" s="537"/>
      <c r="E929" s="537"/>
      <c r="F929" s="537"/>
      <c r="G929" s="537"/>
      <c r="H929" s="537"/>
      <c r="I929" s="537"/>
      <c r="L929" s="537"/>
      <c r="AA929" s="539"/>
      <c r="AB929" s="539"/>
      <c r="AC929" s="539"/>
      <c r="AD929" s="539"/>
      <c r="AE929" s="539"/>
      <c r="AF929" s="539"/>
      <c r="AG929" s="537"/>
    </row>
    <row r="930" spans="1:33" ht="10.5" customHeight="1" x14ac:dyDescent="0.2">
      <c r="A930" s="537"/>
      <c r="B930" s="537"/>
      <c r="C930" s="537"/>
      <c r="D930" s="537"/>
      <c r="E930" s="537"/>
      <c r="F930" s="537"/>
      <c r="G930" s="537"/>
      <c r="H930" s="537"/>
      <c r="I930" s="537"/>
      <c r="L930" s="537"/>
      <c r="AA930" s="539"/>
      <c r="AB930" s="539"/>
      <c r="AC930" s="539"/>
      <c r="AD930" s="539"/>
      <c r="AE930" s="539"/>
      <c r="AF930" s="539"/>
      <c r="AG930" s="537"/>
    </row>
    <row r="931" spans="1:33" ht="10.5" customHeight="1" x14ac:dyDescent="0.2">
      <c r="A931" s="537"/>
      <c r="B931" s="537"/>
      <c r="C931" s="537"/>
      <c r="D931" s="537"/>
      <c r="E931" s="537"/>
      <c r="F931" s="537"/>
      <c r="G931" s="537"/>
      <c r="H931" s="537"/>
      <c r="I931" s="537"/>
      <c r="L931" s="537"/>
      <c r="AA931" s="539"/>
      <c r="AB931" s="539"/>
      <c r="AC931" s="539"/>
      <c r="AD931" s="539"/>
      <c r="AE931" s="539"/>
      <c r="AF931" s="539"/>
      <c r="AG931" s="537"/>
    </row>
    <row r="932" spans="1:33" ht="10.5" customHeight="1" x14ac:dyDescent="0.2">
      <c r="A932" s="537"/>
      <c r="B932" s="537"/>
      <c r="C932" s="537"/>
      <c r="D932" s="537"/>
      <c r="E932" s="537"/>
      <c r="F932" s="537"/>
      <c r="G932" s="537"/>
      <c r="H932" s="537"/>
      <c r="I932" s="537"/>
      <c r="L932" s="537"/>
      <c r="AA932" s="539"/>
      <c r="AB932" s="539"/>
      <c r="AC932" s="539"/>
      <c r="AD932" s="539"/>
      <c r="AE932" s="539"/>
      <c r="AF932" s="539"/>
      <c r="AG932" s="537"/>
    </row>
    <row r="933" spans="1:33" ht="10.5" customHeight="1" x14ac:dyDescent="0.2">
      <c r="A933" s="537"/>
      <c r="B933" s="537"/>
      <c r="C933" s="537"/>
      <c r="D933" s="537"/>
      <c r="E933" s="537"/>
      <c r="F933" s="537"/>
      <c r="G933" s="537"/>
      <c r="H933" s="537"/>
      <c r="I933" s="537"/>
      <c r="L933" s="537"/>
      <c r="AA933" s="539"/>
      <c r="AB933" s="539"/>
      <c r="AC933" s="539"/>
      <c r="AD933" s="539"/>
      <c r="AE933" s="539"/>
      <c r="AF933" s="539"/>
      <c r="AG933" s="537"/>
    </row>
    <row r="934" spans="1:33" ht="10.5" customHeight="1" x14ac:dyDescent="0.2">
      <c r="A934" s="537"/>
      <c r="B934" s="537"/>
      <c r="C934" s="537"/>
      <c r="D934" s="537"/>
      <c r="E934" s="537"/>
      <c r="F934" s="537"/>
      <c r="G934" s="537"/>
      <c r="H934" s="537"/>
      <c r="I934" s="537"/>
      <c r="L934" s="537"/>
      <c r="AA934" s="539"/>
      <c r="AB934" s="539"/>
      <c r="AC934" s="539"/>
      <c r="AD934" s="539"/>
      <c r="AE934" s="539"/>
      <c r="AF934" s="539"/>
      <c r="AG934" s="537"/>
    </row>
    <row r="935" spans="1:33" ht="10.5" customHeight="1" x14ac:dyDescent="0.2">
      <c r="A935" s="537"/>
      <c r="B935" s="537"/>
      <c r="C935" s="537"/>
      <c r="D935" s="537"/>
      <c r="E935" s="537"/>
      <c r="F935" s="537"/>
      <c r="G935" s="537"/>
      <c r="H935" s="537"/>
      <c r="I935" s="537"/>
      <c r="L935" s="537"/>
      <c r="AA935" s="539"/>
      <c r="AB935" s="539"/>
      <c r="AC935" s="539"/>
      <c r="AD935" s="539"/>
      <c r="AE935" s="539"/>
      <c r="AF935" s="539"/>
      <c r="AG935" s="537"/>
    </row>
    <row r="936" spans="1:33" ht="10.5" customHeight="1" x14ac:dyDescent="0.2">
      <c r="A936" s="537"/>
      <c r="B936" s="537"/>
      <c r="C936" s="537"/>
      <c r="D936" s="537"/>
      <c r="E936" s="537"/>
      <c r="F936" s="537"/>
      <c r="G936" s="537"/>
      <c r="H936" s="537"/>
      <c r="I936" s="537"/>
      <c r="L936" s="537"/>
      <c r="AA936" s="539"/>
      <c r="AB936" s="539"/>
      <c r="AC936" s="539"/>
      <c r="AD936" s="539"/>
      <c r="AE936" s="539"/>
      <c r="AF936" s="539"/>
      <c r="AG936" s="537"/>
    </row>
    <row r="937" spans="1:33" ht="10.5" customHeight="1" x14ac:dyDescent="0.2">
      <c r="A937" s="537"/>
      <c r="B937" s="537"/>
      <c r="C937" s="537"/>
      <c r="D937" s="537"/>
      <c r="E937" s="537"/>
      <c r="F937" s="537"/>
      <c r="G937" s="537"/>
      <c r="H937" s="537"/>
      <c r="I937" s="537"/>
      <c r="L937" s="537"/>
      <c r="AA937" s="539"/>
      <c r="AB937" s="539"/>
      <c r="AC937" s="539"/>
      <c r="AD937" s="539"/>
      <c r="AE937" s="539"/>
      <c r="AF937" s="539"/>
      <c r="AG937" s="537"/>
    </row>
    <row r="938" spans="1:33" ht="10.5" customHeight="1" x14ac:dyDescent="0.2">
      <c r="A938" s="537"/>
      <c r="B938" s="537"/>
      <c r="C938" s="537"/>
      <c r="D938" s="537"/>
      <c r="E938" s="537"/>
      <c r="F938" s="537"/>
      <c r="G938" s="537"/>
      <c r="H938" s="537"/>
      <c r="I938" s="537"/>
      <c r="L938" s="537"/>
      <c r="AA938" s="539"/>
      <c r="AB938" s="539"/>
      <c r="AC938" s="539"/>
      <c r="AD938" s="539"/>
      <c r="AE938" s="539"/>
      <c r="AF938" s="539"/>
      <c r="AG938" s="537"/>
    </row>
    <row r="939" spans="1:33" ht="10.5" customHeight="1" x14ac:dyDescent="0.2">
      <c r="A939" s="537"/>
      <c r="B939" s="537"/>
      <c r="C939" s="537"/>
      <c r="D939" s="537"/>
      <c r="E939" s="537"/>
      <c r="F939" s="537"/>
      <c r="G939" s="537"/>
      <c r="H939" s="537"/>
      <c r="I939" s="537"/>
      <c r="L939" s="537"/>
      <c r="AA939" s="539"/>
      <c r="AB939" s="539"/>
      <c r="AC939" s="539"/>
      <c r="AD939" s="539"/>
      <c r="AE939" s="539"/>
      <c r="AF939" s="539"/>
      <c r="AG939" s="537"/>
    </row>
    <row r="940" spans="1:33" ht="10.5" customHeight="1" x14ac:dyDescent="0.2">
      <c r="A940" s="537"/>
      <c r="B940" s="537"/>
      <c r="C940" s="537"/>
      <c r="D940" s="537"/>
      <c r="E940" s="537"/>
      <c r="F940" s="537"/>
      <c r="G940" s="537"/>
      <c r="H940" s="537"/>
      <c r="I940" s="537"/>
      <c r="L940" s="537"/>
      <c r="AA940" s="539"/>
      <c r="AB940" s="539"/>
      <c r="AC940" s="539"/>
      <c r="AD940" s="539"/>
      <c r="AE940" s="539"/>
      <c r="AF940" s="539"/>
      <c r="AG940" s="537"/>
    </row>
    <row r="941" spans="1:33" ht="10.5" customHeight="1" x14ac:dyDescent="0.2">
      <c r="A941" s="537"/>
      <c r="B941" s="537"/>
      <c r="C941" s="537"/>
      <c r="D941" s="537"/>
      <c r="E941" s="537"/>
      <c r="F941" s="537"/>
      <c r="G941" s="537"/>
      <c r="H941" s="537"/>
      <c r="I941" s="537"/>
      <c r="L941" s="537"/>
      <c r="AA941" s="539"/>
      <c r="AB941" s="539"/>
      <c r="AC941" s="539"/>
      <c r="AD941" s="539"/>
      <c r="AE941" s="539"/>
      <c r="AF941" s="539"/>
      <c r="AG941" s="537"/>
    </row>
    <row r="942" spans="1:33" ht="10.5" customHeight="1" x14ac:dyDescent="0.2">
      <c r="A942" s="537"/>
      <c r="B942" s="537"/>
      <c r="C942" s="537"/>
      <c r="D942" s="537"/>
      <c r="E942" s="537"/>
      <c r="F942" s="537"/>
      <c r="G942" s="537"/>
      <c r="H942" s="537"/>
      <c r="I942" s="537"/>
      <c r="L942" s="537"/>
      <c r="AA942" s="539"/>
      <c r="AB942" s="539"/>
      <c r="AC942" s="539"/>
      <c r="AD942" s="539"/>
      <c r="AE942" s="539"/>
      <c r="AF942" s="539"/>
      <c r="AG942" s="537"/>
    </row>
    <row r="943" spans="1:33" ht="10.5" customHeight="1" x14ac:dyDescent="0.2">
      <c r="A943" s="537"/>
      <c r="B943" s="537"/>
      <c r="C943" s="537"/>
      <c r="D943" s="537"/>
      <c r="E943" s="537"/>
      <c r="F943" s="537"/>
      <c r="G943" s="537"/>
      <c r="H943" s="537"/>
      <c r="I943" s="537"/>
      <c r="L943" s="537"/>
      <c r="AA943" s="539"/>
      <c r="AB943" s="539"/>
      <c r="AC943" s="539"/>
      <c r="AD943" s="539"/>
      <c r="AE943" s="539"/>
      <c r="AF943" s="539"/>
      <c r="AG943" s="537"/>
    </row>
    <row r="944" spans="1:33" ht="10.5" customHeight="1" x14ac:dyDescent="0.2">
      <c r="A944" s="537"/>
      <c r="B944" s="537"/>
      <c r="C944" s="537"/>
      <c r="D944" s="537"/>
      <c r="E944" s="537"/>
      <c r="F944" s="537"/>
      <c r="G944" s="537"/>
      <c r="H944" s="537"/>
      <c r="I944" s="537"/>
      <c r="L944" s="537"/>
      <c r="AA944" s="539"/>
      <c r="AB944" s="539"/>
      <c r="AC944" s="539"/>
      <c r="AD944" s="539"/>
      <c r="AE944" s="539"/>
      <c r="AF944" s="539"/>
      <c r="AG944" s="537"/>
    </row>
    <row r="945" spans="1:33" ht="10.5" customHeight="1" x14ac:dyDescent="0.2">
      <c r="A945" s="537"/>
      <c r="B945" s="537"/>
      <c r="C945" s="537"/>
      <c r="D945" s="537"/>
      <c r="E945" s="537"/>
      <c r="F945" s="537"/>
      <c r="G945" s="537"/>
      <c r="H945" s="537"/>
      <c r="I945" s="537"/>
      <c r="L945" s="537"/>
      <c r="AA945" s="539"/>
      <c r="AB945" s="539"/>
      <c r="AC945" s="539"/>
      <c r="AD945" s="539"/>
      <c r="AE945" s="539"/>
      <c r="AF945" s="539"/>
      <c r="AG945" s="537"/>
    </row>
    <row r="946" spans="1:33" ht="10.5" customHeight="1" x14ac:dyDescent="0.2">
      <c r="A946" s="537"/>
      <c r="B946" s="537"/>
      <c r="C946" s="537"/>
      <c r="D946" s="537"/>
      <c r="E946" s="537"/>
      <c r="F946" s="537"/>
      <c r="G946" s="537"/>
      <c r="H946" s="537"/>
      <c r="I946" s="537"/>
      <c r="L946" s="537"/>
      <c r="AA946" s="539"/>
      <c r="AB946" s="539"/>
      <c r="AC946" s="539"/>
      <c r="AD946" s="539"/>
      <c r="AE946" s="539"/>
      <c r="AF946" s="539"/>
      <c r="AG946" s="537"/>
    </row>
    <row r="947" spans="1:33" ht="10.5" customHeight="1" x14ac:dyDescent="0.2">
      <c r="A947" s="537"/>
      <c r="B947" s="537"/>
      <c r="C947" s="537"/>
      <c r="D947" s="537"/>
      <c r="E947" s="537"/>
      <c r="F947" s="537"/>
      <c r="G947" s="537"/>
      <c r="H947" s="537"/>
      <c r="I947" s="537"/>
      <c r="L947" s="537"/>
      <c r="AA947" s="539"/>
      <c r="AB947" s="539"/>
      <c r="AC947" s="539"/>
      <c r="AD947" s="539"/>
      <c r="AE947" s="539"/>
      <c r="AF947" s="539"/>
      <c r="AG947" s="537"/>
    </row>
    <row r="948" spans="1:33" ht="10.5" customHeight="1" x14ac:dyDescent="0.2">
      <c r="A948" s="537"/>
      <c r="B948" s="537"/>
      <c r="C948" s="537"/>
      <c r="D948" s="537"/>
      <c r="E948" s="537"/>
      <c r="F948" s="537"/>
      <c r="G948" s="537"/>
      <c r="H948" s="537"/>
      <c r="I948" s="537"/>
      <c r="L948" s="537"/>
      <c r="AA948" s="539"/>
      <c r="AB948" s="539"/>
      <c r="AC948" s="539"/>
      <c r="AD948" s="539"/>
      <c r="AE948" s="539"/>
      <c r="AF948" s="539"/>
      <c r="AG948" s="537"/>
    </row>
    <row r="949" spans="1:33" ht="10.5" customHeight="1" x14ac:dyDescent="0.2">
      <c r="A949" s="537"/>
      <c r="B949" s="537"/>
      <c r="C949" s="537"/>
      <c r="D949" s="537"/>
      <c r="E949" s="537"/>
      <c r="F949" s="537"/>
      <c r="G949" s="537"/>
      <c r="H949" s="537"/>
      <c r="I949" s="537"/>
      <c r="L949" s="537"/>
      <c r="AA949" s="539"/>
      <c r="AB949" s="539"/>
      <c r="AC949" s="539"/>
      <c r="AD949" s="539"/>
      <c r="AE949" s="539"/>
      <c r="AF949" s="539"/>
      <c r="AG949" s="537"/>
    </row>
    <row r="950" spans="1:33" ht="10.5" customHeight="1" x14ac:dyDescent="0.2">
      <c r="A950" s="537"/>
      <c r="B950" s="537"/>
      <c r="C950" s="537"/>
      <c r="D950" s="537"/>
      <c r="E950" s="537"/>
      <c r="F950" s="537"/>
      <c r="G950" s="537"/>
      <c r="H950" s="537"/>
      <c r="I950" s="537"/>
      <c r="L950" s="537"/>
      <c r="AA950" s="539"/>
      <c r="AB950" s="539"/>
      <c r="AC950" s="539"/>
      <c r="AD950" s="539"/>
      <c r="AE950" s="539"/>
      <c r="AF950" s="539"/>
      <c r="AG950" s="537"/>
    </row>
    <row r="951" spans="1:33" ht="10.5" customHeight="1" x14ac:dyDescent="0.2">
      <c r="A951" s="537"/>
      <c r="B951" s="537"/>
      <c r="C951" s="537"/>
      <c r="D951" s="537"/>
      <c r="E951" s="537"/>
      <c r="F951" s="537"/>
      <c r="G951" s="537"/>
      <c r="H951" s="537"/>
      <c r="I951" s="537"/>
      <c r="L951" s="537"/>
      <c r="AA951" s="539"/>
      <c r="AB951" s="539"/>
      <c r="AC951" s="539"/>
      <c r="AD951" s="539"/>
      <c r="AE951" s="539"/>
      <c r="AF951" s="539"/>
      <c r="AG951" s="537"/>
    </row>
    <row r="952" spans="1:33" ht="10.5" customHeight="1" x14ac:dyDescent="0.2">
      <c r="A952" s="537"/>
      <c r="B952" s="537"/>
      <c r="C952" s="537"/>
      <c r="D952" s="537"/>
      <c r="E952" s="537"/>
      <c r="F952" s="537"/>
      <c r="G952" s="537"/>
      <c r="H952" s="537"/>
      <c r="I952" s="537"/>
      <c r="L952" s="537"/>
      <c r="AA952" s="539"/>
      <c r="AB952" s="539"/>
      <c r="AC952" s="539"/>
      <c r="AD952" s="539"/>
      <c r="AE952" s="539"/>
      <c r="AF952" s="539"/>
      <c r="AG952" s="537"/>
    </row>
    <row r="953" spans="1:33" ht="10.5" customHeight="1" x14ac:dyDescent="0.2">
      <c r="A953" s="537"/>
      <c r="B953" s="537"/>
      <c r="C953" s="537"/>
      <c r="D953" s="537"/>
      <c r="E953" s="537"/>
      <c r="F953" s="537"/>
      <c r="G953" s="537"/>
      <c r="H953" s="537"/>
      <c r="I953" s="537"/>
      <c r="L953" s="537"/>
      <c r="AA953" s="539"/>
      <c r="AB953" s="539"/>
      <c r="AC953" s="539"/>
      <c r="AD953" s="539"/>
      <c r="AE953" s="539"/>
      <c r="AF953" s="539"/>
      <c r="AG953" s="537"/>
    </row>
    <row r="954" spans="1:33" ht="10.5" customHeight="1" x14ac:dyDescent="0.2">
      <c r="A954" s="537"/>
      <c r="B954" s="537"/>
      <c r="C954" s="537"/>
      <c r="D954" s="537"/>
      <c r="E954" s="537"/>
      <c r="F954" s="537"/>
      <c r="G954" s="537"/>
      <c r="H954" s="537"/>
      <c r="I954" s="537"/>
      <c r="L954" s="537"/>
      <c r="AA954" s="539"/>
      <c r="AB954" s="539"/>
      <c r="AC954" s="539"/>
      <c r="AD954" s="539"/>
      <c r="AE954" s="539"/>
      <c r="AF954" s="539"/>
      <c r="AG954" s="537"/>
    </row>
    <row r="955" spans="1:33" ht="10.5" customHeight="1" x14ac:dyDescent="0.2">
      <c r="A955" s="537"/>
      <c r="B955" s="537"/>
      <c r="C955" s="537"/>
      <c r="D955" s="537"/>
      <c r="E955" s="537"/>
      <c r="F955" s="537"/>
      <c r="G955" s="537"/>
      <c r="H955" s="537"/>
      <c r="I955" s="537"/>
      <c r="L955" s="537"/>
      <c r="AA955" s="539"/>
      <c r="AB955" s="539"/>
      <c r="AC955" s="539"/>
      <c r="AD955" s="539"/>
      <c r="AE955" s="539"/>
      <c r="AF955" s="539"/>
      <c r="AG955" s="537"/>
    </row>
    <row r="956" spans="1:33" ht="10.5" customHeight="1" x14ac:dyDescent="0.2">
      <c r="A956" s="537"/>
      <c r="B956" s="537"/>
      <c r="C956" s="537"/>
      <c r="D956" s="537"/>
      <c r="E956" s="537"/>
      <c r="F956" s="537"/>
      <c r="G956" s="537"/>
      <c r="H956" s="537"/>
      <c r="I956" s="537"/>
      <c r="L956" s="537"/>
      <c r="AA956" s="539"/>
      <c r="AB956" s="539"/>
      <c r="AC956" s="539"/>
      <c r="AD956" s="539"/>
      <c r="AE956" s="539"/>
      <c r="AF956" s="539"/>
      <c r="AG956" s="537"/>
    </row>
    <row r="957" spans="1:33" ht="10.5" customHeight="1" x14ac:dyDescent="0.2">
      <c r="A957" s="537"/>
      <c r="B957" s="537"/>
      <c r="C957" s="537"/>
      <c r="D957" s="537"/>
      <c r="E957" s="537"/>
      <c r="F957" s="537"/>
      <c r="G957" s="537"/>
      <c r="H957" s="537"/>
      <c r="I957" s="537"/>
      <c r="L957" s="537"/>
      <c r="AA957" s="539"/>
      <c r="AB957" s="539"/>
      <c r="AC957" s="539"/>
      <c r="AD957" s="539"/>
      <c r="AE957" s="539"/>
      <c r="AF957" s="539"/>
      <c r="AG957" s="537"/>
    </row>
    <row r="958" spans="1:33" ht="10.5" customHeight="1" x14ac:dyDescent="0.2">
      <c r="A958" s="537"/>
      <c r="B958" s="537"/>
      <c r="C958" s="537"/>
      <c r="D958" s="537"/>
      <c r="E958" s="537"/>
      <c r="F958" s="537"/>
      <c r="G958" s="537"/>
      <c r="H958" s="537"/>
      <c r="I958" s="537"/>
      <c r="L958" s="537"/>
      <c r="AA958" s="539"/>
      <c r="AB958" s="539"/>
      <c r="AC958" s="539"/>
      <c r="AD958" s="539"/>
      <c r="AE958" s="539"/>
      <c r="AF958" s="539"/>
      <c r="AG958" s="537"/>
    </row>
    <row r="959" spans="1:33" ht="10.5" customHeight="1" x14ac:dyDescent="0.2">
      <c r="A959" s="537"/>
      <c r="B959" s="537"/>
      <c r="C959" s="537"/>
      <c r="D959" s="537"/>
      <c r="E959" s="537"/>
      <c r="F959" s="537"/>
      <c r="G959" s="537"/>
      <c r="H959" s="537"/>
      <c r="I959" s="537"/>
      <c r="L959" s="537"/>
      <c r="AA959" s="539"/>
      <c r="AB959" s="539"/>
      <c r="AC959" s="539"/>
      <c r="AD959" s="539"/>
      <c r="AE959" s="539"/>
      <c r="AF959" s="539"/>
      <c r="AG959" s="537"/>
    </row>
    <row r="960" spans="1:33" ht="10.5" customHeight="1" x14ac:dyDescent="0.2">
      <c r="A960" s="537"/>
      <c r="B960" s="537"/>
      <c r="C960" s="537"/>
      <c r="D960" s="537"/>
      <c r="E960" s="537"/>
      <c r="F960" s="537"/>
      <c r="G960" s="537"/>
      <c r="H960" s="537"/>
      <c r="I960" s="537"/>
      <c r="L960" s="537"/>
      <c r="AA960" s="539"/>
      <c r="AB960" s="539"/>
      <c r="AC960" s="539"/>
      <c r="AD960" s="539"/>
      <c r="AE960" s="539"/>
      <c r="AF960" s="539"/>
      <c r="AG960" s="537"/>
    </row>
    <row r="961" spans="1:33" ht="10.5" customHeight="1" x14ac:dyDescent="0.2">
      <c r="A961" s="537"/>
      <c r="B961" s="537"/>
      <c r="C961" s="537"/>
      <c r="D961" s="537"/>
      <c r="E961" s="537"/>
      <c r="F961" s="537"/>
      <c r="G961" s="537"/>
      <c r="H961" s="537"/>
      <c r="I961" s="537"/>
      <c r="L961" s="537"/>
      <c r="AA961" s="539"/>
      <c r="AB961" s="539"/>
      <c r="AC961" s="539"/>
      <c r="AD961" s="539"/>
      <c r="AE961" s="539"/>
      <c r="AF961" s="539"/>
      <c r="AG961" s="537"/>
    </row>
    <row r="962" spans="1:33" ht="10.5" customHeight="1" x14ac:dyDescent="0.2">
      <c r="A962" s="537"/>
      <c r="B962" s="537"/>
      <c r="C962" s="537"/>
      <c r="D962" s="537"/>
      <c r="E962" s="537"/>
      <c r="F962" s="537"/>
      <c r="G962" s="537"/>
      <c r="H962" s="537"/>
      <c r="I962" s="537"/>
      <c r="L962" s="537"/>
      <c r="AA962" s="539"/>
      <c r="AB962" s="539"/>
      <c r="AC962" s="539"/>
      <c r="AD962" s="539"/>
      <c r="AE962" s="539"/>
      <c r="AF962" s="539"/>
      <c r="AG962" s="537"/>
    </row>
    <row r="963" spans="1:33" ht="10.5" customHeight="1" x14ac:dyDescent="0.2">
      <c r="A963" s="537"/>
      <c r="B963" s="537"/>
      <c r="C963" s="537"/>
      <c r="D963" s="537"/>
      <c r="E963" s="537"/>
      <c r="F963" s="537"/>
      <c r="G963" s="537"/>
      <c r="H963" s="537"/>
      <c r="I963" s="537"/>
      <c r="L963" s="537"/>
      <c r="AA963" s="539"/>
      <c r="AB963" s="539"/>
      <c r="AC963" s="539"/>
      <c r="AD963" s="539"/>
      <c r="AE963" s="539"/>
      <c r="AF963" s="539"/>
      <c r="AG963" s="537"/>
    </row>
    <row r="964" spans="1:33" ht="10.5" customHeight="1" x14ac:dyDescent="0.2">
      <c r="A964" s="537"/>
      <c r="B964" s="537"/>
      <c r="C964" s="537"/>
      <c r="D964" s="537"/>
      <c r="E964" s="537"/>
      <c r="F964" s="537"/>
      <c r="G964" s="537"/>
      <c r="H964" s="537"/>
      <c r="I964" s="537"/>
      <c r="L964" s="537"/>
      <c r="AA964" s="539"/>
      <c r="AB964" s="539"/>
      <c r="AC964" s="539"/>
      <c r="AD964" s="539"/>
      <c r="AE964" s="539"/>
      <c r="AF964" s="539"/>
      <c r="AG964" s="537"/>
    </row>
    <row r="965" spans="1:33" ht="10.5" customHeight="1" x14ac:dyDescent="0.2">
      <c r="A965" s="537"/>
      <c r="B965" s="537"/>
      <c r="C965" s="537"/>
      <c r="D965" s="537"/>
      <c r="E965" s="537"/>
      <c r="F965" s="537"/>
      <c r="G965" s="537"/>
      <c r="H965" s="537"/>
      <c r="I965" s="537"/>
      <c r="L965" s="537"/>
      <c r="AA965" s="539"/>
      <c r="AB965" s="539"/>
      <c r="AC965" s="539"/>
      <c r="AD965" s="539"/>
      <c r="AE965" s="539"/>
      <c r="AF965" s="539"/>
      <c r="AG965" s="537"/>
    </row>
    <row r="966" spans="1:33" ht="10.5" customHeight="1" x14ac:dyDescent="0.2">
      <c r="A966" s="537"/>
      <c r="B966" s="537"/>
      <c r="C966" s="537"/>
      <c r="D966" s="537"/>
      <c r="E966" s="537"/>
      <c r="F966" s="537"/>
      <c r="G966" s="537"/>
      <c r="H966" s="537"/>
      <c r="I966" s="537"/>
      <c r="L966" s="537"/>
      <c r="AA966" s="539"/>
      <c r="AB966" s="539"/>
      <c r="AC966" s="539"/>
      <c r="AD966" s="539"/>
      <c r="AE966" s="539"/>
      <c r="AF966" s="539"/>
      <c r="AG966" s="537"/>
    </row>
    <row r="967" spans="1:33" ht="10.5" customHeight="1" x14ac:dyDescent="0.2">
      <c r="A967" s="537"/>
      <c r="B967" s="537"/>
      <c r="C967" s="537"/>
      <c r="D967" s="537"/>
      <c r="E967" s="537"/>
      <c r="F967" s="537"/>
      <c r="G967" s="537"/>
      <c r="H967" s="537"/>
      <c r="I967" s="537"/>
      <c r="L967" s="537"/>
      <c r="AA967" s="539"/>
      <c r="AB967" s="539"/>
      <c r="AC967" s="539"/>
      <c r="AD967" s="539"/>
      <c r="AE967" s="539"/>
      <c r="AF967" s="539"/>
      <c r="AG967" s="537"/>
    </row>
    <row r="968" spans="1:33" ht="10.5" customHeight="1" x14ac:dyDescent="0.2">
      <c r="A968" s="537"/>
      <c r="B968" s="537"/>
      <c r="C968" s="537"/>
      <c r="D968" s="537"/>
      <c r="E968" s="537"/>
      <c r="F968" s="537"/>
      <c r="G968" s="537"/>
      <c r="H968" s="537"/>
      <c r="I968" s="537"/>
      <c r="L968" s="537"/>
      <c r="AA968" s="539"/>
      <c r="AB968" s="539"/>
      <c r="AC968" s="539"/>
      <c r="AD968" s="539"/>
      <c r="AE968" s="539"/>
      <c r="AF968" s="539"/>
      <c r="AG968" s="537"/>
    </row>
    <row r="969" spans="1:33" ht="10.5" customHeight="1" x14ac:dyDescent="0.2">
      <c r="A969" s="537"/>
      <c r="B969" s="537"/>
      <c r="C969" s="537"/>
      <c r="D969" s="537"/>
      <c r="E969" s="537"/>
      <c r="F969" s="537"/>
      <c r="G969" s="537"/>
      <c r="H969" s="537"/>
      <c r="I969" s="537"/>
      <c r="L969" s="537"/>
      <c r="AA969" s="539"/>
      <c r="AB969" s="539"/>
      <c r="AC969" s="539"/>
      <c r="AD969" s="539"/>
      <c r="AE969" s="539"/>
      <c r="AF969" s="539"/>
      <c r="AG969" s="537"/>
    </row>
    <row r="970" spans="1:33" ht="10.5" customHeight="1" x14ac:dyDescent="0.2">
      <c r="A970" s="537"/>
      <c r="B970" s="537"/>
      <c r="C970" s="537"/>
      <c r="D970" s="537"/>
      <c r="E970" s="537"/>
      <c r="F970" s="537"/>
      <c r="G970" s="537"/>
      <c r="H970" s="537"/>
      <c r="I970" s="537"/>
      <c r="L970" s="537"/>
      <c r="AA970" s="539"/>
      <c r="AB970" s="539"/>
      <c r="AC970" s="539"/>
      <c r="AD970" s="539"/>
      <c r="AE970" s="539"/>
      <c r="AF970" s="539"/>
      <c r="AG970" s="537"/>
    </row>
    <row r="971" spans="1:33" ht="10.5" customHeight="1" x14ac:dyDescent="0.2">
      <c r="A971" s="537"/>
      <c r="B971" s="537"/>
      <c r="C971" s="537"/>
      <c r="D971" s="537"/>
      <c r="E971" s="537"/>
      <c r="F971" s="537"/>
      <c r="G971" s="537"/>
      <c r="H971" s="537"/>
      <c r="I971" s="537"/>
      <c r="L971" s="537"/>
      <c r="AA971" s="539"/>
      <c r="AB971" s="539"/>
      <c r="AC971" s="539"/>
      <c r="AD971" s="539"/>
      <c r="AE971" s="539"/>
      <c r="AF971" s="539"/>
      <c r="AG971" s="537"/>
    </row>
    <row r="972" spans="1:33" ht="10.5" customHeight="1" x14ac:dyDescent="0.2">
      <c r="A972" s="537"/>
      <c r="B972" s="537"/>
      <c r="C972" s="537"/>
      <c r="D972" s="537"/>
      <c r="E972" s="537"/>
      <c r="F972" s="537"/>
      <c r="G972" s="537"/>
      <c r="H972" s="537"/>
      <c r="I972" s="537"/>
      <c r="L972" s="537"/>
      <c r="AA972" s="539"/>
      <c r="AB972" s="539"/>
      <c r="AC972" s="539"/>
      <c r="AD972" s="539"/>
      <c r="AE972" s="539"/>
      <c r="AF972" s="539"/>
      <c r="AG972" s="537"/>
    </row>
    <row r="973" spans="1:33" ht="10.5" customHeight="1" x14ac:dyDescent="0.2">
      <c r="A973" s="537"/>
      <c r="B973" s="537"/>
      <c r="C973" s="537"/>
      <c r="D973" s="537"/>
      <c r="E973" s="537"/>
      <c r="F973" s="537"/>
      <c r="G973" s="537"/>
      <c r="H973" s="537"/>
      <c r="I973" s="537"/>
      <c r="L973" s="537"/>
      <c r="AA973" s="539"/>
      <c r="AB973" s="539"/>
      <c r="AC973" s="539"/>
      <c r="AD973" s="539"/>
      <c r="AE973" s="539"/>
      <c r="AF973" s="539"/>
      <c r="AG973" s="537"/>
    </row>
    <row r="974" spans="1:33" ht="10.5" customHeight="1" x14ac:dyDescent="0.2">
      <c r="A974" s="537"/>
      <c r="B974" s="537"/>
      <c r="C974" s="537"/>
      <c r="D974" s="537"/>
      <c r="E974" s="537"/>
      <c r="F974" s="537"/>
      <c r="G974" s="537"/>
      <c r="H974" s="537"/>
      <c r="I974" s="537"/>
      <c r="L974" s="537"/>
      <c r="AA974" s="539"/>
      <c r="AB974" s="539"/>
      <c r="AC974" s="539"/>
      <c r="AD974" s="539"/>
      <c r="AE974" s="539"/>
      <c r="AF974" s="539"/>
      <c r="AG974" s="537"/>
    </row>
    <row r="975" spans="1:33" ht="10.5" customHeight="1" x14ac:dyDescent="0.2">
      <c r="A975" s="537"/>
      <c r="B975" s="537"/>
      <c r="C975" s="537"/>
      <c r="D975" s="537"/>
      <c r="E975" s="537"/>
      <c r="F975" s="537"/>
      <c r="G975" s="537"/>
      <c r="H975" s="537"/>
      <c r="I975" s="537"/>
      <c r="L975" s="537"/>
      <c r="AA975" s="539"/>
      <c r="AB975" s="539"/>
      <c r="AC975" s="539"/>
      <c r="AD975" s="539"/>
      <c r="AE975" s="539"/>
      <c r="AF975" s="539"/>
      <c r="AG975" s="537"/>
    </row>
    <row r="976" spans="1:33" ht="10.5" customHeight="1" x14ac:dyDescent="0.2">
      <c r="A976" s="537"/>
      <c r="B976" s="537"/>
      <c r="C976" s="537"/>
      <c r="D976" s="537"/>
      <c r="E976" s="537"/>
      <c r="F976" s="537"/>
      <c r="G976" s="537"/>
      <c r="H976" s="537"/>
      <c r="I976" s="537"/>
      <c r="L976" s="537"/>
      <c r="AA976" s="539"/>
      <c r="AB976" s="539"/>
      <c r="AC976" s="539"/>
      <c r="AD976" s="539"/>
      <c r="AE976" s="539"/>
      <c r="AF976" s="539"/>
      <c r="AG976" s="537"/>
    </row>
    <row r="977" spans="1:33" ht="10.5" customHeight="1" x14ac:dyDescent="0.2">
      <c r="A977" s="537"/>
      <c r="B977" s="537"/>
      <c r="C977" s="537"/>
      <c r="D977" s="537"/>
      <c r="E977" s="537"/>
      <c r="F977" s="537"/>
      <c r="G977" s="537"/>
      <c r="H977" s="537"/>
      <c r="I977" s="537"/>
      <c r="L977" s="537"/>
      <c r="AA977" s="539"/>
      <c r="AB977" s="539"/>
      <c r="AC977" s="539"/>
      <c r="AD977" s="539"/>
      <c r="AE977" s="539"/>
      <c r="AF977" s="539"/>
      <c r="AG977" s="537"/>
    </row>
    <row r="978" spans="1:33" ht="10.5" customHeight="1" x14ac:dyDescent="0.2">
      <c r="A978" s="537"/>
      <c r="B978" s="537"/>
      <c r="C978" s="537"/>
      <c r="D978" s="537"/>
      <c r="E978" s="537"/>
      <c r="F978" s="537"/>
      <c r="G978" s="537"/>
      <c r="H978" s="537"/>
      <c r="I978" s="537"/>
      <c r="L978" s="537"/>
      <c r="AA978" s="539"/>
      <c r="AB978" s="539"/>
      <c r="AC978" s="539"/>
      <c r="AD978" s="539"/>
      <c r="AE978" s="539"/>
      <c r="AF978" s="539"/>
      <c r="AG978" s="537"/>
    </row>
    <row r="979" spans="1:33" ht="10.5" customHeight="1" x14ac:dyDescent="0.2">
      <c r="A979" s="537"/>
      <c r="B979" s="537"/>
      <c r="C979" s="537"/>
      <c r="D979" s="537"/>
      <c r="E979" s="537"/>
      <c r="F979" s="537"/>
      <c r="G979" s="537"/>
      <c r="H979" s="537"/>
      <c r="I979" s="537"/>
      <c r="L979" s="537"/>
      <c r="AA979" s="539"/>
      <c r="AB979" s="539"/>
      <c r="AC979" s="539"/>
      <c r="AD979" s="539"/>
      <c r="AE979" s="539"/>
      <c r="AF979" s="539"/>
      <c r="AG979" s="537"/>
    </row>
    <row r="980" spans="1:33" ht="10.5" customHeight="1" x14ac:dyDescent="0.2">
      <c r="A980" s="537"/>
      <c r="B980" s="537"/>
      <c r="C980" s="537"/>
      <c r="D980" s="537"/>
      <c r="E980" s="537"/>
      <c r="F980" s="537"/>
      <c r="G980" s="537"/>
      <c r="H980" s="537"/>
      <c r="I980" s="537"/>
      <c r="L980" s="537"/>
      <c r="AA980" s="539"/>
      <c r="AB980" s="539"/>
      <c r="AC980" s="539"/>
      <c r="AD980" s="539"/>
      <c r="AE980" s="539"/>
      <c r="AF980" s="539"/>
      <c r="AG980" s="537"/>
    </row>
    <row r="981" spans="1:33" ht="10.5" customHeight="1" x14ac:dyDescent="0.2">
      <c r="A981" s="537"/>
      <c r="B981" s="537"/>
      <c r="C981" s="537"/>
      <c r="D981" s="537"/>
      <c r="E981" s="537"/>
      <c r="F981" s="537"/>
      <c r="G981" s="537"/>
      <c r="H981" s="537"/>
      <c r="I981" s="537"/>
      <c r="L981" s="537"/>
      <c r="AA981" s="539"/>
      <c r="AB981" s="539"/>
      <c r="AC981" s="539"/>
      <c r="AD981" s="539"/>
      <c r="AE981" s="539"/>
      <c r="AF981" s="539"/>
      <c r="AG981" s="537"/>
    </row>
    <row r="982" spans="1:33" ht="10.5" customHeight="1" x14ac:dyDescent="0.2">
      <c r="A982" s="537"/>
      <c r="B982" s="537"/>
      <c r="C982" s="537"/>
      <c r="D982" s="537"/>
      <c r="E982" s="537"/>
      <c r="F982" s="537"/>
      <c r="G982" s="537"/>
      <c r="H982" s="537"/>
      <c r="I982" s="537"/>
      <c r="L982" s="537"/>
      <c r="AA982" s="539"/>
      <c r="AB982" s="539"/>
      <c r="AC982" s="539"/>
      <c r="AD982" s="539"/>
      <c r="AE982" s="539"/>
      <c r="AF982" s="539"/>
      <c r="AG982" s="537"/>
    </row>
    <row r="983" spans="1:33" ht="10.5" customHeight="1" x14ac:dyDescent="0.2">
      <c r="A983" s="537"/>
      <c r="B983" s="537"/>
      <c r="C983" s="537"/>
      <c r="D983" s="537"/>
      <c r="E983" s="537"/>
      <c r="F983" s="537"/>
      <c r="G983" s="537"/>
      <c r="H983" s="537"/>
      <c r="I983" s="537"/>
      <c r="L983" s="537"/>
      <c r="AA983" s="539"/>
      <c r="AB983" s="539"/>
      <c r="AC983" s="539"/>
      <c r="AD983" s="539"/>
      <c r="AE983" s="539"/>
      <c r="AF983" s="539"/>
      <c r="AG983" s="537"/>
    </row>
    <row r="984" spans="1:33" ht="10.5" customHeight="1" x14ac:dyDescent="0.2">
      <c r="A984" s="537"/>
      <c r="B984" s="537"/>
      <c r="C984" s="537"/>
      <c r="D984" s="537"/>
      <c r="E984" s="537"/>
      <c r="F984" s="537"/>
      <c r="G984" s="537"/>
      <c r="H984" s="537"/>
      <c r="I984" s="537"/>
      <c r="L984" s="537"/>
      <c r="AA984" s="539"/>
      <c r="AB984" s="539"/>
      <c r="AC984" s="539"/>
      <c r="AD984" s="539"/>
      <c r="AE984" s="539"/>
      <c r="AF984" s="539"/>
      <c r="AG984" s="537"/>
    </row>
    <row r="985" spans="1:33" ht="10.5" customHeight="1" x14ac:dyDescent="0.2">
      <c r="A985" s="537"/>
      <c r="B985" s="537"/>
      <c r="C985" s="537"/>
      <c r="D985" s="537"/>
      <c r="E985" s="537"/>
      <c r="F985" s="537"/>
      <c r="G985" s="537"/>
      <c r="H985" s="537"/>
      <c r="I985" s="537"/>
      <c r="L985" s="537"/>
      <c r="AA985" s="539"/>
      <c r="AB985" s="539"/>
      <c r="AC985" s="539"/>
      <c r="AD985" s="539"/>
      <c r="AE985" s="539"/>
      <c r="AF985" s="539"/>
      <c r="AG985" s="537"/>
    </row>
    <row r="986" spans="1:33" ht="10.5" customHeight="1" x14ac:dyDescent="0.2">
      <c r="A986" s="537"/>
      <c r="B986" s="537"/>
      <c r="C986" s="537"/>
      <c r="D986" s="537"/>
      <c r="E986" s="537"/>
      <c r="F986" s="537"/>
      <c r="G986" s="537"/>
      <c r="H986" s="537"/>
      <c r="I986" s="537"/>
      <c r="L986" s="537"/>
      <c r="AA986" s="539"/>
      <c r="AB986" s="539"/>
      <c r="AC986" s="539"/>
      <c r="AD986" s="539"/>
      <c r="AE986" s="539"/>
      <c r="AF986" s="539"/>
      <c r="AG986" s="537"/>
    </row>
    <row r="987" spans="1:33" ht="10.5" customHeight="1" x14ac:dyDescent="0.2">
      <c r="A987" s="537"/>
      <c r="B987" s="537"/>
      <c r="C987" s="537"/>
      <c r="D987" s="537"/>
      <c r="E987" s="537"/>
      <c r="F987" s="537"/>
      <c r="G987" s="537"/>
      <c r="H987" s="537"/>
      <c r="I987" s="537"/>
      <c r="L987" s="537"/>
      <c r="AA987" s="539"/>
      <c r="AB987" s="539"/>
      <c r="AC987" s="539"/>
      <c r="AD987" s="539"/>
      <c r="AE987" s="539"/>
      <c r="AF987" s="539"/>
      <c r="AG987" s="537"/>
    </row>
    <row r="988" spans="1:33" ht="10.5" customHeight="1" x14ac:dyDescent="0.2">
      <c r="A988" s="537"/>
      <c r="B988" s="537"/>
      <c r="C988" s="537"/>
      <c r="D988" s="537"/>
      <c r="E988" s="537"/>
      <c r="F988" s="537"/>
      <c r="G988" s="537"/>
      <c r="H988" s="537"/>
      <c r="I988" s="537"/>
      <c r="L988" s="537"/>
      <c r="AA988" s="539"/>
      <c r="AB988" s="539"/>
      <c r="AC988" s="539"/>
      <c r="AD988" s="539"/>
      <c r="AE988" s="539"/>
      <c r="AF988" s="539"/>
      <c r="AG988" s="537"/>
    </row>
    <row r="989" spans="1:33" ht="10.5" customHeight="1" x14ac:dyDescent="0.2">
      <c r="A989" s="537"/>
      <c r="B989" s="537"/>
      <c r="C989" s="537"/>
      <c r="D989" s="537"/>
      <c r="E989" s="537"/>
      <c r="F989" s="537"/>
      <c r="G989" s="537"/>
      <c r="H989" s="537"/>
      <c r="I989" s="537"/>
      <c r="L989" s="537"/>
      <c r="AA989" s="539"/>
      <c r="AB989" s="539"/>
      <c r="AC989" s="539"/>
      <c r="AD989" s="539"/>
      <c r="AE989" s="539"/>
      <c r="AF989" s="539"/>
      <c r="AG989" s="537"/>
    </row>
    <row r="990" spans="1:33" ht="10.5" customHeight="1" x14ac:dyDescent="0.2">
      <c r="A990" s="537"/>
      <c r="B990" s="537"/>
      <c r="C990" s="537"/>
      <c r="D990" s="537"/>
      <c r="E990" s="537"/>
      <c r="F990" s="537"/>
      <c r="G990" s="537"/>
      <c r="H990" s="537"/>
      <c r="I990" s="537"/>
      <c r="L990" s="537"/>
      <c r="AA990" s="539"/>
      <c r="AB990" s="539"/>
      <c r="AC990" s="539"/>
      <c r="AD990" s="539"/>
      <c r="AE990" s="539"/>
      <c r="AF990" s="539"/>
      <c r="AG990" s="537"/>
    </row>
    <row r="991" spans="1:33" ht="10.5" customHeight="1" x14ac:dyDescent="0.2">
      <c r="A991" s="537"/>
      <c r="B991" s="537"/>
      <c r="C991" s="537"/>
      <c r="D991" s="537"/>
      <c r="E991" s="537"/>
      <c r="F991" s="537"/>
      <c r="G991" s="537"/>
      <c r="H991" s="537"/>
      <c r="I991" s="537"/>
      <c r="L991" s="537"/>
      <c r="AA991" s="539"/>
      <c r="AB991" s="539"/>
      <c r="AC991" s="539"/>
      <c r="AD991" s="539"/>
      <c r="AE991" s="539"/>
      <c r="AF991" s="539"/>
      <c r="AG991" s="537"/>
    </row>
    <row r="992" spans="1:33" ht="10.5" customHeight="1" x14ac:dyDescent="0.2">
      <c r="A992" s="537"/>
      <c r="B992" s="537"/>
      <c r="C992" s="537"/>
      <c r="D992" s="537"/>
      <c r="E992" s="537"/>
      <c r="F992" s="537"/>
      <c r="G992" s="537"/>
      <c r="H992" s="537"/>
      <c r="I992" s="537"/>
      <c r="L992" s="537"/>
      <c r="AA992" s="539"/>
      <c r="AB992" s="539"/>
      <c r="AC992" s="539"/>
      <c r="AD992" s="539"/>
      <c r="AE992" s="539"/>
      <c r="AF992" s="539"/>
      <c r="AG992" s="537"/>
    </row>
    <row r="993" spans="1:33" ht="10.5" customHeight="1" x14ac:dyDescent="0.2">
      <c r="A993" s="537"/>
      <c r="B993" s="537"/>
      <c r="C993" s="537"/>
      <c r="D993" s="537"/>
      <c r="E993" s="537"/>
      <c r="F993" s="537"/>
      <c r="G993" s="537"/>
      <c r="H993" s="537"/>
      <c r="I993" s="537"/>
      <c r="L993" s="537"/>
      <c r="AA993" s="539"/>
      <c r="AB993" s="539"/>
      <c r="AC993" s="539"/>
      <c r="AD993" s="539"/>
      <c r="AE993" s="539"/>
      <c r="AF993" s="539"/>
      <c r="AG993" s="537"/>
    </row>
    <row r="994" spans="1:33" ht="10.5" customHeight="1" x14ac:dyDescent="0.2">
      <c r="A994" s="537"/>
      <c r="B994" s="537"/>
      <c r="C994" s="537"/>
      <c r="D994" s="537"/>
      <c r="E994" s="537"/>
      <c r="F994" s="537"/>
      <c r="G994" s="537"/>
      <c r="H994" s="537"/>
      <c r="I994" s="537"/>
      <c r="L994" s="537"/>
      <c r="AA994" s="539"/>
      <c r="AB994" s="539"/>
      <c r="AC994" s="539"/>
      <c r="AD994" s="539"/>
      <c r="AE994" s="539"/>
      <c r="AF994" s="539"/>
      <c r="AG994" s="537"/>
    </row>
    <row r="995" spans="1:33" ht="10.5" customHeight="1" x14ac:dyDescent="0.2">
      <c r="A995" s="537"/>
      <c r="B995" s="537"/>
      <c r="C995" s="537"/>
      <c r="D995" s="537"/>
      <c r="E995" s="537"/>
      <c r="F995" s="537"/>
      <c r="G995" s="537"/>
      <c r="H995" s="537"/>
      <c r="I995" s="537"/>
      <c r="L995" s="537"/>
      <c r="AA995" s="539"/>
      <c r="AB995" s="539"/>
      <c r="AC995" s="539"/>
      <c r="AD995" s="539"/>
      <c r="AE995" s="539"/>
      <c r="AF995" s="539"/>
      <c r="AG995" s="537"/>
    </row>
    <row r="996" spans="1:33" ht="10.5" customHeight="1" x14ac:dyDescent="0.2">
      <c r="A996" s="537"/>
      <c r="B996" s="537"/>
      <c r="C996" s="537"/>
      <c r="D996" s="537"/>
      <c r="E996" s="537"/>
      <c r="F996" s="537"/>
      <c r="G996" s="537"/>
      <c r="H996" s="537"/>
      <c r="I996" s="537"/>
      <c r="L996" s="537"/>
      <c r="AA996" s="539"/>
      <c r="AB996" s="539"/>
      <c r="AC996" s="539"/>
      <c r="AD996" s="539"/>
      <c r="AE996" s="539"/>
      <c r="AF996" s="539"/>
      <c r="AG996" s="537"/>
    </row>
    <row r="997" spans="1:33" ht="10.5" customHeight="1" x14ac:dyDescent="0.2">
      <c r="A997" s="537"/>
      <c r="B997" s="537"/>
      <c r="C997" s="537"/>
      <c r="D997" s="537"/>
      <c r="E997" s="537"/>
      <c r="F997" s="537"/>
      <c r="G997" s="537"/>
      <c r="H997" s="537"/>
      <c r="I997" s="537"/>
      <c r="L997" s="537"/>
      <c r="AA997" s="539"/>
      <c r="AB997" s="539"/>
      <c r="AC997" s="539"/>
      <c r="AD997" s="539"/>
      <c r="AE997" s="539"/>
      <c r="AF997" s="539"/>
      <c r="AG997" s="537"/>
    </row>
    <row r="998" spans="1:33" ht="10.5" customHeight="1" x14ac:dyDescent="0.2">
      <c r="A998" s="537"/>
      <c r="B998" s="537"/>
      <c r="C998" s="537"/>
      <c r="D998" s="537"/>
      <c r="E998" s="537"/>
      <c r="F998" s="537"/>
      <c r="G998" s="537"/>
      <c r="H998" s="537"/>
      <c r="I998" s="537"/>
      <c r="L998" s="537"/>
      <c r="AA998" s="539"/>
      <c r="AB998" s="539"/>
      <c r="AC998" s="539"/>
      <c r="AD998" s="539"/>
      <c r="AE998" s="539"/>
      <c r="AF998" s="539"/>
      <c r="AG998" s="537"/>
    </row>
  </sheetData>
  <mergeCells count="27">
    <mergeCell ref="B7:D7"/>
    <mergeCell ref="A1:I1"/>
    <mergeCell ref="C2:E2"/>
    <mergeCell ref="A3:I3"/>
    <mergeCell ref="B5:D5"/>
    <mergeCell ref="B6:E6"/>
    <mergeCell ref="A40:C40"/>
    <mergeCell ref="B8:F8"/>
    <mergeCell ref="B9:D9"/>
    <mergeCell ref="B11:E11"/>
    <mergeCell ref="A14:I14"/>
    <mergeCell ref="G26:H26"/>
    <mergeCell ref="G27:H27"/>
    <mergeCell ref="G28:H28"/>
    <mergeCell ref="G29:H29"/>
    <mergeCell ref="G33:H33"/>
    <mergeCell ref="G35:H35"/>
    <mergeCell ref="G36:H36"/>
    <mergeCell ref="A49:C49"/>
    <mergeCell ref="A50:C50"/>
    <mergeCell ref="A51:C51"/>
    <mergeCell ref="A41:C41"/>
    <mergeCell ref="A42:C42"/>
    <mergeCell ref="A43:C43"/>
    <mergeCell ref="A44:C45"/>
    <mergeCell ref="A46:C47"/>
    <mergeCell ref="A48:C48"/>
  </mergeCells>
  <dataValidations count="4">
    <dataValidation type="list" allowBlank="1" showInputMessage="1" showErrorMessage="1" prompt=" - " sqref="G32" xr:uid="{0E680DC6-981E-443E-B6E7-F1ABF6673C95}">
      <formula1>$AG$98:$AG$114</formula1>
    </dataValidation>
    <dataValidation type="custom" allowBlank="1" showInputMessage="1" showErrorMessage="1" prompt=" - " sqref="B22 B24" xr:uid="{06EC03C1-41FC-4A7B-B2EA-31AC030B8B05}">
      <formula1>B22&lt;=50%</formula1>
    </dataValidation>
    <dataValidation type="custom" allowBlank="1" showInputMessage="1" showErrorMessage="1" prompt=" - " sqref="B20" xr:uid="{933140E2-88CA-47D3-BB2D-6F6B8BC4CA67}">
      <formula1>B20&lt;=10%</formula1>
    </dataValidation>
    <dataValidation type="list" allowBlank="1" showInputMessage="1" showErrorMessage="1" prompt=" - " sqref="C2" xr:uid="{9CB32305-61B8-47A6-96D2-8717148343BC}">
      <formula1>$AA$2:$AA$3</formula1>
    </dataValidation>
  </dataValidations>
  <pageMargins left="0.7" right="0.7" top="0.75" bottom="0.75" header="0" footer="0"/>
  <pageSetup scale="70" orientation="landscape"/>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pageSetUpPr fitToPage="1"/>
  </sheetPr>
  <dimension ref="A1:J1445"/>
  <sheetViews>
    <sheetView showOutlineSymbols="0" topLeftCell="A1415" zoomScale="85" zoomScaleNormal="85" zoomScaleSheetLayoutView="40" workbookViewId="0">
      <selection activeCell="G277" sqref="G277"/>
    </sheetView>
  </sheetViews>
  <sheetFormatPr baseColWidth="10" defaultColWidth="11" defaultRowHeight="16.5" x14ac:dyDescent="0.3"/>
  <cols>
    <col min="1" max="1" width="6.375" customWidth="1"/>
    <col min="2" max="2" width="75.125" customWidth="1"/>
    <col min="3" max="3" width="14.875" customWidth="1"/>
    <col min="4" max="4" width="16.625" bestFit="1" customWidth="1"/>
    <col min="6" max="6" width="17.375" bestFit="1" customWidth="1"/>
    <col min="7" max="7" width="24.375" customWidth="1"/>
    <col min="8" max="8" width="13.625" bestFit="1" customWidth="1"/>
    <col min="9" max="9" width="15.75" bestFit="1" customWidth="1"/>
    <col min="10" max="10" width="40.625" bestFit="1" customWidth="1"/>
  </cols>
  <sheetData>
    <row r="1" spans="1:7" ht="47.45" customHeight="1" thickBot="1" x14ac:dyDescent="0.35">
      <c r="A1" s="358">
        <f>PPTO!B9</f>
        <v>1.1000000000000001</v>
      </c>
      <c r="B1" s="359" t="str">
        <f>PPTO!C9</f>
        <v xml:space="preserve">Localizacion, trazado y Replanteo, se incluye suministro de cuadrilla topografíca para rectificación de cartera, verificación de alineamientos, desarrollo de planos. </v>
      </c>
      <c r="C1" s="360" t="s">
        <v>85</v>
      </c>
      <c r="D1" s="361" t="s">
        <v>274</v>
      </c>
      <c r="E1" s="362" t="s">
        <v>275</v>
      </c>
      <c r="F1" s="360" t="s">
        <v>276</v>
      </c>
      <c r="G1" s="363" t="s">
        <v>277</v>
      </c>
    </row>
    <row r="2" spans="1:7" ht="17.25" thickBot="1" x14ac:dyDescent="0.35">
      <c r="A2" s="1"/>
      <c r="B2" s="51" t="s">
        <v>278</v>
      </c>
      <c r="C2" s="43"/>
      <c r="D2" s="43"/>
      <c r="E2" s="44"/>
      <c r="F2" s="52"/>
      <c r="G2" s="7"/>
    </row>
    <row r="3" spans="1:7" x14ac:dyDescent="0.3">
      <c r="A3" s="1"/>
      <c r="B3" s="66" t="s">
        <v>279</v>
      </c>
      <c r="C3" s="34" t="str">
        <f>VLOOKUP(B3,INSUMOS!$B$2:$D$299,2,0)</f>
        <v>DIA</v>
      </c>
      <c r="D3" s="8">
        <v>0.05</v>
      </c>
      <c r="E3" s="9">
        <v>0.25</v>
      </c>
      <c r="F3" s="53">
        <f>VLOOKUP(B3,INSUMOS!$B$2:$D$299,3,0)</f>
        <v>108625.00000000001</v>
      </c>
      <c r="G3" s="10">
        <f>+ROUND((1+D3)*E3*F3,0)</f>
        <v>28514</v>
      </c>
    </row>
    <row r="4" spans="1:7" x14ac:dyDescent="0.3">
      <c r="A4" s="1"/>
      <c r="B4" s="42" t="s">
        <v>280</v>
      </c>
      <c r="C4" s="35" t="s">
        <v>13</v>
      </c>
      <c r="D4" s="11"/>
      <c r="E4" s="12">
        <v>1</v>
      </c>
      <c r="F4" s="54">
        <f>VLOOKUP(B4,INSUMOS!$B$2:$D$562,3,0)</f>
        <v>10312.5</v>
      </c>
      <c r="G4" s="13">
        <f>+ROUND((1+D4)*E4*F4,0)</f>
        <v>10313</v>
      </c>
    </row>
    <row r="5" spans="1:7" ht="17.25" thickBot="1" x14ac:dyDescent="0.35">
      <c r="A5" s="1"/>
      <c r="B5" s="36"/>
      <c r="C5" s="37"/>
      <c r="D5" s="30"/>
      <c r="E5" s="31"/>
      <c r="F5" s="33"/>
      <c r="G5" s="32">
        <f>+ROUND((1+D5)*E5*F5,0)</f>
        <v>0</v>
      </c>
    </row>
    <row r="6" spans="1:7" ht="17.25" thickBot="1" x14ac:dyDescent="0.35">
      <c r="A6" s="1"/>
      <c r="B6" s="55" t="s">
        <v>281</v>
      </c>
      <c r="C6" s="56"/>
      <c r="D6" s="56"/>
      <c r="E6" s="57"/>
      <c r="F6" s="58"/>
      <c r="G6" s="59"/>
    </row>
    <row r="7" spans="1:7" ht="17.25" thickBot="1" x14ac:dyDescent="0.35">
      <c r="A7" s="1"/>
      <c r="B7" s="15" t="s">
        <v>282</v>
      </c>
      <c r="C7" s="16" t="s">
        <v>169</v>
      </c>
      <c r="D7" s="60"/>
      <c r="E7" s="61">
        <v>1</v>
      </c>
      <c r="F7" s="16">
        <f>+'FACTOR PRESTACIONAL'!K12+'FACTOR PRESTACIONAL'!K13+'FACTOR PRESTACIONAL'!K14</f>
        <v>451664.66403662588</v>
      </c>
      <c r="G7" s="17">
        <f>+ROUND((1+D7)*E7*F7,0)</f>
        <v>451665</v>
      </c>
    </row>
    <row r="8" spans="1:7" ht="17.25" thickBot="1" x14ac:dyDescent="0.35">
      <c r="A8" s="1"/>
      <c r="B8" s="55" t="s">
        <v>283</v>
      </c>
      <c r="C8" s="56"/>
      <c r="D8" s="56"/>
      <c r="E8" s="57"/>
      <c r="F8" s="58"/>
      <c r="G8" s="59"/>
    </row>
    <row r="9" spans="1:7" ht="17.25" thickBot="1" x14ac:dyDescent="0.35">
      <c r="A9" s="1"/>
      <c r="B9" s="15" t="s">
        <v>284</v>
      </c>
      <c r="C9" s="16" t="s">
        <v>285</v>
      </c>
      <c r="D9" s="60"/>
      <c r="E9" s="61">
        <v>1</v>
      </c>
      <c r="F9" s="16">
        <v>70000</v>
      </c>
      <c r="G9" s="17">
        <f>+ROUND((1+D9)*E9*F9,0)</f>
        <v>70000</v>
      </c>
    </row>
    <row r="10" spans="1:7" ht="17.25" thickBot="1" x14ac:dyDescent="0.35">
      <c r="A10" s="1"/>
      <c r="B10" s="62" t="s">
        <v>286</v>
      </c>
      <c r="C10" s="5"/>
      <c r="D10" s="5"/>
      <c r="E10" s="6"/>
      <c r="F10" s="63"/>
      <c r="G10" s="64"/>
    </row>
    <row r="11" spans="1:7" ht="17.25" thickBot="1" x14ac:dyDescent="0.35">
      <c r="A11" s="1"/>
      <c r="B11" s="38" t="s">
        <v>286</v>
      </c>
      <c r="C11" s="47" t="s">
        <v>124</v>
      </c>
      <c r="D11" s="45"/>
      <c r="E11" s="46">
        <v>0.05</v>
      </c>
      <c r="F11" s="41">
        <f>F7</f>
        <v>451664.66403662588</v>
      </c>
      <c r="G11" s="40">
        <f>+ROUND(E11*F11,0)</f>
        <v>22583</v>
      </c>
    </row>
    <row r="12" spans="1:7" ht="17.25" thickBot="1" x14ac:dyDescent="0.35">
      <c r="A12" s="1"/>
      <c r="B12" s="2"/>
      <c r="C12" s="39"/>
      <c r="D12" s="18" t="s">
        <v>287</v>
      </c>
      <c r="E12" s="19"/>
      <c r="F12" s="20"/>
      <c r="G12" s="17">
        <f>SUM(G3:G11)</f>
        <v>583075</v>
      </c>
    </row>
    <row r="13" spans="1:7" hidden="1" x14ac:dyDescent="0.3">
      <c r="A13" s="1" t="s">
        <v>288</v>
      </c>
      <c r="B13" s="2"/>
      <c r="C13" s="3"/>
      <c r="D13" s="21" t="s">
        <v>289</v>
      </c>
      <c r="E13" s="22"/>
      <c r="F13" s="23">
        <v>0.25</v>
      </c>
      <c r="G13" s="24">
        <f>+ROUND(G12*F13,0)</f>
        <v>145769</v>
      </c>
    </row>
    <row r="14" spans="1:7" hidden="1" x14ac:dyDescent="0.3">
      <c r="A14" s="1"/>
      <c r="B14" s="2"/>
      <c r="C14" s="3"/>
      <c r="D14" s="25" t="s">
        <v>290</v>
      </c>
      <c r="E14" s="26"/>
      <c r="F14" s="27">
        <f>AU!$I$48</f>
        <v>0</v>
      </c>
      <c r="G14" s="14">
        <f>+ROUND(G12*F14,0)</f>
        <v>0</v>
      </c>
    </row>
    <row r="15" spans="1:7" ht="17.25" hidden="1" thickBot="1" x14ac:dyDescent="0.35">
      <c r="A15" s="1"/>
      <c r="B15" s="2"/>
      <c r="C15" s="3"/>
      <c r="D15" s="25" t="s">
        <v>291</v>
      </c>
      <c r="E15" s="26"/>
      <c r="F15" s="28">
        <v>0.05</v>
      </c>
      <c r="G15" s="14">
        <f>+ROUND(G12*F15,0)</f>
        <v>29154</v>
      </c>
    </row>
    <row r="16" spans="1:7" ht="17.25" hidden="1" thickBot="1" x14ac:dyDescent="0.35">
      <c r="A16" s="1"/>
      <c r="B16" s="2"/>
      <c r="C16" s="3"/>
      <c r="D16" s="18" t="s">
        <v>10</v>
      </c>
      <c r="E16" s="29"/>
      <c r="F16" s="20"/>
      <c r="G16" s="17">
        <f>SUM(G12:G15)</f>
        <v>757998</v>
      </c>
    </row>
    <row r="17" spans="1:7" ht="17.25" thickBot="1" x14ac:dyDescent="0.35"/>
    <row r="18" spans="1:7" ht="33.75" thickBot="1" x14ac:dyDescent="0.35">
      <c r="A18" s="358">
        <f>PPTO!B10</f>
        <v>1.2</v>
      </c>
      <c r="B18" s="359" t="str">
        <f>VLOOKUP(A18,PPTO!$B$8:$D$94,2,0)</f>
        <v>Excavación mecanica de capa organica Incluye: (Excavacion mecanica, cargue y votada de material sobrante a la escombrera)</v>
      </c>
      <c r="C18" s="360" t="s">
        <v>85</v>
      </c>
      <c r="D18" s="361" t="s">
        <v>274</v>
      </c>
      <c r="E18" s="362" t="s">
        <v>275</v>
      </c>
      <c r="F18" s="360" t="s">
        <v>276</v>
      </c>
      <c r="G18" s="363" t="s">
        <v>277</v>
      </c>
    </row>
    <row r="19" spans="1:7" ht="17.25" thickBot="1" x14ac:dyDescent="0.35">
      <c r="A19" s="1"/>
      <c r="B19" s="51" t="s">
        <v>278</v>
      </c>
      <c r="C19" s="43"/>
      <c r="D19" s="43"/>
      <c r="E19" s="44"/>
      <c r="F19" s="52"/>
      <c r="G19" s="7"/>
    </row>
    <row r="20" spans="1:7" x14ac:dyDescent="0.3">
      <c r="A20" s="1"/>
      <c r="B20" s="66" t="s">
        <v>292</v>
      </c>
      <c r="C20" s="34" t="str">
        <f>VLOOKUP(B20,INSUMOS!$B$2:$D$299,2,0)</f>
        <v>HR</v>
      </c>
      <c r="D20" s="8"/>
      <c r="E20" s="364">
        <v>0.2</v>
      </c>
      <c r="F20" s="53">
        <f>VLOOKUP(B20,INSUMOS!$B$2:$D$299,3,0)</f>
        <v>160000</v>
      </c>
      <c r="G20" s="10">
        <f>+ROUND((1+D20)*E20*F20,0)</f>
        <v>32000</v>
      </c>
    </row>
    <row r="21" spans="1:7" x14ac:dyDescent="0.3">
      <c r="A21" s="1"/>
      <c r="B21" s="42" t="s">
        <v>293</v>
      </c>
      <c r="C21" s="35" t="str">
        <f>VLOOKUP(B21,INSUMOS!$B$2:$D$299,2,0)</f>
        <v>M3</v>
      </c>
      <c r="D21" s="11"/>
      <c r="E21" s="12">
        <v>1</v>
      </c>
      <c r="F21" s="54">
        <f>VLOOKUP(B21,INSUMOS!$B$2:$D$299,3,0)</f>
        <v>6187.5000000000009</v>
      </c>
      <c r="G21" s="13">
        <f>+ROUND((1+D21)*E21*F21,0)</f>
        <v>6188</v>
      </c>
    </row>
    <row r="22" spans="1:7" ht="17.25" thickBot="1" x14ac:dyDescent="0.35">
      <c r="A22" s="1"/>
      <c r="B22" s="36"/>
      <c r="C22" s="37"/>
      <c r="D22" s="30"/>
      <c r="E22" s="31"/>
      <c r="F22" s="33"/>
      <c r="G22" s="32">
        <f>+ROUND((1+D22)*E22*F22,0)</f>
        <v>0</v>
      </c>
    </row>
    <row r="23" spans="1:7" ht="17.25" thickBot="1" x14ac:dyDescent="0.35">
      <c r="A23" s="1"/>
      <c r="B23" s="55" t="s">
        <v>281</v>
      </c>
      <c r="C23" s="56"/>
      <c r="D23" s="56"/>
      <c r="E23" s="57"/>
      <c r="F23" s="58"/>
      <c r="G23" s="59"/>
    </row>
    <row r="24" spans="1:7" ht="17.25" thickBot="1" x14ac:dyDescent="0.35">
      <c r="A24" s="1"/>
      <c r="B24" s="15" t="s">
        <v>294</v>
      </c>
      <c r="C24" s="16" t="s">
        <v>169</v>
      </c>
      <c r="D24" s="60"/>
      <c r="E24" s="61">
        <v>1</v>
      </c>
      <c r="F24" s="16">
        <f>+'FACTOR PRESTACIONAL'!L10*2</f>
        <v>25098.246966666669</v>
      </c>
      <c r="G24" s="17">
        <f>+ROUND((1+D24)*E24*F24,0)</f>
        <v>25098</v>
      </c>
    </row>
    <row r="25" spans="1:7" ht="17.25" thickBot="1" x14ac:dyDescent="0.35">
      <c r="A25" s="1"/>
      <c r="B25" s="55" t="s">
        <v>283</v>
      </c>
      <c r="C25" s="56"/>
      <c r="D25" s="56"/>
      <c r="E25" s="57"/>
      <c r="F25" s="58"/>
      <c r="G25" s="59"/>
    </row>
    <row r="26" spans="1:7" ht="17.25" thickBot="1" x14ac:dyDescent="0.35">
      <c r="A26" s="1"/>
      <c r="B26" s="15" t="s">
        <v>295</v>
      </c>
      <c r="C26" s="16" t="s">
        <v>169</v>
      </c>
      <c r="D26" s="60"/>
      <c r="E26" s="61">
        <v>1</v>
      </c>
      <c r="F26" s="16">
        <f>350000/7</f>
        <v>50000</v>
      </c>
      <c r="G26" s="17">
        <f>+ROUND((1+D26)*E26*F26,0)</f>
        <v>50000</v>
      </c>
    </row>
    <row r="27" spans="1:7" ht="17.25" thickBot="1" x14ac:dyDescent="0.35">
      <c r="A27" s="1"/>
      <c r="B27" s="62" t="s">
        <v>286</v>
      </c>
      <c r="C27" s="5"/>
      <c r="D27" s="5"/>
      <c r="E27" s="6"/>
      <c r="F27" s="63"/>
      <c r="G27" s="64"/>
    </row>
    <row r="28" spans="1:7" ht="17.25" thickBot="1" x14ac:dyDescent="0.35">
      <c r="A28" s="1"/>
      <c r="B28" s="38" t="s">
        <v>286</v>
      </c>
      <c r="C28" s="47" t="s">
        <v>124</v>
      </c>
      <c r="D28" s="45"/>
      <c r="E28" s="46">
        <v>0.05</v>
      </c>
      <c r="F28" s="41">
        <f>G24</f>
        <v>25098</v>
      </c>
      <c r="G28" s="40">
        <f>+ROUND(E28*F28,0)</f>
        <v>1255</v>
      </c>
    </row>
    <row r="29" spans="1:7" ht="17.25" thickBot="1" x14ac:dyDescent="0.35">
      <c r="A29" s="1"/>
      <c r="B29" s="2"/>
      <c r="C29" s="39"/>
      <c r="D29" s="18" t="s">
        <v>287</v>
      </c>
      <c r="E29" s="19"/>
      <c r="F29" s="20"/>
      <c r="G29" s="17">
        <f>SUM(G20:G28)</f>
        <v>114541</v>
      </c>
    </row>
    <row r="30" spans="1:7" hidden="1" x14ac:dyDescent="0.3">
      <c r="A30" s="1"/>
      <c r="B30" s="2"/>
      <c r="C30" s="3"/>
      <c r="D30" s="21" t="s">
        <v>289</v>
      </c>
      <c r="E30" s="22"/>
      <c r="F30" s="23">
        <f>+F13</f>
        <v>0.25</v>
      </c>
      <c r="G30" s="24">
        <f>+ROUND(G29*F30,0)</f>
        <v>28635</v>
      </c>
    </row>
    <row r="31" spans="1:7" hidden="1" x14ac:dyDescent="0.3">
      <c r="A31" s="1"/>
      <c r="B31" s="2"/>
      <c r="C31" s="3"/>
      <c r="D31" s="25" t="s">
        <v>290</v>
      </c>
      <c r="E31" s="26"/>
      <c r="F31" s="27">
        <f>+F14</f>
        <v>0</v>
      </c>
      <c r="G31" s="14">
        <f>+ROUND(G29*F31,0)</f>
        <v>0</v>
      </c>
    </row>
    <row r="32" spans="1:7" ht="17.25" hidden="1" thickBot="1" x14ac:dyDescent="0.35">
      <c r="A32" s="1"/>
      <c r="B32" s="2"/>
      <c r="C32" s="3"/>
      <c r="D32" s="25" t="s">
        <v>291</v>
      </c>
      <c r="E32" s="26"/>
      <c r="F32" s="28">
        <f>+F15</f>
        <v>0.05</v>
      </c>
      <c r="G32" s="14">
        <f>+ROUND(G29*F32,0)</f>
        <v>5727</v>
      </c>
    </row>
    <row r="33" spans="1:7" ht="17.25" hidden="1" thickBot="1" x14ac:dyDescent="0.35">
      <c r="A33" s="1"/>
      <c r="B33" s="2"/>
      <c r="C33" s="3"/>
      <c r="D33" s="18" t="s">
        <v>10</v>
      </c>
      <c r="E33" s="29"/>
      <c r="F33" s="20"/>
      <c r="G33" s="17">
        <f>SUM(G29:G32)</f>
        <v>148903</v>
      </c>
    </row>
    <row r="34" spans="1:7" ht="17.25" thickBot="1" x14ac:dyDescent="0.35"/>
    <row r="35" spans="1:7" ht="90" customHeight="1" thickBot="1" x14ac:dyDescent="0.35">
      <c r="A35" s="358">
        <f>PPTO!B11</f>
        <v>1.3</v>
      </c>
      <c r="B35" s="359" t="str">
        <f>VLOOKUP(A35,PPTO!$B$8:$D$94,2,0)</f>
        <v>Instalación de CERRAMIENTO PROVISIONAL en tela verde con una altura de 2,1 m. Incluye suministro, transporte, instalación y desmonte de la tela y estructura en larguero común, excavación manual en cualquier material y todos los demás elementos necesarios para su correcta instalación.</v>
      </c>
      <c r="C35" s="360" t="s">
        <v>85</v>
      </c>
      <c r="D35" s="361" t="s">
        <v>274</v>
      </c>
      <c r="E35" s="362" t="s">
        <v>275</v>
      </c>
      <c r="F35" s="360" t="s">
        <v>276</v>
      </c>
      <c r="G35" s="363" t="s">
        <v>277</v>
      </c>
    </row>
    <row r="36" spans="1:7" ht="17.25" thickBot="1" x14ac:dyDescent="0.35">
      <c r="A36" s="1"/>
      <c r="B36" s="51" t="s">
        <v>278</v>
      </c>
      <c r="C36" s="43"/>
      <c r="D36" s="43"/>
      <c r="E36" s="44"/>
      <c r="F36" s="52"/>
      <c r="G36" s="7"/>
    </row>
    <row r="37" spans="1:7" ht="17.25" thickBot="1" x14ac:dyDescent="0.35">
      <c r="A37" s="1"/>
      <c r="B37" s="119" t="s">
        <v>296</v>
      </c>
      <c r="C37" s="116" t="str">
        <f>VLOOKUP(B37,INSUMOS!$B$2:$D$299,2,0)</f>
        <v>und</v>
      </c>
      <c r="D37" s="8"/>
      <c r="E37" s="9">
        <v>0.5</v>
      </c>
      <c r="F37" s="53">
        <f>VLOOKUP(B37,INSUMOS!$B$2:$D$299,3,0)</f>
        <v>17000</v>
      </c>
      <c r="G37" s="10">
        <f>+ROUND((1+D37)*E37*F37,0)</f>
        <v>8500</v>
      </c>
    </row>
    <row r="38" spans="1:7" ht="17.25" thickBot="1" x14ac:dyDescent="0.35">
      <c r="A38" s="1"/>
      <c r="B38" s="119" t="s">
        <v>297</v>
      </c>
      <c r="C38" s="117" t="str">
        <f>VLOOKUP(B38,INSUMOS!$B$2:$D$299,2,0)</f>
        <v>und</v>
      </c>
      <c r="D38" s="11"/>
      <c r="E38" s="12">
        <f>1.5/50</f>
        <v>0.03</v>
      </c>
      <c r="F38" s="54">
        <f>VLOOKUP(B38,INSUMOS!$B$2:$D$299,3,0)</f>
        <v>238000</v>
      </c>
      <c r="G38" s="13">
        <f>+ROUND((1+D38)*E38*F38,0)</f>
        <v>7140</v>
      </c>
    </row>
    <row r="39" spans="1:7" ht="21.75" customHeight="1" thickBot="1" x14ac:dyDescent="0.35">
      <c r="A39" s="1"/>
      <c r="B39" s="119" t="s">
        <v>298</v>
      </c>
      <c r="C39" s="118" t="str">
        <f>VLOOKUP(B39,INSUMOS!$B$2:$D$299,2,0)</f>
        <v>M3</v>
      </c>
      <c r="D39" s="30"/>
      <c r="E39" s="31">
        <f>0.2*0.2*0.2</f>
        <v>8.0000000000000019E-3</v>
      </c>
      <c r="F39" s="33">
        <f>VLOOKUP(B39,INSUMOS!$B$2:$D$299,3,0)</f>
        <v>391965</v>
      </c>
      <c r="G39" s="32">
        <f>+ROUND((1+D39)*E39*F39,0)</f>
        <v>3136</v>
      </c>
    </row>
    <row r="40" spans="1:7" ht="17.25" thickBot="1" x14ac:dyDescent="0.35">
      <c r="A40" s="1"/>
      <c r="B40" s="55" t="s">
        <v>281</v>
      </c>
      <c r="C40" s="56"/>
      <c r="D40" s="56"/>
      <c r="E40" s="57"/>
      <c r="F40" s="58"/>
      <c r="G40" s="59"/>
    </row>
    <row r="41" spans="1:7" ht="17.25" thickBot="1" x14ac:dyDescent="0.35">
      <c r="A41" s="1"/>
      <c r="B41" s="15" t="s">
        <v>299</v>
      </c>
      <c r="C41" s="16" t="s">
        <v>100</v>
      </c>
      <c r="D41" s="60"/>
      <c r="E41" s="61">
        <v>0.08</v>
      </c>
      <c r="F41" s="16">
        <f>+'FACTOR PRESTACIONAL'!K10*2</f>
        <v>200785.97573333335</v>
      </c>
      <c r="G41" s="17">
        <f>+ROUND((1+D41)*E41*F41,0)</f>
        <v>16063</v>
      </c>
    </row>
    <row r="42" spans="1:7" ht="17.25" thickBot="1" x14ac:dyDescent="0.35">
      <c r="A42" s="1"/>
      <c r="B42" s="55" t="s">
        <v>283</v>
      </c>
      <c r="C42" s="56"/>
      <c r="D42" s="56"/>
      <c r="E42" s="57"/>
      <c r="F42" s="58"/>
      <c r="G42" s="59"/>
    </row>
    <row r="43" spans="1:7" ht="17.25" thickBot="1" x14ac:dyDescent="0.35">
      <c r="A43" s="1"/>
      <c r="B43" s="15" t="s">
        <v>300</v>
      </c>
      <c r="C43" s="16" t="s">
        <v>169</v>
      </c>
      <c r="D43" s="60"/>
      <c r="E43" s="61">
        <v>1</v>
      </c>
      <c r="F43" s="16">
        <v>1500</v>
      </c>
      <c r="G43" s="17">
        <f>+ROUND((1+D43)*E43*F43,0)</f>
        <v>1500</v>
      </c>
    </row>
    <row r="44" spans="1:7" ht="17.25" thickBot="1" x14ac:dyDescent="0.35">
      <c r="A44" s="1"/>
      <c r="B44" s="62" t="s">
        <v>286</v>
      </c>
      <c r="C44" s="5"/>
      <c r="D44" s="5"/>
      <c r="E44" s="6"/>
      <c r="F44" s="63"/>
      <c r="G44" s="64"/>
    </row>
    <row r="45" spans="1:7" ht="17.25" thickBot="1" x14ac:dyDescent="0.35">
      <c r="A45" s="1"/>
      <c r="B45" s="38" t="s">
        <v>286</v>
      </c>
      <c r="C45" s="47" t="s">
        <v>124</v>
      </c>
      <c r="D45" s="45"/>
      <c r="E45" s="46">
        <v>0.05</v>
      </c>
      <c r="F45" s="41">
        <f>G41</f>
        <v>16063</v>
      </c>
      <c r="G45" s="40">
        <f>+ROUND(E45*F45,0)</f>
        <v>803</v>
      </c>
    </row>
    <row r="46" spans="1:7" ht="17.25" thickBot="1" x14ac:dyDescent="0.35">
      <c r="A46" s="1"/>
      <c r="B46" s="2"/>
      <c r="C46" s="39"/>
      <c r="D46" s="18" t="s">
        <v>287</v>
      </c>
      <c r="E46" s="19"/>
      <c r="F46" s="20"/>
      <c r="G46" s="17">
        <f>SUM(G37:G45)</f>
        <v>37142</v>
      </c>
    </row>
    <row r="47" spans="1:7" hidden="1" x14ac:dyDescent="0.3">
      <c r="A47" s="1"/>
      <c r="B47" s="2"/>
      <c r="C47" s="3"/>
      <c r="D47" s="21" t="s">
        <v>289</v>
      </c>
      <c r="E47" s="22"/>
      <c r="F47" s="23">
        <f>+F30</f>
        <v>0.25</v>
      </c>
      <c r="G47" s="24">
        <f>+ROUND(G46*F47,0)</f>
        <v>9286</v>
      </c>
    </row>
    <row r="48" spans="1:7" hidden="1" x14ac:dyDescent="0.3">
      <c r="A48" s="1"/>
      <c r="B48" s="2"/>
      <c r="C48" s="3"/>
      <c r="D48" s="25" t="s">
        <v>290</v>
      </c>
      <c r="E48" s="26"/>
      <c r="F48" s="27">
        <f>AU!$I$48</f>
        <v>0</v>
      </c>
      <c r="G48" s="14">
        <f>+ROUND(G46*F48,0)</f>
        <v>0</v>
      </c>
    </row>
    <row r="49" spans="1:7" ht="17.25" hidden="1" thickBot="1" x14ac:dyDescent="0.35">
      <c r="A49" s="1"/>
      <c r="B49" s="2"/>
      <c r="C49" s="3"/>
      <c r="D49" s="25" t="s">
        <v>291</v>
      </c>
      <c r="E49" s="26"/>
      <c r="F49" s="28">
        <f>+F32</f>
        <v>0.05</v>
      </c>
      <c r="G49" s="14">
        <f>+ROUND(G46*F49,0)</f>
        <v>1857</v>
      </c>
    </row>
    <row r="50" spans="1:7" ht="17.25" hidden="1" thickBot="1" x14ac:dyDescent="0.35">
      <c r="A50" s="1"/>
      <c r="B50" s="2"/>
      <c r="C50" s="3"/>
      <c r="D50" s="18" t="s">
        <v>10</v>
      </c>
      <c r="E50" s="29"/>
      <c r="F50" s="20"/>
      <c r="G50" s="17">
        <f>SUM(G46:G49)</f>
        <v>48285</v>
      </c>
    </row>
    <row r="51" spans="1:7" ht="17.25" thickBot="1" x14ac:dyDescent="0.35"/>
    <row r="52" spans="1:7" ht="50.25" thickBot="1" x14ac:dyDescent="0.35">
      <c r="A52" s="358">
        <f>PPTO!B13</f>
        <v>2.1</v>
      </c>
      <c r="B52" s="359" t="str">
        <f>VLOOKUP(A52,PPTO!$B$8:$D$94,2,0)</f>
        <v xml:space="preserve">EXCAVACIÓN de material heterogéneo DE 0-2 m., bajo cualquier grado de humedad. Incluye: roca descompuesta, bolas de roca de volumen inferior a 0.035 m³. Incluye botada </v>
      </c>
      <c r="C52" s="360" t="s">
        <v>85</v>
      </c>
      <c r="D52" s="361" t="s">
        <v>274</v>
      </c>
      <c r="E52" s="362" t="s">
        <v>275</v>
      </c>
      <c r="F52" s="360" t="s">
        <v>276</v>
      </c>
      <c r="G52" s="363" t="s">
        <v>277</v>
      </c>
    </row>
    <row r="53" spans="1:7" x14ac:dyDescent="0.3">
      <c r="A53" s="1"/>
      <c r="B53" s="51" t="s">
        <v>278</v>
      </c>
      <c r="C53" s="43"/>
      <c r="D53" s="43"/>
      <c r="E53" s="44"/>
      <c r="F53" s="52"/>
      <c r="G53" s="7"/>
    </row>
    <row r="54" spans="1:7" x14ac:dyDescent="0.3">
      <c r="A54" s="1"/>
      <c r="B54" s="68"/>
      <c r="C54" s="54"/>
      <c r="D54" s="11"/>
      <c r="E54" s="12"/>
      <c r="F54" s="54"/>
      <c r="G54" s="13"/>
    </row>
    <row r="55" spans="1:7" x14ac:dyDescent="0.3">
      <c r="A55" s="1"/>
      <c r="B55" s="68"/>
      <c r="C55" s="54"/>
      <c r="D55" s="11"/>
      <c r="E55" s="12"/>
      <c r="F55" s="54"/>
      <c r="G55" s="13"/>
    </row>
    <row r="56" spans="1:7" x14ac:dyDescent="0.3">
      <c r="A56" s="1"/>
      <c r="B56" s="68"/>
      <c r="C56" s="54"/>
      <c r="D56" s="11"/>
      <c r="E56" s="12"/>
      <c r="F56" s="54"/>
      <c r="G56" s="13"/>
    </row>
    <row r="57" spans="1:7" x14ac:dyDescent="0.3">
      <c r="A57" s="1"/>
      <c r="B57" s="68"/>
      <c r="C57" s="54"/>
      <c r="D57" s="11"/>
      <c r="E57" s="12"/>
      <c r="F57" s="54"/>
      <c r="G57" s="13"/>
    </row>
    <row r="58" spans="1:7" ht="17.25" thickBot="1" x14ac:dyDescent="0.35">
      <c r="A58" s="1"/>
      <c r="B58" s="120"/>
      <c r="C58" s="33"/>
      <c r="D58" s="30"/>
      <c r="E58" s="31"/>
      <c r="F58" s="33"/>
      <c r="G58" s="32"/>
    </row>
    <row r="59" spans="1:7" ht="17.25" thickBot="1" x14ac:dyDescent="0.35">
      <c r="A59" s="1"/>
      <c r="B59" s="55" t="s">
        <v>281</v>
      </c>
      <c r="C59" s="56"/>
      <c r="D59" s="56"/>
      <c r="E59" s="57"/>
      <c r="F59" s="58"/>
      <c r="G59" s="59"/>
    </row>
    <row r="60" spans="1:7" ht="17.25" thickBot="1" x14ac:dyDescent="0.35">
      <c r="A60" s="1"/>
      <c r="B60" s="15" t="s">
        <v>301</v>
      </c>
      <c r="C60" s="16" t="s">
        <v>302</v>
      </c>
      <c r="D60" s="60"/>
      <c r="E60" s="61">
        <f>1/3.5</f>
        <v>0.2857142857142857</v>
      </c>
      <c r="F60" s="16">
        <f>+'FACTOR PRESTACIONAL'!K10*2</f>
        <v>200785.97573333335</v>
      </c>
      <c r="G60" s="17">
        <f>+ROUND((1+D60)*E60*F60,0)</f>
        <v>57367</v>
      </c>
    </row>
    <row r="61" spans="1:7" ht="17.25" thickBot="1" x14ac:dyDescent="0.35">
      <c r="A61" s="1"/>
      <c r="B61" s="55" t="s">
        <v>283</v>
      </c>
      <c r="C61" s="56"/>
      <c r="D61" s="56"/>
      <c r="E61" s="57"/>
      <c r="F61" s="58"/>
      <c r="G61" s="59"/>
    </row>
    <row r="62" spans="1:7" ht="17.25" thickBot="1" x14ac:dyDescent="0.35">
      <c r="A62" s="1"/>
      <c r="B62" s="15" t="s">
        <v>303</v>
      </c>
      <c r="C62" s="16" t="s">
        <v>304</v>
      </c>
      <c r="D62" s="60"/>
      <c r="E62" s="61">
        <v>1</v>
      </c>
      <c r="F62" s="16">
        <v>13000</v>
      </c>
      <c r="G62" s="17">
        <f>+ROUND((1+D62)*E62*F62,0)</f>
        <v>13000</v>
      </c>
    </row>
    <row r="63" spans="1:7" ht="17.25" thickBot="1" x14ac:dyDescent="0.35">
      <c r="A63" s="1"/>
      <c r="B63" s="62" t="s">
        <v>286</v>
      </c>
      <c r="C63" s="5"/>
      <c r="D63" s="5"/>
      <c r="E63" s="6"/>
      <c r="F63" s="63"/>
      <c r="G63" s="64"/>
    </row>
    <row r="64" spans="1:7" ht="17.25" thickBot="1" x14ac:dyDescent="0.35">
      <c r="A64" s="1"/>
      <c r="B64" s="38" t="s">
        <v>286</v>
      </c>
      <c r="C64" s="47" t="s">
        <v>124</v>
      </c>
      <c r="D64" s="45"/>
      <c r="E64" s="46">
        <v>0.05</v>
      </c>
      <c r="F64" s="41">
        <f>G60</f>
        <v>57367</v>
      </c>
      <c r="G64" s="40">
        <f>+ROUND(E64*F64,0)</f>
        <v>2868</v>
      </c>
    </row>
    <row r="65" spans="1:7" ht="17.25" thickBot="1" x14ac:dyDescent="0.35">
      <c r="A65" s="1"/>
      <c r="B65" s="2"/>
      <c r="C65" s="39"/>
      <c r="D65" s="18" t="s">
        <v>287</v>
      </c>
      <c r="E65" s="19"/>
      <c r="F65" s="20"/>
      <c r="G65" s="17">
        <f>SUM(G54:G64)</f>
        <v>73235</v>
      </c>
    </row>
    <row r="66" spans="1:7" hidden="1" x14ac:dyDescent="0.3">
      <c r="A66" s="1"/>
      <c r="B66" s="2"/>
      <c r="C66" s="3"/>
      <c r="D66" s="21" t="s">
        <v>289</v>
      </c>
      <c r="E66" s="22"/>
      <c r="F66" s="23">
        <f>+F47</f>
        <v>0.25</v>
      </c>
      <c r="G66" s="24">
        <f>+ROUND(G65*F66,0)</f>
        <v>18309</v>
      </c>
    </row>
    <row r="67" spans="1:7" hidden="1" x14ac:dyDescent="0.3">
      <c r="A67" s="1"/>
      <c r="B67" s="2"/>
      <c r="C67" s="3"/>
      <c r="D67" s="25" t="s">
        <v>290</v>
      </c>
      <c r="E67" s="26"/>
      <c r="F67" s="27">
        <f>+F48</f>
        <v>0</v>
      </c>
      <c r="G67" s="14">
        <f>+ROUND(G65*F67,0)</f>
        <v>0</v>
      </c>
    </row>
    <row r="68" spans="1:7" ht="17.25" hidden="1" thickBot="1" x14ac:dyDescent="0.35">
      <c r="A68" s="1"/>
      <c r="B68" s="2"/>
      <c r="C68" s="3"/>
      <c r="D68" s="25" t="s">
        <v>291</v>
      </c>
      <c r="E68" s="26"/>
      <c r="F68" s="28">
        <f>+F49</f>
        <v>0.05</v>
      </c>
      <c r="G68" s="14">
        <f>+ROUND(G65*F68,0)</f>
        <v>3662</v>
      </c>
    </row>
    <row r="69" spans="1:7" ht="17.25" hidden="1" thickBot="1" x14ac:dyDescent="0.35">
      <c r="A69" s="1"/>
      <c r="B69" s="2"/>
      <c r="C69" s="3"/>
      <c r="D69" s="18" t="s">
        <v>10</v>
      </c>
      <c r="E69" s="29"/>
      <c r="F69" s="20"/>
      <c r="G69" s="17">
        <f>SUM(G65:G68)</f>
        <v>95206</v>
      </c>
    </row>
    <row r="70" spans="1:7" ht="17.25" thickBot="1" x14ac:dyDescent="0.35"/>
    <row r="71" spans="1:7" ht="83.25" thickBot="1" x14ac:dyDescent="0.35">
      <c r="A71" s="358">
        <f>PPTO!B14</f>
        <v>2.2000000000000002</v>
      </c>
      <c r="B71" s="359" t="str">
        <f>VLOOKUP(A71,PPTO!$B$8:$D$94,2,0)</f>
        <v>LLENOS CON MATERIAL DE PRESTAMO, compactados mecánicamente hasta obtener una densidad del 98% de la máxima obtenida en el ensayo del Próctor modificado. Incluye el suministro, transporte, colocación de la arenilla, la compactación de la misma y transporte interno. Y su medida será en sitio ya compactado.</v>
      </c>
      <c r="C71" s="360" t="s">
        <v>85</v>
      </c>
      <c r="D71" s="361" t="s">
        <v>274</v>
      </c>
      <c r="E71" s="362" t="s">
        <v>275</v>
      </c>
      <c r="F71" s="360" t="s">
        <v>276</v>
      </c>
      <c r="G71" s="363" t="s">
        <v>277</v>
      </c>
    </row>
    <row r="72" spans="1:7" x14ac:dyDescent="0.3">
      <c r="A72" s="1"/>
      <c r="B72" s="51" t="s">
        <v>278</v>
      </c>
      <c r="C72" s="43"/>
      <c r="D72" s="43"/>
      <c r="E72" s="44"/>
      <c r="F72" s="52"/>
      <c r="G72" s="7"/>
    </row>
    <row r="73" spans="1:7" x14ac:dyDescent="0.3">
      <c r="A73" s="1"/>
      <c r="B73" s="68" t="s">
        <v>305</v>
      </c>
      <c r="C73" s="54" t="str">
        <f>VLOOKUP(B73,INSUMOS!$B$2:$D$299,2,0)</f>
        <v>M3</v>
      </c>
      <c r="D73" s="11"/>
      <c r="E73" s="12">
        <v>1.3</v>
      </c>
      <c r="F73" s="54">
        <f>VLOOKUP(B73,INSUMOS!$B$2:$D$299,3,0)</f>
        <v>58500</v>
      </c>
      <c r="G73" s="13">
        <f>+ROUND((1+D73)*E73*F73,0)</f>
        <v>76050</v>
      </c>
    </row>
    <row r="74" spans="1:7" x14ac:dyDescent="0.3">
      <c r="A74" s="1"/>
      <c r="B74" s="68" t="s">
        <v>306</v>
      </c>
      <c r="C74" s="54" t="str">
        <f>VLOOKUP(B74,INSUMOS!$B$2:$D$562,2,0)</f>
        <v>hr</v>
      </c>
      <c r="D74" s="11"/>
      <c r="E74" s="12">
        <v>1</v>
      </c>
      <c r="F74" s="54">
        <f>VLOOKUP(B74,INSUMOS!$B$2:$D$562,3,0)</f>
        <v>10000</v>
      </c>
      <c r="G74" s="13">
        <f>+ROUND((1+D74)*E74*F74,0)</f>
        <v>10000</v>
      </c>
    </row>
    <row r="75" spans="1:7" x14ac:dyDescent="0.3">
      <c r="A75" s="1"/>
      <c r="B75" s="68"/>
      <c r="C75" s="54"/>
      <c r="D75" s="11"/>
      <c r="E75" s="12"/>
      <c r="F75" s="54"/>
      <c r="G75" s="13">
        <f>+ROUND((1+D75)*E75*F75,0)</f>
        <v>0</v>
      </c>
    </row>
    <row r="76" spans="1:7" ht="17.25" thickBot="1" x14ac:dyDescent="0.35">
      <c r="A76" s="1"/>
      <c r="B76" s="55" t="s">
        <v>281</v>
      </c>
      <c r="C76" s="56"/>
      <c r="D76" s="56"/>
      <c r="E76" s="57"/>
      <c r="F76" s="58"/>
      <c r="G76" s="59"/>
    </row>
    <row r="77" spans="1:7" ht="17.25" thickBot="1" x14ac:dyDescent="0.35">
      <c r="A77" s="1"/>
      <c r="B77" s="15" t="s">
        <v>307</v>
      </c>
      <c r="C77" s="16" t="s">
        <v>308</v>
      </c>
      <c r="D77" s="60"/>
      <c r="E77" s="61">
        <v>1</v>
      </c>
      <c r="F77" s="16">
        <f>+'FACTOR PRESTACIONAL'!L9+'FACTOR PRESTACIONAL'!L10</f>
        <v>34050.787165828959</v>
      </c>
      <c r="G77" s="17">
        <f>+ROUND((1+D77)*E77*F77,0)</f>
        <v>34051</v>
      </c>
    </row>
    <row r="78" spans="1:7" ht="17.25" thickBot="1" x14ac:dyDescent="0.35">
      <c r="A78" s="1"/>
      <c r="B78" s="55" t="s">
        <v>283</v>
      </c>
      <c r="C78" s="56"/>
      <c r="D78" s="56"/>
      <c r="E78" s="57"/>
      <c r="F78" s="58"/>
      <c r="G78" s="59"/>
    </row>
    <row r="79" spans="1:7" ht="17.25" thickBot="1" x14ac:dyDescent="0.35">
      <c r="A79" s="1"/>
      <c r="B79" s="15" t="s">
        <v>303</v>
      </c>
      <c r="C79" s="16" t="s">
        <v>304</v>
      </c>
      <c r="D79" s="60"/>
      <c r="E79" s="61">
        <v>1</v>
      </c>
      <c r="F79" s="16">
        <v>13000</v>
      </c>
      <c r="G79" s="17">
        <f>+ROUND((1+D79)*E79*F79,0)</f>
        <v>13000</v>
      </c>
    </row>
    <row r="80" spans="1:7" ht="17.25" thickBot="1" x14ac:dyDescent="0.35">
      <c r="A80" s="1"/>
      <c r="B80" s="62" t="s">
        <v>286</v>
      </c>
      <c r="C80" s="5"/>
      <c r="D80" s="5"/>
      <c r="E80" s="6"/>
      <c r="F80" s="63"/>
      <c r="G80" s="64"/>
    </row>
    <row r="81" spans="1:7" ht="17.25" thickBot="1" x14ac:dyDescent="0.35">
      <c r="A81" s="1"/>
      <c r="B81" s="38" t="s">
        <v>286</v>
      </c>
      <c r="C81" s="47" t="s">
        <v>124</v>
      </c>
      <c r="D81" s="45"/>
      <c r="E81" s="46">
        <v>0.05</v>
      </c>
      <c r="F81" s="41">
        <f>F77</f>
        <v>34050.787165828959</v>
      </c>
      <c r="G81" s="40">
        <f>+ROUND(E81*F81,0)</f>
        <v>1703</v>
      </c>
    </row>
    <row r="82" spans="1:7" ht="17.25" thickBot="1" x14ac:dyDescent="0.35">
      <c r="A82" s="1"/>
      <c r="B82" s="2"/>
      <c r="C82" s="39"/>
      <c r="D82" s="18" t="s">
        <v>287</v>
      </c>
      <c r="E82" s="19"/>
      <c r="F82" s="20"/>
      <c r="G82" s="17">
        <f>SUM(G73:G81)</f>
        <v>134804</v>
      </c>
    </row>
    <row r="83" spans="1:7" hidden="1" x14ac:dyDescent="0.3">
      <c r="A83" s="1"/>
      <c r="B83" s="2"/>
      <c r="C83" s="3"/>
      <c r="D83" s="21" t="s">
        <v>289</v>
      </c>
      <c r="E83" s="22"/>
      <c r="F83" s="23">
        <f>+F66</f>
        <v>0.25</v>
      </c>
      <c r="G83" s="24">
        <f>+ROUND(G82*F83,0)</f>
        <v>33701</v>
      </c>
    </row>
    <row r="84" spans="1:7" hidden="1" x14ac:dyDescent="0.3">
      <c r="A84" s="1"/>
      <c r="B84" s="2"/>
      <c r="C84" s="3"/>
      <c r="D84" s="25" t="s">
        <v>290</v>
      </c>
      <c r="E84" s="26"/>
      <c r="F84" s="23">
        <f t="shared" ref="F84:F85" si="0">+F67</f>
        <v>0</v>
      </c>
      <c r="G84" s="14">
        <f>+ROUND(G82*F84,0)</f>
        <v>0</v>
      </c>
    </row>
    <row r="85" spans="1:7" ht="17.25" hidden="1" thickBot="1" x14ac:dyDescent="0.35">
      <c r="A85" s="1"/>
      <c r="B85" s="2"/>
      <c r="C85" s="3"/>
      <c r="D85" s="25" t="s">
        <v>291</v>
      </c>
      <c r="E85" s="26"/>
      <c r="F85" s="23">
        <f t="shared" si="0"/>
        <v>0.05</v>
      </c>
      <c r="G85" s="14">
        <f>+ROUND(G82*F85,0)</f>
        <v>6740</v>
      </c>
    </row>
    <row r="86" spans="1:7" ht="17.25" hidden="1" thickBot="1" x14ac:dyDescent="0.35">
      <c r="A86" s="1"/>
      <c r="B86" s="2"/>
      <c r="C86" s="3"/>
      <c r="D86" s="18" t="s">
        <v>10</v>
      </c>
      <c r="E86" s="29"/>
      <c r="F86" s="20"/>
      <c r="G86" s="17">
        <f>SUM(G82:G85)</f>
        <v>175245</v>
      </c>
    </row>
    <row r="87" spans="1:7" ht="17.25" thickBot="1" x14ac:dyDescent="0.35"/>
    <row r="88" spans="1:7" ht="70.349999999999994" customHeight="1" thickBot="1" x14ac:dyDescent="0.35">
      <c r="A88" s="358" t="str">
        <f>PPTO!B17</f>
        <v>3,1,1</v>
      </c>
      <c r="B88" s="359" t="str">
        <f>VLOOKUP(A88,PPTO!$B$8:$D$94,2,0)</f>
        <v>Suministro, transporte y colocación de concreto de 14 Mpa para SOLADO, con un espesor DE 0.05 m. Incluye el suministro y el transporte del concreto y todos los demás elementos necesarios para su correcta construcción, incluye acarreo interno.</v>
      </c>
      <c r="C88" s="360" t="s">
        <v>85</v>
      </c>
      <c r="D88" s="361" t="s">
        <v>274</v>
      </c>
      <c r="E88" s="362" t="s">
        <v>275</v>
      </c>
      <c r="F88" s="360" t="s">
        <v>276</v>
      </c>
      <c r="G88" s="363" t="s">
        <v>277</v>
      </c>
    </row>
    <row r="89" spans="1:7" x14ac:dyDescent="0.3">
      <c r="A89" s="1"/>
      <c r="B89" s="51" t="s">
        <v>278</v>
      </c>
      <c r="C89" s="43"/>
      <c r="D89" s="43"/>
      <c r="E89" s="44"/>
      <c r="F89" s="52"/>
      <c r="G89" s="7"/>
    </row>
    <row r="90" spans="1:7" x14ac:dyDescent="0.3">
      <c r="A90" s="1"/>
      <c r="B90" s="65" t="s">
        <v>298</v>
      </c>
      <c r="C90" s="54" t="str">
        <f>VLOOKUP(B90,INSUMOS!$B$2:$D$299,2,0)</f>
        <v>M3</v>
      </c>
      <c r="D90" s="11">
        <v>0.13</v>
      </c>
      <c r="E90" s="12">
        <v>0.05</v>
      </c>
      <c r="F90" s="54">
        <f>VLOOKUP(B90,INSUMOS!$B$2:$D$299,3,0)</f>
        <v>391965</v>
      </c>
      <c r="G90" s="67">
        <f>+ROUND((1+D90)*E90*F90,0)</f>
        <v>22146</v>
      </c>
    </row>
    <row r="91" spans="1:7" x14ac:dyDescent="0.3">
      <c r="A91" s="1"/>
      <c r="B91" s="65"/>
      <c r="C91" s="54"/>
      <c r="D91" s="11"/>
      <c r="E91" s="12"/>
      <c r="F91" s="54"/>
      <c r="G91" s="67">
        <f>+ROUND((1+D91)*E91*F91,0)</f>
        <v>0</v>
      </c>
    </row>
    <row r="92" spans="1:7" ht="17.25" thickBot="1" x14ac:dyDescent="0.35">
      <c r="A92" s="1"/>
      <c r="B92" s="55" t="s">
        <v>281</v>
      </c>
      <c r="C92" s="56"/>
      <c r="D92" s="56"/>
      <c r="E92" s="57"/>
      <c r="F92" s="58"/>
      <c r="G92" s="59"/>
    </row>
    <row r="93" spans="1:7" ht="17.25" thickBot="1" x14ac:dyDescent="0.35">
      <c r="A93" s="1"/>
      <c r="B93" s="15" t="s">
        <v>309</v>
      </c>
      <c r="C93" s="16" t="s">
        <v>169</v>
      </c>
      <c r="D93" s="60"/>
      <c r="E93" s="61">
        <v>1</v>
      </c>
      <c r="F93" s="16">
        <f>+(16000+22000)/4</f>
        <v>9500</v>
      </c>
      <c r="G93" s="17">
        <f>+ROUND((1+D93)*E93*F93,0)</f>
        <v>9500</v>
      </c>
    </row>
    <row r="94" spans="1:7" ht="17.25" thickBot="1" x14ac:dyDescent="0.35">
      <c r="A94" s="1"/>
      <c r="B94" s="55" t="s">
        <v>283</v>
      </c>
      <c r="C94" s="56"/>
      <c r="D94" s="56"/>
      <c r="E94" s="57"/>
      <c r="F94" s="58"/>
      <c r="G94" s="59"/>
    </row>
    <row r="95" spans="1:7" ht="17.25" thickBot="1" x14ac:dyDescent="0.35">
      <c r="A95" s="1"/>
      <c r="B95" s="15" t="s">
        <v>310</v>
      </c>
      <c r="C95" s="16" t="s">
        <v>169</v>
      </c>
      <c r="D95" s="60"/>
      <c r="E95" s="61">
        <v>1</v>
      </c>
      <c r="F95" s="16">
        <v>25000</v>
      </c>
      <c r="G95" s="17">
        <f>+ROUND((1+D95)*E95*F95,0)</f>
        <v>25000</v>
      </c>
    </row>
    <row r="96" spans="1:7" ht="17.25" thickBot="1" x14ac:dyDescent="0.35">
      <c r="A96" s="1"/>
      <c r="B96" s="62" t="s">
        <v>286</v>
      </c>
      <c r="C96" s="5"/>
      <c r="D96" s="5"/>
      <c r="E96" s="6"/>
      <c r="F96" s="63"/>
      <c r="G96" s="64"/>
    </row>
    <row r="97" spans="1:10" ht="17.25" thickBot="1" x14ac:dyDescent="0.35">
      <c r="A97" s="1"/>
      <c r="B97" s="38" t="s">
        <v>286</v>
      </c>
      <c r="C97" s="47" t="s">
        <v>124</v>
      </c>
      <c r="D97" s="45"/>
      <c r="E97" s="46">
        <v>0.05</v>
      </c>
      <c r="F97" s="41">
        <f>F93</f>
        <v>9500</v>
      </c>
      <c r="G97" s="40">
        <f>+ROUND(E97*F97,0)</f>
        <v>475</v>
      </c>
    </row>
    <row r="98" spans="1:10" ht="17.25" thickBot="1" x14ac:dyDescent="0.35">
      <c r="A98" s="1"/>
      <c r="B98" s="2"/>
      <c r="C98" s="39"/>
      <c r="D98" s="18" t="s">
        <v>287</v>
      </c>
      <c r="E98" s="19"/>
      <c r="F98" s="20"/>
      <c r="G98" s="17">
        <f>SUM(G90:G97)</f>
        <v>57121</v>
      </c>
    </row>
    <row r="99" spans="1:10" hidden="1" x14ac:dyDescent="0.3">
      <c r="A99" s="1"/>
      <c r="B99" s="2"/>
      <c r="C99" s="3"/>
      <c r="D99" s="21" t="s">
        <v>289</v>
      </c>
      <c r="E99" s="22"/>
      <c r="F99" s="23">
        <f>+F83</f>
        <v>0.25</v>
      </c>
      <c r="G99" s="24">
        <f>+ROUND(G98*F99,0)</f>
        <v>14280</v>
      </c>
    </row>
    <row r="100" spans="1:10" hidden="1" x14ac:dyDescent="0.3">
      <c r="A100" s="1"/>
      <c r="B100" s="2"/>
      <c r="C100" s="3"/>
      <c r="D100" s="25" t="s">
        <v>290</v>
      </c>
      <c r="E100" s="26"/>
      <c r="F100" s="23">
        <f t="shared" ref="F100:F101" si="1">+F84</f>
        <v>0</v>
      </c>
      <c r="G100" s="14">
        <f>+ROUND(G98*F100,0)</f>
        <v>0</v>
      </c>
    </row>
    <row r="101" spans="1:10" ht="17.25" hidden="1" thickBot="1" x14ac:dyDescent="0.35">
      <c r="A101" s="1"/>
      <c r="B101" s="2"/>
      <c r="C101" s="3"/>
      <c r="D101" s="25" t="s">
        <v>291</v>
      </c>
      <c r="E101" s="26"/>
      <c r="F101" s="23">
        <f t="shared" si="1"/>
        <v>0.05</v>
      </c>
      <c r="G101" s="14">
        <f>+ROUND(G98*F101,0)</f>
        <v>2856</v>
      </c>
    </row>
    <row r="102" spans="1:10" ht="17.25" hidden="1" thickBot="1" x14ac:dyDescent="0.35">
      <c r="A102" s="1"/>
      <c r="B102" s="2"/>
      <c r="C102" s="3"/>
      <c r="D102" s="18" t="s">
        <v>10</v>
      </c>
      <c r="E102" s="29"/>
      <c r="F102" s="20"/>
      <c r="G102" s="17">
        <f>SUM(G98:G101)</f>
        <v>74257</v>
      </c>
    </row>
    <row r="103" spans="1:10" ht="17.25" thickBot="1" x14ac:dyDescent="0.35"/>
    <row r="104" spans="1:10" ht="99.75" thickBot="1" x14ac:dyDescent="0.35">
      <c r="A104" s="358" t="str">
        <f>PPTO!B18</f>
        <v>3,1,2</v>
      </c>
      <c r="B104" s="359" t="str">
        <f>VLOOKUP(A104,PPTO!$B$8:$D$94,2,0)</f>
        <v>Construcción de LOSA MACIZA en concreto de 21 MPa., con un ESPESOR DE 10 cm. Incluye suministro, transporte y la colocación del concreto, vibrado, protección y curado para estructuras, de acuerdo a las diferentes dimensiones establecidas en los planos y todos los demás elementos necesarios para su correcto vaciado, se incluye acero de refuerzo con doble malla electrosoldada D084 y plastico para evitar el contacto directo de la losa con el terreno</v>
      </c>
      <c r="C104" s="360" t="s">
        <v>85</v>
      </c>
      <c r="D104" s="361" t="s">
        <v>274</v>
      </c>
      <c r="E104" s="362" t="s">
        <v>275</v>
      </c>
      <c r="F104" s="360" t="s">
        <v>276</v>
      </c>
      <c r="G104" s="363" t="s">
        <v>277</v>
      </c>
    </row>
    <row r="105" spans="1:10" x14ac:dyDescent="0.3">
      <c r="A105" s="1"/>
      <c r="B105" s="51" t="s">
        <v>278</v>
      </c>
      <c r="C105" s="43"/>
      <c r="D105" s="43"/>
      <c r="E105" s="44"/>
      <c r="F105" s="52"/>
      <c r="G105" s="7"/>
    </row>
    <row r="106" spans="1:10" x14ac:dyDescent="0.3">
      <c r="A106" s="1"/>
      <c r="B106" s="68" t="s">
        <v>311</v>
      </c>
      <c r="C106" s="54" t="str">
        <f>VLOOKUP(B106,INSUMOS!$B$2:$D$299,2,0)</f>
        <v>M3</v>
      </c>
      <c r="D106" s="11"/>
      <c r="E106" s="12">
        <v>0.11</v>
      </c>
      <c r="F106" s="54">
        <f>VLOOKUP(B106,INSUMOS!$B$2:$D$299,3,0)</f>
        <v>460985</v>
      </c>
      <c r="G106" s="13">
        <f>+ROUND((1+D106)*E106*F106,0)</f>
        <v>50708</v>
      </c>
    </row>
    <row r="107" spans="1:10" x14ac:dyDescent="0.3">
      <c r="A107" s="1"/>
      <c r="B107" s="68" t="s">
        <v>312</v>
      </c>
      <c r="C107" s="54" t="str">
        <f>VLOOKUP(B107,INSUMOS!$B$2:$D$299,2,0)</f>
        <v>und</v>
      </c>
      <c r="D107" s="11"/>
      <c r="E107" s="12">
        <f>0.0855*2</f>
        <v>0.17100000000000001</v>
      </c>
      <c r="F107" s="54">
        <f>VLOOKUP(B107,INSUMOS!$B$2:$D$299,3,0)</f>
        <v>130000</v>
      </c>
      <c r="G107" s="13">
        <f>+ROUND((1+D107)*E107*F107,0)</f>
        <v>22230</v>
      </c>
      <c r="H107" t="s">
        <v>313</v>
      </c>
      <c r="I107">
        <f>5.7*2.05</f>
        <v>11.684999999999999</v>
      </c>
    </row>
    <row r="108" spans="1:10" x14ac:dyDescent="0.3">
      <c r="A108" s="1"/>
      <c r="B108" s="68" t="s">
        <v>314</v>
      </c>
      <c r="C108" s="54" t="str">
        <f>VLOOKUP(B108,INSUMOS!$B$2:$D$299,2,0)</f>
        <v>HR</v>
      </c>
      <c r="D108" s="11"/>
      <c r="E108" s="12">
        <v>0.25</v>
      </c>
      <c r="F108" s="54">
        <f>VLOOKUP(B108,INSUMOS!$B$2:$D$299,3,0)</f>
        <v>20625</v>
      </c>
      <c r="G108" s="13">
        <f t="shared" ref="G108:G111" si="2">+ROUND((1+D108)*E108*F108,0)</f>
        <v>5156</v>
      </c>
      <c r="I108">
        <f>1/I107</f>
        <v>8.5579803166452723E-2</v>
      </c>
      <c r="J108" t="s">
        <v>315</v>
      </c>
    </row>
    <row r="109" spans="1:10" x14ac:dyDescent="0.3">
      <c r="A109" s="1"/>
      <c r="B109" s="68" t="s">
        <v>316</v>
      </c>
      <c r="C109" s="54" t="s">
        <v>317</v>
      </c>
      <c r="D109" s="11"/>
      <c r="E109" s="12">
        <v>0.2</v>
      </c>
      <c r="F109" s="54">
        <f>VLOOKUP(B109,INSUMOS!$B$2:$D$299,3,0)</f>
        <v>8600</v>
      </c>
      <c r="G109" s="13">
        <f t="shared" si="2"/>
        <v>1720</v>
      </c>
      <c r="I109">
        <f>+I108*2</f>
        <v>0.17115960633290545</v>
      </c>
      <c r="J109" t="s">
        <v>318</v>
      </c>
    </row>
    <row r="110" spans="1:10" x14ac:dyDescent="0.3">
      <c r="A110" s="1"/>
      <c r="B110" s="68" t="s">
        <v>319</v>
      </c>
      <c r="C110" s="54" t="str">
        <f>VLOOKUP(B110,INSUMOS!$B$2:$D$299,2,0)</f>
        <v>M2</v>
      </c>
      <c r="D110" s="11"/>
      <c r="E110" s="12">
        <v>0.25</v>
      </c>
      <c r="F110" s="54">
        <f>VLOOKUP(B110,INSUMOS!$B$2:$D$299,3,0)</f>
        <v>75625</v>
      </c>
      <c r="G110" s="13">
        <f t="shared" si="2"/>
        <v>18906</v>
      </c>
    </row>
    <row r="111" spans="1:10" x14ac:dyDescent="0.3">
      <c r="A111" s="1"/>
      <c r="B111" s="71" t="s">
        <v>320</v>
      </c>
      <c r="C111" s="425" t="s">
        <v>100</v>
      </c>
      <c r="D111" s="426"/>
      <c r="E111" s="427">
        <v>1</v>
      </c>
      <c r="F111" s="54">
        <f>VLOOKUP(B111,INSUMOS!$B$2:$D$299,3,0)</f>
        <v>8500</v>
      </c>
      <c r="G111" s="13">
        <f t="shared" si="2"/>
        <v>8500</v>
      </c>
    </row>
    <row r="112" spans="1:10" ht="17.25" thickBot="1" x14ac:dyDescent="0.35">
      <c r="A112" s="1"/>
      <c r="B112" s="55" t="s">
        <v>281</v>
      </c>
      <c r="C112" s="56"/>
      <c r="D112" s="56"/>
      <c r="E112" s="57"/>
      <c r="F112" s="58"/>
      <c r="G112" s="59"/>
    </row>
    <row r="113" spans="1:9" ht="17.25" thickBot="1" x14ac:dyDescent="0.35">
      <c r="A113" s="1"/>
      <c r="B113" s="15" t="s">
        <v>309</v>
      </c>
      <c r="C113" s="16" t="s">
        <v>321</v>
      </c>
      <c r="D113" s="60"/>
      <c r="E113" s="61">
        <v>0.2</v>
      </c>
      <c r="F113" s="16">
        <f>+(2*'FACTOR PRESTACIONAL'!K9)+(3*'FACTOR PRESTACIONAL'!K10)</f>
        <v>645205.58251993009</v>
      </c>
      <c r="G113" s="17">
        <f>+ROUND((1+D113)*E113*F113,0)</f>
        <v>129041</v>
      </c>
    </row>
    <row r="114" spans="1:9" ht="17.25" thickBot="1" x14ac:dyDescent="0.35">
      <c r="A114" s="1"/>
      <c r="B114" s="55" t="s">
        <v>283</v>
      </c>
      <c r="C114" s="56"/>
      <c r="D114" s="56"/>
      <c r="E114" s="57"/>
      <c r="F114" s="58"/>
      <c r="G114" s="59"/>
    </row>
    <row r="115" spans="1:9" ht="17.25" thickBot="1" x14ac:dyDescent="0.35">
      <c r="A115" s="1"/>
      <c r="B115" s="15" t="s">
        <v>283</v>
      </c>
      <c r="C115" s="16" t="s">
        <v>322</v>
      </c>
      <c r="D115" s="60"/>
      <c r="E115" s="61">
        <v>1</v>
      </c>
      <c r="F115" s="16">
        <v>5500</v>
      </c>
      <c r="G115" s="17">
        <f>F115*E115</f>
        <v>5500</v>
      </c>
    </row>
    <row r="116" spans="1:9" ht="17.25" thickBot="1" x14ac:dyDescent="0.35">
      <c r="A116" s="1"/>
      <c r="B116" s="62" t="s">
        <v>323</v>
      </c>
      <c r="C116" s="5"/>
      <c r="D116" s="5"/>
      <c r="E116" s="6"/>
      <c r="F116" s="63"/>
      <c r="G116" s="64"/>
    </row>
    <row r="117" spans="1:9" ht="17.25" thickBot="1" x14ac:dyDescent="0.35">
      <c r="A117" s="1"/>
      <c r="B117" s="38" t="s">
        <v>286</v>
      </c>
      <c r="C117" s="47" t="s">
        <v>124</v>
      </c>
      <c r="D117" s="45"/>
      <c r="E117" s="46">
        <v>0.05</v>
      </c>
      <c r="F117" s="41">
        <f>G113*E117</f>
        <v>6452.05</v>
      </c>
      <c r="G117" s="40">
        <f>+ROUND(E117*F117,0)</f>
        <v>323</v>
      </c>
    </row>
    <row r="118" spans="1:9" ht="17.25" thickBot="1" x14ac:dyDescent="0.35">
      <c r="A118" s="1"/>
      <c r="B118" s="2"/>
      <c r="C118" s="39"/>
      <c r="D118" s="18" t="s">
        <v>287</v>
      </c>
      <c r="E118" s="19"/>
      <c r="F118" s="20"/>
      <c r="G118" s="17">
        <f>SUM(G106:G117)</f>
        <v>242084</v>
      </c>
      <c r="I118" s="69"/>
    </row>
    <row r="119" spans="1:9" hidden="1" x14ac:dyDescent="0.3">
      <c r="A119" s="1"/>
      <c r="B119" s="2"/>
      <c r="C119" s="3"/>
      <c r="D119" s="21" t="s">
        <v>289</v>
      </c>
      <c r="E119" s="22"/>
      <c r="F119" s="23">
        <f>+F99</f>
        <v>0.25</v>
      </c>
      <c r="G119" s="24">
        <f>+ROUND(G118*F119,0)</f>
        <v>60521</v>
      </c>
    </row>
    <row r="120" spans="1:9" hidden="1" x14ac:dyDescent="0.3">
      <c r="A120" s="1"/>
      <c r="B120" s="2"/>
      <c r="C120" s="3"/>
      <c r="D120" s="25" t="s">
        <v>290</v>
      </c>
      <c r="E120" s="26"/>
      <c r="F120" s="23">
        <f>+F100</f>
        <v>0</v>
      </c>
      <c r="G120" s="14">
        <f>+ROUND(G118*F120,0)</f>
        <v>0</v>
      </c>
    </row>
    <row r="121" spans="1:9" ht="17.25" hidden="1" thickBot="1" x14ac:dyDescent="0.35">
      <c r="A121" s="1"/>
      <c r="B121" s="2"/>
      <c r="C121" s="3"/>
      <c r="D121" s="25" t="s">
        <v>291</v>
      </c>
      <c r="E121" s="26"/>
      <c r="F121" s="23">
        <f>+F101</f>
        <v>0.05</v>
      </c>
      <c r="G121" s="14">
        <f>+ROUND(G118*F121,0)</f>
        <v>12104</v>
      </c>
    </row>
    <row r="122" spans="1:9" ht="17.25" hidden="1" thickBot="1" x14ac:dyDescent="0.35">
      <c r="A122" s="1"/>
      <c r="B122" s="2"/>
      <c r="C122" s="3"/>
      <c r="D122" s="18" t="s">
        <v>10</v>
      </c>
      <c r="E122" s="29"/>
      <c r="F122" s="20"/>
      <c r="G122" s="17">
        <f>SUM(G118:G121)</f>
        <v>314709</v>
      </c>
    </row>
    <row r="124" spans="1:9" ht="17.25" thickBot="1" x14ac:dyDescent="0.35"/>
    <row r="125" spans="1:9" ht="50.25" thickBot="1" x14ac:dyDescent="0.35">
      <c r="A125" s="358" t="str">
        <f>PPTO!B19</f>
        <v>3,1,3</v>
      </c>
      <c r="B125" s="359" t="str">
        <f>VLOOKUP(A125,PPTO!$B$8:$D$94,2,0)</f>
        <v>Suministro, transporte y colocación de concreto para vigas de fundación 0,3 x 0,3 IIncluye: concreto 21MPa, vibrado y todo para su correcta construcción. El acero se pagará en su respectivo ITEM.</v>
      </c>
      <c r="C125" s="360" t="s">
        <v>85</v>
      </c>
      <c r="D125" s="361" t="s">
        <v>274</v>
      </c>
      <c r="E125" s="362" t="s">
        <v>275</v>
      </c>
      <c r="F125" s="360" t="s">
        <v>276</v>
      </c>
      <c r="G125" s="363" t="s">
        <v>277</v>
      </c>
    </row>
    <row r="126" spans="1:9" ht="17.25" thickBot="1" x14ac:dyDescent="0.35">
      <c r="A126" s="1"/>
      <c r="B126" s="51" t="s">
        <v>278</v>
      </c>
      <c r="C126" s="43"/>
      <c r="D126" s="43"/>
      <c r="E126" s="44"/>
      <c r="F126" s="52"/>
      <c r="G126" s="7"/>
    </row>
    <row r="127" spans="1:9" x14ac:dyDescent="0.3">
      <c r="A127" s="1"/>
      <c r="B127" s="68" t="s">
        <v>311</v>
      </c>
      <c r="C127" s="53" t="str">
        <f>VLOOKUP(B127,INSUMOS!$B$2:$D$299,2,0)</f>
        <v>M3</v>
      </c>
      <c r="D127" s="8">
        <v>0.1</v>
      </c>
      <c r="E127" s="9">
        <f>1*0.3*0.3</f>
        <v>0.09</v>
      </c>
      <c r="F127" s="53">
        <f>VLOOKUP(B127,INSUMOS!$B$2:$D$299,3,0)</f>
        <v>460985</v>
      </c>
      <c r="G127" s="10">
        <f>+ROUND((1+D127)*E127*F127,0)</f>
        <v>45638</v>
      </c>
    </row>
    <row r="128" spans="1:9" x14ac:dyDescent="0.3">
      <c r="A128" s="1"/>
      <c r="B128" s="68" t="s">
        <v>314</v>
      </c>
      <c r="C128" s="54" t="str">
        <f>VLOOKUP(B128,INSUMOS!$B$2:$D$299,2,0)</f>
        <v>HR</v>
      </c>
      <c r="D128" s="11"/>
      <c r="E128" s="12">
        <v>0.25</v>
      </c>
      <c r="F128" s="54">
        <f>VLOOKUP(B128,INSUMOS!$B$2:$D$299,3,0)</f>
        <v>20625</v>
      </c>
      <c r="G128" s="13">
        <f t="shared" ref="G128:G129" si="3">+ROUND((1+D128)*E128*F128,0)</f>
        <v>5156</v>
      </c>
    </row>
    <row r="129" spans="1:9" x14ac:dyDescent="0.3">
      <c r="A129" s="1"/>
      <c r="B129" s="68" t="s">
        <v>316</v>
      </c>
      <c r="C129" s="54" t="s">
        <v>317</v>
      </c>
      <c r="D129" s="11"/>
      <c r="E129" s="12">
        <v>0.2</v>
      </c>
      <c r="F129" s="54">
        <f>VLOOKUP(B129,INSUMOS!$B$2:$D$299,3,0)</f>
        <v>8600</v>
      </c>
      <c r="G129" s="13">
        <f t="shared" si="3"/>
        <v>1720</v>
      </c>
    </row>
    <row r="130" spans="1:9" ht="17.25" thickBot="1" x14ac:dyDescent="0.35">
      <c r="A130" s="1"/>
      <c r="B130" s="55" t="s">
        <v>281</v>
      </c>
      <c r="C130" s="56"/>
      <c r="D130" s="56"/>
      <c r="E130" s="57"/>
      <c r="F130" s="58"/>
      <c r="G130" s="59"/>
    </row>
    <row r="131" spans="1:9" ht="17.25" thickBot="1" x14ac:dyDescent="0.35">
      <c r="A131" s="1"/>
      <c r="B131" s="15" t="s">
        <v>309</v>
      </c>
      <c r="C131" s="16" t="s">
        <v>321</v>
      </c>
      <c r="D131" s="60"/>
      <c r="E131" s="61">
        <f>0.15/2</f>
        <v>7.4999999999999997E-2</v>
      </c>
      <c r="F131" s="16">
        <f>+(2*'FACTOR PRESTACIONAL'!K9)+(3*'FACTOR PRESTACIONAL'!K10)</f>
        <v>645205.58251993009</v>
      </c>
      <c r="G131" s="17">
        <f>+ROUND((1+D131)*E131*F131,0)</f>
        <v>48390</v>
      </c>
    </row>
    <row r="132" spans="1:9" ht="17.25" thickBot="1" x14ac:dyDescent="0.35">
      <c r="A132" s="1"/>
      <c r="B132" s="55" t="s">
        <v>283</v>
      </c>
      <c r="C132" s="56"/>
      <c r="D132" s="56"/>
      <c r="E132" s="57"/>
      <c r="F132" s="58"/>
      <c r="G132" s="59"/>
    </row>
    <row r="133" spans="1:9" ht="17.25" thickBot="1" x14ac:dyDescent="0.35">
      <c r="A133" s="1"/>
      <c r="B133" s="15" t="s">
        <v>310</v>
      </c>
      <c r="C133" s="16" t="s">
        <v>169</v>
      </c>
      <c r="D133" s="60"/>
      <c r="E133" s="61">
        <v>1</v>
      </c>
      <c r="F133" s="16">
        <v>5500</v>
      </c>
      <c r="G133" s="17">
        <f>+ROUND((1+D133)*E133*F133,0)</f>
        <v>5500</v>
      </c>
    </row>
    <row r="134" spans="1:9" ht="17.25" thickBot="1" x14ac:dyDescent="0.35">
      <c r="A134" s="1"/>
      <c r="B134" s="62" t="s">
        <v>286</v>
      </c>
      <c r="C134" s="5"/>
      <c r="D134" s="5"/>
      <c r="E134" s="6"/>
      <c r="F134" s="63"/>
      <c r="G134" s="64"/>
    </row>
    <row r="135" spans="1:9" ht="17.25" thickBot="1" x14ac:dyDescent="0.35">
      <c r="A135" s="1"/>
      <c r="B135" s="38" t="s">
        <v>286</v>
      </c>
      <c r="C135" s="47" t="s">
        <v>124</v>
      </c>
      <c r="D135" s="45"/>
      <c r="E135" s="46">
        <v>0.05</v>
      </c>
      <c r="F135" s="41">
        <f>+G131</f>
        <v>48390</v>
      </c>
      <c r="G135" s="40">
        <f>+ROUND(E135*F135,0)</f>
        <v>2420</v>
      </c>
    </row>
    <row r="136" spans="1:9" ht="17.25" thickBot="1" x14ac:dyDescent="0.35">
      <c r="A136" s="1"/>
      <c r="B136" s="2"/>
      <c r="C136" s="39"/>
      <c r="D136" s="18" t="s">
        <v>287</v>
      </c>
      <c r="E136" s="19"/>
      <c r="F136" s="20"/>
      <c r="G136" s="17">
        <f>SUM(G127:G135)</f>
        <v>108824</v>
      </c>
    </row>
    <row r="137" spans="1:9" hidden="1" x14ac:dyDescent="0.3">
      <c r="A137" s="1"/>
      <c r="B137" s="2"/>
      <c r="C137" s="3"/>
      <c r="D137" s="21" t="s">
        <v>289</v>
      </c>
      <c r="E137" s="22"/>
      <c r="F137" s="23">
        <f>+F119</f>
        <v>0.25</v>
      </c>
      <c r="G137" s="24">
        <f>+ROUND(G136*F137,0)</f>
        <v>27206</v>
      </c>
      <c r="H137">
        <f>(1)/(0.4*0.4)</f>
        <v>6.2499999999999991</v>
      </c>
      <c r="I137" s="69">
        <f>+H137*G136</f>
        <v>680149.99999999988</v>
      </c>
    </row>
    <row r="138" spans="1:9" hidden="1" x14ac:dyDescent="0.3">
      <c r="A138" s="1"/>
      <c r="B138" s="2"/>
      <c r="C138" s="3"/>
      <c r="D138" s="25" t="s">
        <v>290</v>
      </c>
      <c r="E138" s="26"/>
      <c r="F138" s="23">
        <f t="shared" ref="F138:F139" si="4">+F120</f>
        <v>0</v>
      </c>
      <c r="G138" s="14">
        <f>+ROUND(G136*F138,0)</f>
        <v>0</v>
      </c>
    </row>
    <row r="139" spans="1:9" ht="17.25" hidden="1" thickBot="1" x14ac:dyDescent="0.35">
      <c r="A139" s="1"/>
      <c r="B139" s="2"/>
      <c r="C139" s="3"/>
      <c r="D139" s="25" t="s">
        <v>291</v>
      </c>
      <c r="E139" s="26"/>
      <c r="F139" s="23">
        <f t="shared" si="4"/>
        <v>0.05</v>
      </c>
      <c r="G139" s="14">
        <f>+ROUND(G136*F139,0)</f>
        <v>5441</v>
      </c>
    </row>
    <row r="140" spans="1:9" ht="17.25" hidden="1" thickBot="1" x14ac:dyDescent="0.35">
      <c r="A140" s="1"/>
      <c r="B140" s="2"/>
      <c r="C140" s="3"/>
      <c r="D140" s="18" t="s">
        <v>10</v>
      </c>
      <c r="E140" s="29"/>
      <c r="F140" s="20"/>
      <c r="G140" s="17">
        <f>SUM(G136:G139)</f>
        <v>141471</v>
      </c>
    </row>
    <row r="141" spans="1:9" ht="17.25" thickBot="1" x14ac:dyDescent="0.35"/>
    <row r="142" spans="1:9" ht="50.25" thickBot="1" x14ac:dyDescent="0.35">
      <c r="A142" s="358" t="str">
        <f>PPTO!B20</f>
        <v>3,1,4</v>
      </c>
      <c r="B142" s="359" t="str">
        <f>VLOOKUP(A142,PPTO!$B$8:$D$94,2,0)</f>
        <v>Suministro, transporte y colocación de concreto para cimentación superficilaes tipo zapatas, incluye pedestales de 0,40 x 0,40 x 1,30: y bases de 1,0 x 1,0 x 0,3 Incluye concreto 21MPa. El acero se pagará en su respectivo ITEM.</v>
      </c>
      <c r="C142" s="360" t="s">
        <v>85</v>
      </c>
      <c r="D142" s="361" t="s">
        <v>274</v>
      </c>
      <c r="E142" s="362" t="s">
        <v>275</v>
      </c>
      <c r="F142" s="360" t="s">
        <v>276</v>
      </c>
      <c r="G142" s="363" t="s">
        <v>277</v>
      </c>
    </row>
    <row r="143" spans="1:9" x14ac:dyDescent="0.3">
      <c r="A143" s="1"/>
      <c r="B143" s="51" t="s">
        <v>278</v>
      </c>
      <c r="C143" s="43"/>
      <c r="D143" s="43"/>
      <c r="E143" s="44"/>
      <c r="F143" s="52"/>
      <c r="G143" s="7"/>
    </row>
    <row r="144" spans="1:9" x14ac:dyDescent="0.3">
      <c r="A144" s="1"/>
      <c r="B144" s="68" t="s">
        <v>311</v>
      </c>
      <c r="C144" s="54" t="str">
        <f>VLOOKUP(B144,INSUMOS!$B$2:$D$299,2,0)</f>
        <v>M3</v>
      </c>
      <c r="D144" s="11">
        <v>0.05</v>
      </c>
      <c r="E144" s="12">
        <v>1</v>
      </c>
      <c r="F144" s="54">
        <f>VLOOKUP(B144,INSUMOS!$B$2:$D$299,3,0)</f>
        <v>460985</v>
      </c>
      <c r="G144" s="13">
        <f>+ROUND((1+D144)*E144*F144,0)</f>
        <v>484034</v>
      </c>
      <c r="H144">
        <f>+E144*(1+D144)</f>
        <v>1.05</v>
      </c>
    </row>
    <row r="145" spans="1:7" x14ac:dyDescent="0.3">
      <c r="A145" s="1"/>
      <c r="B145" s="68" t="s">
        <v>314</v>
      </c>
      <c r="C145" s="54" t="str">
        <f>VLOOKUP(B145,INSUMOS!$B$2:$D$299,2,0)</f>
        <v>HR</v>
      </c>
      <c r="D145" s="11"/>
      <c r="E145" s="12">
        <v>0.25</v>
      </c>
      <c r="F145" s="54">
        <f>VLOOKUP(B145,INSUMOS!$B$2:$D$299,3,0)</f>
        <v>20625</v>
      </c>
      <c r="G145" s="13">
        <f>+ROUND((1+D145)*E145*F145,0)</f>
        <v>5156</v>
      </c>
    </row>
    <row r="146" spans="1:7" x14ac:dyDescent="0.3">
      <c r="A146" s="1"/>
      <c r="B146" s="68" t="s">
        <v>319</v>
      </c>
      <c r="C146" s="54" t="str">
        <f>VLOOKUP(B146,INSUMOS!$B$2:$D$299,2,0)</f>
        <v>M2</v>
      </c>
      <c r="D146" s="11"/>
      <c r="E146" s="12">
        <v>0.25</v>
      </c>
      <c r="F146" s="54">
        <f>VLOOKUP(B146,INSUMOS!$B$2:$D$299,3,0)</f>
        <v>75625</v>
      </c>
      <c r="G146" s="13">
        <f t="shared" ref="G146:G147" si="5">+ROUND((1+D146)*E146*F146,0)</f>
        <v>18906</v>
      </c>
    </row>
    <row r="147" spans="1:7" x14ac:dyDescent="0.3">
      <c r="A147" s="1"/>
      <c r="B147" s="430" t="s">
        <v>316</v>
      </c>
      <c r="C147" s="431" t="s">
        <v>317</v>
      </c>
      <c r="D147" s="432"/>
      <c r="E147" s="433">
        <v>0.2</v>
      </c>
      <c r="F147" s="431">
        <f>VLOOKUP(B147,INSUMOS!$B$2:$D$299,3,0)</f>
        <v>8600</v>
      </c>
      <c r="G147" s="24">
        <f t="shared" si="5"/>
        <v>1720</v>
      </c>
    </row>
    <row r="148" spans="1:7" ht="17.25" thickBot="1" x14ac:dyDescent="0.35">
      <c r="A148" s="1"/>
      <c r="B148" s="55" t="s">
        <v>281</v>
      </c>
      <c r="C148" s="56"/>
      <c r="D148" s="56"/>
      <c r="E148" s="57"/>
      <c r="F148" s="58"/>
      <c r="G148" s="59"/>
    </row>
    <row r="149" spans="1:7" ht="17.25" thickBot="1" x14ac:dyDescent="0.35">
      <c r="A149" s="1"/>
      <c r="B149" s="15" t="s">
        <v>309</v>
      </c>
      <c r="C149" s="16" t="s">
        <v>321</v>
      </c>
      <c r="D149" s="60"/>
      <c r="E149" s="61">
        <v>0.12</v>
      </c>
      <c r="F149" s="16">
        <f>+(2*'FACTOR PRESTACIONAL'!K9)+(3*'FACTOR PRESTACIONAL'!K10)</f>
        <v>645205.58251993009</v>
      </c>
      <c r="G149" s="17">
        <f>+ROUND((1+D149)*E149*F149,0)</f>
        <v>77425</v>
      </c>
    </row>
    <row r="150" spans="1:7" ht="17.25" thickBot="1" x14ac:dyDescent="0.35">
      <c r="A150" s="1"/>
      <c r="B150" s="55" t="s">
        <v>283</v>
      </c>
      <c r="C150" s="56"/>
      <c r="D150" s="56"/>
      <c r="E150" s="57"/>
      <c r="F150" s="58"/>
      <c r="G150" s="59"/>
    </row>
    <row r="151" spans="1:7" ht="17.25" thickBot="1" x14ac:dyDescent="0.35">
      <c r="A151" s="1"/>
      <c r="B151" s="15" t="s">
        <v>310</v>
      </c>
      <c r="C151" s="16" t="s">
        <v>169</v>
      </c>
      <c r="D151" s="60"/>
      <c r="E151" s="61">
        <v>1</v>
      </c>
      <c r="F151" s="16">
        <v>5500</v>
      </c>
      <c r="G151" s="17">
        <f>+ROUND((1+D151)*E151*F151,0)</f>
        <v>5500</v>
      </c>
    </row>
    <row r="152" spans="1:7" ht="17.25" thickBot="1" x14ac:dyDescent="0.35">
      <c r="A152" s="1"/>
      <c r="B152" s="62" t="s">
        <v>286</v>
      </c>
      <c r="C152" s="5"/>
      <c r="D152" s="5"/>
      <c r="E152" s="6"/>
      <c r="F152" s="63"/>
      <c r="G152" s="64"/>
    </row>
    <row r="153" spans="1:7" ht="17.25" thickBot="1" x14ac:dyDescent="0.35">
      <c r="A153" s="1"/>
      <c r="B153" s="38" t="s">
        <v>286</v>
      </c>
      <c r="C153" s="47" t="s">
        <v>124</v>
      </c>
      <c r="D153" s="45"/>
      <c r="E153" s="46">
        <v>0.05</v>
      </c>
      <c r="F153" s="41">
        <f>+G149</f>
        <v>77425</v>
      </c>
      <c r="G153" s="40">
        <f>+ROUND(E153*F153,0)</f>
        <v>3871</v>
      </c>
    </row>
    <row r="154" spans="1:7" ht="17.25" thickBot="1" x14ac:dyDescent="0.35">
      <c r="A154" s="1"/>
      <c r="B154" s="2"/>
      <c r="C154" s="39"/>
      <c r="D154" s="18" t="s">
        <v>287</v>
      </c>
      <c r="E154" s="19"/>
      <c r="F154" s="20"/>
      <c r="G154" s="17">
        <f>SUM(G144:G153)</f>
        <v>596612</v>
      </c>
    </row>
    <row r="155" spans="1:7" hidden="1" x14ac:dyDescent="0.3">
      <c r="A155" s="1"/>
      <c r="B155" s="2"/>
      <c r="C155" s="3"/>
      <c r="D155" s="21" t="s">
        <v>289</v>
      </c>
      <c r="E155" s="22"/>
      <c r="F155" s="23">
        <f>+F137</f>
        <v>0.25</v>
      </c>
      <c r="G155" s="24">
        <f>+ROUND(G154*F155,0)</f>
        <v>149153</v>
      </c>
    </row>
    <row r="156" spans="1:7" hidden="1" x14ac:dyDescent="0.3">
      <c r="A156" s="1"/>
      <c r="B156" s="2"/>
      <c r="C156" s="3"/>
      <c r="D156" s="25" t="s">
        <v>290</v>
      </c>
      <c r="E156" s="26"/>
      <c r="F156" s="23">
        <f>+F138</f>
        <v>0</v>
      </c>
      <c r="G156" s="14">
        <f>+ROUND(G154*F156,0)</f>
        <v>0</v>
      </c>
    </row>
    <row r="157" spans="1:7" ht="17.25" hidden="1" thickBot="1" x14ac:dyDescent="0.35">
      <c r="A157" s="1"/>
      <c r="B157" s="2"/>
      <c r="C157" s="3"/>
      <c r="D157" s="25" t="s">
        <v>291</v>
      </c>
      <c r="E157" s="26"/>
      <c r="F157" s="23">
        <f>+F139</f>
        <v>0.05</v>
      </c>
      <c r="G157" s="14">
        <f>+ROUND(G154*F157,0)</f>
        <v>29831</v>
      </c>
    </row>
    <row r="158" spans="1:7" ht="17.25" hidden="1" thickBot="1" x14ac:dyDescent="0.35">
      <c r="A158" s="1"/>
      <c r="B158" s="2"/>
      <c r="C158" s="3"/>
      <c r="D158" s="18" t="s">
        <v>10</v>
      </c>
      <c r="E158" s="29"/>
      <c r="F158" s="20"/>
      <c r="G158" s="17">
        <f>SUM(G154:G157)</f>
        <v>775596</v>
      </c>
    </row>
    <row r="159" spans="1:7" ht="17.25" thickBot="1" x14ac:dyDescent="0.35">
      <c r="A159" s="1"/>
      <c r="B159" s="2"/>
      <c r="C159" s="3"/>
      <c r="D159" s="121"/>
      <c r="E159" s="122"/>
      <c r="F159" s="39"/>
      <c r="G159" s="39"/>
    </row>
    <row r="160" spans="1:7" ht="50.25" thickBot="1" x14ac:dyDescent="0.35">
      <c r="A160" s="358" t="str">
        <f>PPTO!B22</f>
        <v>3,2,1</v>
      </c>
      <c r="B160" s="359" t="str">
        <f>VLOOKUP(A160,PPTO!$B$8:$D$94,2,0)</f>
        <v>Suministro, transporte y colocación de concreto para columnas de 0.30 x 0.30, h= 2.70m,  Incluye: formaleta, concreto 21MPa, vibrado y todo para su correcta instalación. El acero se pagará en su respectivo ITEM.</v>
      </c>
      <c r="C160" s="360" t="s">
        <v>85</v>
      </c>
      <c r="D160" s="361" t="s">
        <v>274</v>
      </c>
      <c r="E160" s="362" t="s">
        <v>275</v>
      </c>
      <c r="F160" s="360" t="s">
        <v>276</v>
      </c>
      <c r="G160" s="363" t="s">
        <v>277</v>
      </c>
    </row>
    <row r="161" spans="1:7" ht="17.25" thickBot="1" x14ac:dyDescent="0.35">
      <c r="A161" s="1"/>
      <c r="B161" s="62" t="s">
        <v>278</v>
      </c>
      <c r="C161" s="43"/>
      <c r="D161" s="43"/>
      <c r="E161" s="44"/>
      <c r="F161" s="52"/>
      <c r="G161" s="7"/>
    </row>
    <row r="162" spans="1:7" x14ac:dyDescent="0.3">
      <c r="A162" s="1"/>
      <c r="B162" s="436" t="s">
        <v>311</v>
      </c>
      <c r="C162" s="53" t="str">
        <f>VLOOKUP(B162,INSUMOS!$B$2:$D$299,2,0)</f>
        <v>M3</v>
      </c>
      <c r="D162" s="8">
        <v>0.1</v>
      </c>
      <c r="E162" s="9">
        <f>1*0.3*0.3</f>
        <v>0.09</v>
      </c>
      <c r="F162" s="53">
        <f>VLOOKUP(B162,INSUMOS!$B$2:$D$299,3,0)</f>
        <v>460985</v>
      </c>
      <c r="G162" s="10">
        <f>+ROUND((1+D162)*E162*F162,0)</f>
        <v>45638</v>
      </c>
    </row>
    <row r="163" spans="1:7" x14ac:dyDescent="0.3">
      <c r="A163" s="1"/>
      <c r="B163" s="68" t="s">
        <v>314</v>
      </c>
      <c r="C163" s="54" t="str">
        <f>VLOOKUP(B163,INSUMOS!$B$2:$D$299,2,0)</f>
        <v>HR</v>
      </c>
      <c r="D163" s="11"/>
      <c r="E163" s="12">
        <v>0.2</v>
      </c>
      <c r="F163" s="54">
        <f>VLOOKUP(B163,INSUMOS!$B$2:$D$299,3,0)</f>
        <v>20625</v>
      </c>
      <c r="G163" s="13">
        <f t="shared" ref="G163:G166" si="6">+ROUND((1+D163)*E163*F163,0)</f>
        <v>4125</v>
      </c>
    </row>
    <row r="164" spans="1:7" x14ac:dyDescent="0.3">
      <c r="A164" s="1"/>
      <c r="B164" s="430" t="s">
        <v>316</v>
      </c>
      <c r="C164" s="431" t="s">
        <v>317</v>
      </c>
      <c r="D164" s="432"/>
      <c r="E164" s="433">
        <v>0.2</v>
      </c>
      <c r="F164" s="431">
        <f>VLOOKUP(B164,INSUMOS!$B$2:$D$299,3,0)</f>
        <v>8600</v>
      </c>
      <c r="G164" s="24">
        <f t="shared" si="6"/>
        <v>1720</v>
      </c>
    </row>
    <row r="165" spans="1:7" x14ac:dyDescent="0.3">
      <c r="A165" s="1"/>
      <c r="B165" s="437" t="s">
        <v>324</v>
      </c>
      <c r="C165" s="425" t="s">
        <v>325</v>
      </c>
      <c r="D165" s="426"/>
      <c r="E165" s="427">
        <v>2</v>
      </c>
      <c r="F165" s="431">
        <f>VLOOKUP(B165,INSUMOS!$B$2:$D$299,3,0)*2</f>
        <v>7000</v>
      </c>
      <c r="G165" s="24">
        <f t="shared" si="6"/>
        <v>14000</v>
      </c>
    </row>
    <row r="166" spans="1:7" ht="17.25" thickBot="1" x14ac:dyDescent="0.35">
      <c r="A166" s="1"/>
      <c r="B166" s="120" t="s">
        <v>319</v>
      </c>
      <c r="C166" s="33" t="str">
        <f>VLOOKUP(B166,INSUMOS!$B$2:$D$299,2,0)</f>
        <v>M2</v>
      </c>
      <c r="D166" s="30"/>
      <c r="E166" s="31">
        <v>1.3</v>
      </c>
      <c r="F166" s="33">
        <f>VLOOKUP(B166,INSUMOS!$B$2:$D$299,3,0)</f>
        <v>75625</v>
      </c>
      <c r="G166" s="32">
        <f t="shared" si="6"/>
        <v>98313</v>
      </c>
    </row>
    <row r="167" spans="1:7" ht="17.25" thickBot="1" x14ac:dyDescent="0.35">
      <c r="A167" s="1"/>
      <c r="B167" s="55" t="s">
        <v>281</v>
      </c>
      <c r="C167" s="56"/>
      <c r="D167" s="56"/>
      <c r="E167" s="57"/>
      <c r="F167" s="58"/>
      <c r="G167" s="59"/>
    </row>
    <row r="168" spans="1:7" ht="17.25" thickBot="1" x14ac:dyDescent="0.35">
      <c r="A168" s="1"/>
      <c r="B168" s="15" t="s">
        <v>309</v>
      </c>
      <c r="C168" s="16" t="s">
        <v>321</v>
      </c>
      <c r="D168" s="60"/>
      <c r="E168" s="61">
        <v>0.05</v>
      </c>
      <c r="F168" s="16">
        <f>+(2*'FACTOR PRESTACIONAL'!K9)+(3*'FACTOR PRESTACIONAL'!K10)</f>
        <v>645205.58251993009</v>
      </c>
      <c r="G168" s="17">
        <f>+ROUND((1+D168)*E168*F168,0)</f>
        <v>32260</v>
      </c>
    </row>
    <row r="169" spans="1:7" ht="17.25" thickBot="1" x14ac:dyDescent="0.35">
      <c r="A169" s="1"/>
      <c r="B169" s="55" t="s">
        <v>283</v>
      </c>
      <c r="C169" s="56"/>
      <c r="D169" s="56"/>
      <c r="E169" s="57"/>
      <c r="F169" s="58"/>
      <c r="G169" s="59"/>
    </row>
    <row r="170" spans="1:7" ht="17.25" thickBot="1" x14ac:dyDescent="0.35">
      <c r="A170" s="1"/>
      <c r="B170" s="15" t="s">
        <v>310</v>
      </c>
      <c r="C170" s="16" t="s">
        <v>169</v>
      </c>
      <c r="D170" s="60"/>
      <c r="E170" s="61">
        <v>1</v>
      </c>
      <c r="F170" s="16">
        <v>6500</v>
      </c>
      <c r="G170" s="17">
        <f>+ROUND((1+D170)*E170*F170,0)</f>
        <v>6500</v>
      </c>
    </row>
    <row r="171" spans="1:7" ht="17.25" thickBot="1" x14ac:dyDescent="0.35">
      <c r="A171" s="1"/>
      <c r="B171" s="62" t="s">
        <v>286</v>
      </c>
      <c r="C171" s="5"/>
      <c r="D171" s="5"/>
      <c r="E171" s="6"/>
      <c r="F171" s="63"/>
      <c r="G171" s="64"/>
    </row>
    <row r="172" spans="1:7" ht="17.25" thickBot="1" x14ac:dyDescent="0.35">
      <c r="A172" s="1"/>
      <c r="B172" s="38" t="s">
        <v>286</v>
      </c>
      <c r="C172" s="47" t="s">
        <v>124</v>
      </c>
      <c r="D172" s="45"/>
      <c r="E172" s="46">
        <v>0.05</v>
      </c>
      <c r="F172" s="41">
        <f>+G168</f>
        <v>32260</v>
      </c>
      <c r="G172" s="40">
        <f>+ROUND(E172*F172,0)</f>
        <v>1613</v>
      </c>
    </row>
    <row r="173" spans="1:7" ht="17.25" thickBot="1" x14ac:dyDescent="0.35">
      <c r="A173" s="1"/>
      <c r="B173" s="2"/>
      <c r="C173" s="39"/>
      <c r="D173" s="18" t="s">
        <v>287</v>
      </c>
      <c r="E173" s="19"/>
      <c r="F173" s="20"/>
      <c r="G173" s="17">
        <f>SUM(G162:G172)</f>
        <v>204169</v>
      </c>
    </row>
    <row r="174" spans="1:7" hidden="1" x14ac:dyDescent="0.3">
      <c r="A174" s="1"/>
      <c r="B174" s="2"/>
      <c r="C174" s="3"/>
      <c r="D174" s="21" t="s">
        <v>289</v>
      </c>
      <c r="E174" s="22"/>
      <c r="F174" s="23">
        <f>+F155</f>
        <v>0.25</v>
      </c>
      <c r="G174" s="24">
        <f>+ROUND(G173*F174,0)</f>
        <v>51042</v>
      </c>
    </row>
    <row r="175" spans="1:7" hidden="1" x14ac:dyDescent="0.3">
      <c r="A175" s="1"/>
      <c r="B175" s="2"/>
      <c r="C175" s="3"/>
      <c r="D175" s="25" t="s">
        <v>290</v>
      </c>
      <c r="E175" s="26"/>
      <c r="F175" s="23">
        <f>+F156</f>
        <v>0</v>
      </c>
      <c r="G175" s="14">
        <f>+ROUND(G173*F175,0)</f>
        <v>0</v>
      </c>
    </row>
    <row r="176" spans="1:7" ht="17.25" hidden="1" thickBot="1" x14ac:dyDescent="0.35">
      <c r="A176" s="1"/>
      <c r="B176" s="2"/>
      <c r="C176" s="3"/>
      <c r="D176" s="25" t="s">
        <v>291</v>
      </c>
      <c r="E176" s="26"/>
      <c r="F176" s="23">
        <f>+F157</f>
        <v>0.05</v>
      </c>
      <c r="G176" s="14">
        <f>+ROUND(G173*F176,0)</f>
        <v>10208</v>
      </c>
    </row>
    <row r="177" spans="1:7" ht="17.25" hidden="1" thickBot="1" x14ac:dyDescent="0.35">
      <c r="A177" s="1"/>
      <c r="B177" s="2"/>
      <c r="C177" s="3"/>
      <c r="D177" s="18" t="s">
        <v>10</v>
      </c>
      <c r="E177" s="29"/>
      <c r="F177" s="20"/>
      <c r="G177" s="17">
        <f>SUM(G173:G176)</f>
        <v>265419</v>
      </c>
    </row>
    <row r="178" spans="1:7" ht="17.25" thickBot="1" x14ac:dyDescent="0.35">
      <c r="A178" s="1"/>
      <c r="B178" s="2"/>
      <c r="C178" s="3"/>
      <c r="D178" s="121"/>
      <c r="E178" s="122"/>
      <c r="F178" s="39"/>
      <c r="G178" s="39"/>
    </row>
    <row r="179" spans="1:7" ht="50.25" thickBot="1" x14ac:dyDescent="0.35">
      <c r="A179" s="358" t="str">
        <f>PPTO!B23</f>
        <v>3,2,2</v>
      </c>
      <c r="B179" s="359" t="str">
        <f>VLOOKUP(A179,PPTO!$B$8:$D$94,2,0)</f>
        <v>Suministro, transporte y colocación de concreto para vigas de amarre, de 0.25 x 0.30,  Incluye: ( formaleta y concreto 21MPa), el acero se pagará en su respectivo ITEM.</v>
      </c>
      <c r="C179" s="360" t="s">
        <v>85</v>
      </c>
      <c r="D179" s="361" t="s">
        <v>274</v>
      </c>
      <c r="E179" s="362" t="s">
        <v>275</v>
      </c>
      <c r="F179" s="360" t="s">
        <v>276</v>
      </c>
      <c r="G179" s="363" t="s">
        <v>277</v>
      </c>
    </row>
    <row r="180" spans="1:7" ht="17.25" thickBot="1" x14ac:dyDescent="0.35">
      <c r="A180" s="1"/>
      <c r="B180" s="51" t="s">
        <v>278</v>
      </c>
      <c r="C180" s="43"/>
      <c r="D180" s="43"/>
      <c r="E180" s="44"/>
      <c r="F180" s="52"/>
      <c r="G180" s="7"/>
    </row>
    <row r="181" spans="1:7" x14ac:dyDescent="0.3">
      <c r="A181" s="1"/>
      <c r="B181" s="436" t="s">
        <v>311</v>
      </c>
      <c r="C181" s="53" t="str">
        <f>VLOOKUP(B181,INSUMOS!$B$2:$D$299,2,0)</f>
        <v>M3</v>
      </c>
      <c r="D181" s="8">
        <v>0.1</v>
      </c>
      <c r="E181" s="9">
        <f>1*0.25*0.3</f>
        <v>7.4999999999999997E-2</v>
      </c>
      <c r="F181" s="53">
        <f>VLOOKUP(B181,INSUMOS!$B$2:$D$299,3,0)</f>
        <v>460985</v>
      </c>
      <c r="G181" s="10">
        <f>+ROUND((1+D181)*E181*F181,0)</f>
        <v>38031</v>
      </c>
    </row>
    <row r="182" spans="1:7" x14ac:dyDescent="0.3">
      <c r="A182" s="1"/>
      <c r="B182" s="68" t="s">
        <v>314</v>
      </c>
      <c r="C182" s="54" t="str">
        <f>VLOOKUP(B182,INSUMOS!$B$2:$D$299,2,0)</f>
        <v>HR</v>
      </c>
      <c r="D182" s="11"/>
      <c r="E182" s="12">
        <v>0.2</v>
      </c>
      <c r="F182" s="54">
        <f>VLOOKUP(B182,INSUMOS!$B$2:$D$299,3,0)</f>
        <v>20625</v>
      </c>
      <c r="G182" s="13">
        <f t="shared" ref="G182:G189" si="7">+ROUND((1+D182)*E182*F182,0)</f>
        <v>4125</v>
      </c>
    </row>
    <row r="183" spans="1:7" x14ac:dyDescent="0.3">
      <c r="A183" s="1"/>
      <c r="B183" s="68" t="s">
        <v>326</v>
      </c>
      <c r="C183" s="438" t="s">
        <v>187</v>
      </c>
      <c r="D183" s="432"/>
      <c r="E183" s="433">
        <v>0.5</v>
      </c>
      <c r="F183" s="54">
        <f>VLOOKUP(B183,INSUMOS!$B$2:$D$436,3,0)</f>
        <v>22000</v>
      </c>
      <c r="G183" s="13">
        <f t="shared" si="7"/>
        <v>11000</v>
      </c>
    </row>
    <row r="184" spans="1:7" x14ac:dyDescent="0.3">
      <c r="A184" s="1"/>
      <c r="B184" s="68" t="s">
        <v>327</v>
      </c>
      <c r="C184" s="438" t="s">
        <v>187</v>
      </c>
      <c r="D184" s="432"/>
      <c r="E184" s="433">
        <v>0.5</v>
      </c>
      <c r="F184" s="54">
        <f>VLOOKUP(B184,INSUMOS!$B$2:$D$436,3,0)</f>
        <v>8500</v>
      </c>
      <c r="G184" s="13">
        <f t="shared" si="7"/>
        <v>4250</v>
      </c>
    </row>
    <row r="185" spans="1:7" x14ac:dyDescent="0.3">
      <c r="A185" s="1"/>
      <c r="B185" s="68" t="s">
        <v>328</v>
      </c>
      <c r="C185" s="438" t="s">
        <v>329</v>
      </c>
      <c r="D185" s="432"/>
      <c r="E185" s="433">
        <v>0.5</v>
      </c>
      <c r="F185" s="54">
        <f>VLOOKUP(B185,INSUMOS!$B$2:$D$436,3,0)</f>
        <v>14983.33</v>
      </c>
      <c r="G185" s="13">
        <f t="shared" si="7"/>
        <v>7492</v>
      </c>
    </row>
    <row r="186" spans="1:7" x14ac:dyDescent="0.3">
      <c r="A186" s="1"/>
      <c r="B186" s="68" t="s">
        <v>330</v>
      </c>
      <c r="C186" s="438" t="s">
        <v>187</v>
      </c>
      <c r="D186" s="432"/>
      <c r="E186" s="433">
        <v>1</v>
      </c>
      <c r="F186" s="54">
        <f>VLOOKUP(B186,INSUMOS!$B$2:$D$436,3,0)</f>
        <v>700</v>
      </c>
      <c r="G186" s="13">
        <f t="shared" si="7"/>
        <v>700</v>
      </c>
    </row>
    <row r="187" spans="1:7" x14ac:dyDescent="0.3">
      <c r="A187" s="1"/>
      <c r="B187" s="430" t="s">
        <v>316</v>
      </c>
      <c r="C187" s="438" t="s">
        <v>187</v>
      </c>
      <c r="D187" s="432"/>
      <c r="E187" s="433">
        <v>0.2</v>
      </c>
      <c r="F187" s="431">
        <f>VLOOKUP(B187,INSUMOS!$B$2:$D$299,3,0)</f>
        <v>8600</v>
      </c>
      <c r="G187" s="24">
        <f t="shared" si="7"/>
        <v>1720</v>
      </c>
    </row>
    <row r="188" spans="1:7" x14ac:dyDescent="0.3">
      <c r="A188" s="1"/>
      <c r="B188" s="437" t="s">
        <v>324</v>
      </c>
      <c r="C188" s="425" t="s">
        <v>325</v>
      </c>
      <c r="D188" s="426"/>
      <c r="E188" s="427">
        <v>1.5</v>
      </c>
      <c r="F188" s="431">
        <f>VLOOKUP(B188,INSUMOS!$B$2:$D$299,3,0)*2</f>
        <v>7000</v>
      </c>
      <c r="G188" s="24">
        <f t="shared" si="7"/>
        <v>10500</v>
      </c>
    </row>
    <row r="189" spans="1:7" ht="17.25" thickBot="1" x14ac:dyDescent="0.35">
      <c r="A189" s="1"/>
      <c r="B189" s="120" t="s">
        <v>319</v>
      </c>
      <c r="C189" s="33" t="str">
        <f>VLOOKUP(B189,INSUMOS!$B$2:$D$299,2,0)</f>
        <v>M2</v>
      </c>
      <c r="D189" s="30"/>
      <c r="E189" s="31">
        <v>1</v>
      </c>
      <c r="F189" s="33">
        <f>VLOOKUP(B189,INSUMOS!$B$2:$D$299,3,0)</f>
        <v>75625</v>
      </c>
      <c r="G189" s="32">
        <f t="shared" si="7"/>
        <v>75625</v>
      </c>
    </row>
    <row r="190" spans="1:7" ht="17.25" thickBot="1" x14ac:dyDescent="0.35">
      <c r="A190" s="1"/>
      <c r="B190" s="55" t="s">
        <v>281</v>
      </c>
      <c r="C190" s="56"/>
      <c r="D190" s="56"/>
      <c r="E190" s="57"/>
      <c r="F190" s="58"/>
      <c r="G190" s="59"/>
    </row>
    <row r="191" spans="1:7" ht="17.25" thickBot="1" x14ac:dyDescent="0.35">
      <c r="A191" s="1"/>
      <c r="B191" s="15" t="s">
        <v>309</v>
      </c>
      <c r="C191" s="16" t="s">
        <v>321</v>
      </c>
      <c r="D191" s="60"/>
      <c r="E191" s="61">
        <v>0.1</v>
      </c>
      <c r="F191" s="16">
        <f>+(2*'FACTOR PRESTACIONAL'!K9)+(3*'FACTOR PRESTACIONAL'!K10)</f>
        <v>645205.58251993009</v>
      </c>
      <c r="G191" s="17">
        <f>+ROUND((1+D191)*E191*F191,0)</f>
        <v>64521</v>
      </c>
    </row>
    <row r="192" spans="1:7" ht="17.25" thickBot="1" x14ac:dyDescent="0.35">
      <c r="A192" s="1"/>
      <c r="B192" s="55" t="s">
        <v>283</v>
      </c>
      <c r="C192" s="56"/>
      <c r="D192" s="56"/>
      <c r="E192" s="57"/>
      <c r="F192" s="58"/>
      <c r="G192" s="59"/>
    </row>
    <row r="193" spans="1:7" ht="17.25" thickBot="1" x14ac:dyDescent="0.35">
      <c r="A193" s="1"/>
      <c r="B193" s="15" t="s">
        <v>310</v>
      </c>
      <c r="C193" s="16" t="s">
        <v>169</v>
      </c>
      <c r="D193" s="60"/>
      <c r="E193" s="61">
        <v>1</v>
      </c>
      <c r="F193" s="16">
        <v>6500</v>
      </c>
      <c r="G193" s="17">
        <f>+ROUND((1+D193)*E193*F193,0)</f>
        <v>6500</v>
      </c>
    </row>
    <row r="194" spans="1:7" ht="17.25" thickBot="1" x14ac:dyDescent="0.35">
      <c r="A194" s="1"/>
      <c r="B194" s="62" t="s">
        <v>286</v>
      </c>
      <c r="C194" s="5"/>
      <c r="D194" s="5"/>
      <c r="E194" s="6"/>
      <c r="F194" s="63"/>
      <c r="G194" s="64"/>
    </row>
    <row r="195" spans="1:7" ht="17.25" thickBot="1" x14ac:dyDescent="0.35">
      <c r="A195" s="1"/>
      <c r="B195" s="38" t="s">
        <v>286</v>
      </c>
      <c r="C195" s="47" t="s">
        <v>124</v>
      </c>
      <c r="D195" s="45"/>
      <c r="E195" s="46">
        <v>0.05</v>
      </c>
      <c r="F195" s="41">
        <f>+G191</f>
        <v>64521</v>
      </c>
      <c r="G195" s="40">
        <f>+ROUND(E195*F195,0)</f>
        <v>3226</v>
      </c>
    </row>
    <row r="196" spans="1:7" ht="17.25" thickBot="1" x14ac:dyDescent="0.35">
      <c r="A196" s="1"/>
      <c r="B196" s="2"/>
      <c r="C196" s="39"/>
      <c r="D196" s="18" t="s">
        <v>287</v>
      </c>
      <c r="E196" s="19"/>
      <c r="F196" s="20"/>
      <c r="G196" s="17">
        <f>SUM(G181:G195)</f>
        <v>227690</v>
      </c>
    </row>
    <row r="197" spans="1:7" hidden="1" x14ac:dyDescent="0.3">
      <c r="A197" s="1"/>
      <c r="B197" s="2"/>
      <c r="C197" s="3"/>
      <c r="D197" s="21" t="s">
        <v>289</v>
      </c>
      <c r="E197" s="22"/>
      <c r="F197" s="23">
        <f>+F174</f>
        <v>0.25</v>
      </c>
      <c r="G197" s="24">
        <f>+ROUND(G196*F197,0)</f>
        <v>56923</v>
      </c>
    </row>
    <row r="198" spans="1:7" hidden="1" x14ac:dyDescent="0.3">
      <c r="A198" s="1"/>
      <c r="B198" s="2"/>
      <c r="C198" s="3"/>
      <c r="D198" s="25" t="s">
        <v>290</v>
      </c>
      <c r="E198" s="26"/>
      <c r="F198" s="23">
        <f>+F175</f>
        <v>0</v>
      </c>
      <c r="G198" s="14">
        <f>+ROUND(G196*F198,0)</f>
        <v>0</v>
      </c>
    </row>
    <row r="199" spans="1:7" ht="17.25" hidden="1" thickBot="1" x14ac:dyDescent="0.35">
      <c r="A199" s="1"/>
      <c r="B199" s="2"/>
      <c r="C199" s="3"/>
      <c r="D199" s="25" t="s">
        <v>291</v>
      </c>
      <c r="E199" s="26"/>
      <c r="F199" s="23">
        <f>+F176</f>
        <v>0.05</v>
      </c>
      <c r="G199" s="14">
        <f>+ROUND(G196*F199,0)</f>
        <v>11385</v>
      </c>
    </row>
    <row r="200" spans="1:7" ht="17.25" hidden="1" thickBot="1" x14ac:dyDescent="0.35">
      <c r="A200" s="1"/>
      <c r="B200" s="2"/>
      <c r="C200" s="3"/>
      <c r="D200" s="18" t="s">
        <v>10</v>
      </c>
      <c r="E200" s="29"/>
      <c r="F200" s="20"/>
      <c r="G200" s="17">
        <f>SUM(G196:G199)</f>
        <v>295998</v>
      </c>
    </row>
    <row r="201" spans="1:7" ht="17.25" thickBot="1" x14ac:dyDescent="0.35">
      <c r="A201" s="1"/>
      <c r="B201" s="2"/>
      <c r="C201" s="3"/>
      <c r="D201" s="121"/>
      <c r="E201" s="122"/>
      <c r="F201" s="39"/>
      <c r="G201" s="39"/>
    </row>
    <row r="202" spans="1:7" ht="33.75" thickBot="1" x14ac:dyDescent="0.35">
      <c r="A202" s="358" t="str">
        <f>PPTO!B24</f>
        <v>3,2,3</v>
      </c>
      <c r="B202" s="359" t="str">
        <f>VLOOKUP(A202,PPTO!$B$8:$D$94,2,0)</f>
        <v>Dovelas en concreto GRAUTING para amarre de mampostería 10x15x30 incluye acero de refuerzo con varilla de 1/2</v>
      </c>
      <c r="C202" s="360" t="s">
        <v>85</v>
      </c>
      <c r="D202" s="361" t="s">
        <v>274</v>
      </c>
      <c r="E202" s="362" t="s">
        <v>275</v>
      </c>
      <c r="F202" s="360" t="s">
        <v>276</v>
      </c>
      <c r="G202" s="363" t="s">
        <v>277</v>
      </c>
    </row>
    <row r="203" spans="1:7" ht="17.25" thickBot="1" x14ac:dyDescent="0.35">
      <c r="A203" s="1"/>
      <c r="B203" s="51" t="s">
        <v>278</v>
      </c>
      <c r="C203" s="43"/>
      <c r="D203" s="43"/>
      <c r="E203" s="44"/>
      <c r="F203" s="52"/>
      <c r="G203" s="7"/>
    </row>
    <row r="204" spans="1:7" x14ac:dyDescent="0.3">
      <c r="A204" s="1"/>
      <c r="B204" s="68" t="s">
        <v>331</v>
      </c>
      <c r="C204" s="53" t="str">
        <f>VLOOKUP(B204,INSUMOS!$B$2:$D$299,2,0)</f>
        <v>M3</v>
      </c>
      <c r="D204" s="8">
        <v>0.1</v>
      </c>
      <c r="E204" s="9">
        <f>0.1*0.1</f>
        <v>1.0000000000000002E-2</v>
      </c>
      <c r="F204" s="53">
        <f>VLOOKUP(B204,INSUMOS!$B$2:$D$299,3,0)</f>
        <v>420962.5</v>
      </c>
      <c r="G204" s="10">
        <f>+ROUND((1+D204)*E204*F204,0)</f>
        <v>4631</v>
      </c>
    </row>
    <row r="205" spans="1:7" x14ac:dyDescent="0.3">
      <c r="A205" s="1"/>
      <c r="B205" s="68" t="s">
        <v>314</v>
      </c>
      <c r="C205" s="54" t="str">
        <f>VLOOKUP(B205,INSUMOS!$B$2:$D$299,2,0)</f>
        <v>HR</v>
      </c>
      <c r="D205" s="11"/>
      <c r="E205" s="12">
        <v>0.15</v>
      </c>
      <c r="F205" s="54">
        <f>VLOOKUP(B205,INSUMOS!$B$2:$D$299,3,0)</f>
        <v>20625</v>
      </c>
      <c r="G205" s="13">
        <f t="shared" ref="G205:G207" si="8">+ROUND((1+D205)*E205*F205,0)</f>
        <v>3094</v>
      </c>
    </row>
    <row r="206" spans="1:7" x14ac:dyDescent="0.3">
      <c r="A206" s="1"/>
      <c r="B206" s="437" t="s">
        <v>324</v>
      </c>
      <c r="C206" s="425" t="s">
        <v>325</v>
      </c>
      <c r="D206" s="434"/>
      <c r="E206" s="435">
        <v>0.5</v>
      </c>
      <c r="F206" s="54">
        <f>VLOOKUP(B206,INSUMOS!$B$2:$D$299,3,0)</f>
        <v>3500</v>
      </c>
      <c r="G206" s="13">
        <f t="shared" si="8"/>
        <v>1750</v>
      </c>
    </row>
    <row r="207" spans="1:7" ht="17.25" thickBot="1" x14ac:dyDescent="0.35">
      <c r="A207" s="1"/>
      <c r="B207" s="120" t="s">
        <v>332</v>
      </c>
      <c r="C207" s="33" t="str">
        <f>VLOOKUP(B207,INSUMOS!$B$2:$D$299,2,0)</f>
        <v>KG</v>
      </c>
      <c r="D207" s="30">
        <v>0.05</v>
      </c>
      <c r="E207" s="31">
        <v>1</v>
      </c>
      <c r="F207" s="33">
        <f>VLOOKUP(B207,INSUMOS!$B$2:$D$299,3,0)</f>
        <v>8312</v>
      </c>
      <c r="G207" s="32">
        <f t="shared" si="8"/>
        <v>8728</v>
      </c>
    </row>
    <row r="208" spans="1:7" ht="17.25" thickBot="1" x14ac:dyDescent="0.35">
      <c r="A208" s="1"/>
      <c r="B208" s="55" t="s">
        <v>281</v>
      </c>
      <c r="C208" s="56"/>
      <c r="D208" s="56"/>
      <c r="E208" s="57"/>
      <c r="F208" s="58"/>
      <c r="G208" s="59"/>
    </row>
    <row r="209" spans="1:7" ht="17.25" thickBot="1" x14ac:dyDescent="0.35">
      <c r="A209" s="1"/>
      <c r="B209" s="15" t="s">
        <v>309</v>
      </c>
      <c r="C209" s="16" t="s">
        <v>321</v>
      </c>
      <c r="D209" s="60"/>
      <c r="E209" s="61">
        <v>4.5454545454545456E-2</v>
      </c>
      <c r="F209" s="16">
        <f>+'FACTOR PRESTACIONAL'!K9+'FACTOR PRESTACIONAL'!K10</f>
        <v>272406.29732663167</v>
      </c>
      <c r="G209" s="17">
        <f>+ROUND((1+D209)*E209*F209,0)</f>
        <v>12382</v>
      </c>
    </row>
    <row r="210" spans="1:7" ht="17.25" thickBot="1" x14ac:dyDescent="0.35">
      <c r="A210" s="1"/>
      <c r="B210" s="55" t="s">
        <v>283</v>
      </c>
      <c r="C210" s="56"/>
      <c r="D210" s="56"/>
      <c r="E210" s="57"/>
      <c r="F210" s="58"/>
      <c r="G210" s="59"/>
    </row>
    <row r="211" spans="1:7" ht="17.25" thickBot="1" x14ac:dyDescent="0.35">
      <c r="A211" s="1"/>
      <c r="B211" s="15" t="s">
        <v>310</v>
      </c>
      <c r="C211" s="16" t="s">
        <v>169</v>
      </c>
      <c r="D211" s="60"/>
      <c r="E211" s="61">
        <v>1</v>
      </c>
      <c r="F211" s="16">
        <v>1000</v>
      </c>
      <c r="G211" s="17">
        <f>+ROUND((1+D211)*E211*F211,0)</f>
        <v>1000</v>
      </c>
    </row>
    <row r="212" spans="1:7" ht="17.25" thickBot="1" x14ac:dyDescent="0.35">
      <c r="A212" s="1"/>
      <c r="B212" s="62" t="s">
        <v>286</v>
      </c>
      <c r="C212" s="5"/>
      <c r="D212" s="5"/>
      <c r="E212" s="6"/>
      <c r="F212" s="63"/>
      <c r="G212" s="64"/>
    </row>
    <row r="213" spans="1:7" ht="17.25" thickBot="1" x14ac:dyDescent="0.35">
      <c r="A213" s="1"/>
      <c r="B213" s="38" t="s">
        <v>286</v>
      </c>
      <c r="C213" s="47" t="s">
        <v>124</v>
      </c>
      <c r="D213" s="45"/>
      <c r="E213" s="46">
        <v>0.05</v>
      </c>
      <c r="F213" s="41">
        <f>F209*E213</f>
        <v>13620.314866331584</v>
      </c>
      <c r="G213" s="40">
        <f>+ROUND(E213*F213,0)</f>
        <v>681</v>
      </c>
    </row>
    <row r="214" spans="1:7" ht="17.25" thickBot="1" x14ac:dyDescent="0.35">
      <c r="A214" s="1"/>
      <c r="B214" s="2"/>
      <c r="C214" s="39"/>
      <c r="D214" s="18" t="s">
        <v>287</v>
      </c>
      <c r="E214" s="19"/>
      <c r="F214" s="20"/>
      <c r="G214" s="17">
        <f>SUM(G204:G213)</f>
        <v>32266</v>
      </c>
    </row>
    <row r="215" spans="1:7" hidden="1" x14ac:dyDescent="0.3">
      <c r="A215" s="1"/>
      <c r="B215" s="2"/>
      <c r="C215" s="3"/>
      <c r="D215" s="21" t="s">
        <v>289</v>
      </c>
      <c r="E215" s="22"/>
      <c r="F215" s="23">
        <f>+F197</f>
        <v>0.25</v>
      </c>
      <c r="G215" s="24">
        <f>+ROUND(G214*F215,0)</f>
        <v>8067</v>
      </c>
    </row>
    <row r="216" spans="1:7" hidden="1" x14ac:dyDescent="0.3">
      <c r="A216" s="1"/>
      <c r="B216" s="2"/>
      <c r="C216" s="3"/>
      <c r="D216" s="25" t="s">
        <v>290</v>
      </c>
      <c r="E216" s="26"/>
      <c r="F216" s="23">
        <f>+F198</f>
        <v>0</v>
      </c>
      <c r="G216" s="14">
        <f>+ROUND(G214*F216,0)</f>
        <v>0</v>
      </c>
    </row>
    <row r="217" spans="1:7" ht="17.25" hidden="1" thickBot="1" x14ac:dyDescent="0.35">
      <c r="A217" s="1"/>
      <c r="B217" s="2"/>
      <c r="C217" s="3"/>
      <c r="D217" s="25" t="s">
        <v>291</v>
      </c>
      <c r="E217" s="26"/>
      <c r="F217" s="23">
        <f>+F199</f>
        <v>0.05</v>
      </c>
      <c r="G217" s="14">
        <f>+ROUND(G214*F217,0)</f>
        <v>1613</v>
      </c>
    </row>
    <row r="218" spans="1:7" ht="17.25" hidden="1" thickBot="1" x14ac:dyDescent="0.35">
      <c r="A218" s="1"/>
      <c r="B218" s="2"/>
      <c r="C218" s="3"/>
      <c r="D218" s="18" t="s">
        <v>10</v>
      </c>
      <c r="E218" s="29"/>
      <c r="F218" s="20"/>
      <c r="G218" s="17">
        <f>SUM(G214:G217)</f>
        <v>41946</v>
      </c>
    </row>
    <row r="219" spans="1:7" ht="17.25" thickBot="1" x14ac:dyDescent="0.35">
      <c r="A219" s="1"/>
      <c r="B219" s="2"/>
      <c r="C219" s="3"/>
      <c r="D219" s="121"/>
      <c r="E219" s="122"/>
      <c r="F219" s="39"/>
      <c r="G219" s="39"/>
    </row>
    <row r="220" spans="1:7" ht="99.75" thickBot="1" x14ac:dyDescent="0.35">
      <c r="A220" s="358" t="str">
        <f>PPTO!B26</f>
        <v>3,3,1</v>
      </c>
      <c r="B220" s="359" t="str">
        <f>VLOOKUP(A220,PPTO!$B$8:$D$94,2,0)</f>
        <v>Suministro, transporte e instalación de estructura metalica para cubierta, suministro y transporte de perfiles tipo PHR 254X67X2mm, platinas, uniones, soldaduras de acabado o presentación, anclajes y pernos a estructura de concreto. Incluye transporte a sitio e izaje. Todos los elementos deben llevar dos manos de pintura anticorrosiva, color por definir. tambien incluye obra falsa y todo el equipo y la herramienta necesaria para el montaje.</v>
      </c>
      <c r="C220" s="360" t="s">
        <v>85</v>
      </c>
      <c r="D220" s="361" t="s">
        <v>274</v>
      </c>
      <c r="E220" s="362" t="s">
        <v>275</v>
      </c>
      <c r="F220" s="360" t="s">
        <v>276</v>
      </c>
      <c r="G220" s="363" t="s">
        <v>277</v>
      </c>
    </row>
    <row r="221" spans="1:7" ht="17.25" thickBot="1" x14ac:dyDescent="0.35">
      <c r="A221" s="1"/>
      <c r="B221" s="51" t="s">
        <v>278</v>
      </c>
      <c r="C221" s="43"/>
      <c r="D221" s="43"/>
      <c r="E221" s="44"/>
      <c r="F221" s="52"/>
      <c r="G221" s="7"/>
    </row>
    <row r="222" spans="1:7" x14ac:dyDescent="0.3">
      <c r="A222" s="1"/>
      <c r="B222" s="123" t="s">
        <v>333</v>
      </c>
      <c r="C222" s="53" t="str">
        <f>VLOOKUP(B222,INSUMOS!$B$2:$D$299,2,0)</f>
        <v>KG</v>
      </c>
      <c r="D222" s="8">
        <v>0.1</v>
      </c>
      <c r="E222" s="9">
        <v>1</v>
      </c>
      <c r="F222" s="53">
        <f>VLOOKUP(B222,INSUMOS!$B$2:$D$299,3,0)</f>
        <v>9500</v>
      </c>
      <c r="G222" s="10">
        <f>+ROUND((1+D222)*E222*F222,0)</f>
        <v>10450</v>
      </c>
    </row>
    <row r="223" spans="1:7" x14ac:dyDescent="0.3">
      <c r="A223" s="1"/>
      <c r="B223" s="68" t="s">
        <v>334</v>
      </c>
      <c r="C223" s="54" t="str">
        <f>VLOOKUP(B223,INSUMOS!$B$2:$D$299,2,0)</f>
        <v>KG</v>
      </c>
      <c r="D223" s="11"/>
      <c r="E223" s="12">
        <v>0.05</v>
      </c>
      <c r="F223" s="54">
        <f>VLOOKUP(B223,INSUMOS!$B$2:$D$299,3,0)</f>
        <v>22687.500000000004</v>
      </c>
      <c r="G223" s="13">
        <f t="shared" ref="G223:G228" si="9">+ROUND((1+D223)*E223*F223,0)</f>
        <v>1134</v>
      </c>
    </row>
    <row r="224" spans="1:7" x14ac:dyDescent="0.3">
      <c r="A224" s="1"/>
      <c r="B224" s="68" t="s">
        <v>335</v>
      </c>
      <c r="C224" s="54" t="str">
        <f>VLOOKUP(B224,INSUMOS!$B$2:$D$299,2,0)</f>
        <v>KG</v>
      </c>
      <c r="D224" s="11">
        <v>0.05</v>
      </c>
      <c r="E224" s="12">
        <v>0.02</v>
      </c>
      <c r="F224" s="54">
        <f>VLOOKUP(B224,INSUMOS!$B$2:$D$299,3,0)</f>
        <v>10312.5</v>
      </c>
      <c r="G224" s="13">
        <f t="shared" si="9"/>
        <v>217</v>
      </c>
    </row>
    <row r="225" spans="1:7" x14ac:dyDescent="0.3">
      <c r="A225" s="1"/>
      <c r="B225" s="437" t="s">
        <v>324</v>
      </c>
      <c r="C225" s="425" t="s">
        <v>325</v>
      </c>
      <c r="D225" s="434"/>
      <c r="E225" s="435">
        <v>0.02</v>
      </c>
      <c r="F225" s="54">
        <f>VLOOKUP(B225,INSUMOS!$B$2:$D$299,3,0)</f>
        <v>3500</v>
      </c>
      <c r="G225" s="13">
        <f t="shared" si="9"/>
        <v>70</v>
      </c>
    </row>
    <row r="226" spans="1:7" x14ac:dyDescent="0.3">
      <c r="A226" s="1"/>
      <c r="B226" s="68" t="s">
        <v>336</v>
      </c>
      <c r="C226" s="54" t="str">
        <f>VLOOKUP(B226,INSUMOS!$B$2:$D$299,2,0)</f>
        <v>UND</v>
      </c>
      <c r="D226" s="11"/>
      <c r="E226" s="12">
        <v>1.4999999999999999E-2</v>
      </c>
      <c r="F226" s="54">
        <f>VLOOKUP(B226,INSUMOS!$B$2:$D$299,3,0)</f>
        <v>3162.5000000000005</v>
      </c>
      <c r="G226" s="13">
        <f t="shared" si="9"/>
        <v>47</v>
      </c>
    </row>
    <row r="227" spans="1:7" x14ac:dyDescent="0.3">
      <c r="A227" s="1"/>
      <c r="B227" s="68" t="s">
        <v>337</v>
      </c>
      <c r="C227" s="54" t="str">
        <f>VLOOKUP(B227,INSUMOS!$B$2:$D$299,2,0)</f>
        <v>GLN</v>
      </c>
      <c r="D227" s="11"/>
      <c r="E227" s="12">
        <v>8.0000000000000002E-3</v>
      </c>
      <c r="F227" s="54">
        <f>VLOOKUP(B227,INSUMOS!$B$2:$D$299,3,0)</f>
        <v>89375</v>
      </c>
      <c r="G227" s="13">
        <f t="shared" si="9"/>
        <v>715</v>
      </c>
    </row>
    <row r="228" spans="1:7" ht="17.25" thickBot="1" x14ac:dyDescent="0.35">
      <c r="A228" s="1"/>
      <c r="B228" s="120" t="s">
        <v>338</v>
      </c>
      <c r="C228" s="33" t="str">
        <f>VLOOKUP(B228,INSUMOS!$B$2:$D$299,2,0)</f>
        <v>GLN</v>
      </c>
      <c r="D228" s="30"/>
      <c r="E228" s="31">
        <v>5.0000000000000001E-3</v>
      </c>
      <c r="F228" s="54">
        <f>VLOOKUP(B228,INSUMOS!$B$2:$D$299,3,0)</f>
        <v>103125.00000000001</v>
      </c>
      <c r="G228" s="32">
        <f t="shared" si="9"/>
        <v>516</v>
      </c>
    </row>
    <row r="229" spans="1:7" ht="17.25" thickBot="1" x14ac:dyDescent="0.35">
      <c r="A229" s="1"/>
      <c r="B229" s="55" t="s">
        <v>281</v>
      </c>
      <c r="C229" s="56"/>
      <c r="D229" s="56"/>
      <c r="E229" s="57"/>
      <c r="F229" s="58"/>
      <c r="G229" s="59"/>
    </row>
    <row r="230" spans="1:7" ht="17.25" thickBot="1" x14ac:dyDescent="0.35">
      <c r="A230" s="1"/>
      <c r="B230" s="15" t="s">
        <v>309</v>
      </c>
      <c r="C230" s="16" t="s">
        <v>321</v>
      </c>
      <c r="D230" s="60"/>
      <c r="E230" s="61">
        <v>1.7000000000000001E-2</v>
      </c>
      <c r="F230" s="16">
        <f>+('FACTOR PRESTACIONAL'!K9*2)+'FACTOR PRESTACIONAL'!K10+(2*'FACTOR PRESTACIONAL'!K11)</f>
        <v>719640.90192254074</v>
      </c>
      <c r="G230" s="17">
        <f>+ROUND((1+D230)*E230*F230,0)</f>
        <v>12234</v>
      </c>
    </row>
    <row r="231" spans="1:7" ht="17.25" thickBot="1" x14ac:dyDescent="0.35">
      <c r="A231" s="1"/>
      <c r="B231" s="55" t="s">
        <v>283</v>
      </c>
      <c r="C231" s="56"/>
      <c r="D231" s="56"/>
      <c r="E231" s="57"/>
      <c r="F231" s="58"/>
      <c r="G231" s="59"/>
    </row>
    <row r="232" spans="1:7" ht="17.25" thickBot="1" x14ac:dyDescent="0.35">
      <c r="A232" s="1"/>
      <c r="B232" s="15" t="s">
        <v>310</v>
      </c>
      <c r="C232" s="16" t="s">
        <v>169</v>
      </c>
      <c r="D232" s="60"/>
      <c r="E232" s="61">
        <v>0.4</v>
      </c>
      <c r="F232" s="16">
        <v>2500</v>
      </c>
      <c r="G232" s="17">
        <f>+ROUND((1+D232)*E232*F232,0)</f>
        <v>1000</v>
      </c>
    </row>
    <row r="233" spans="1:7" ht="17.25" thickBot="1" x14ac:dyDescent="0.35">
      <c r="A233" s="1"/>
      <c r="B233" s="62" t="s">
        <v>286</v>
      </c>
      <c r="C233" s="5"/>
      <c r="D233" s="5"/>
      <c r="E233" s="6"/>
      <c r="F233" s="63"/>
      <c r="G233" s="64"/>
    </row>
    <row r="234" spans="1:7" ht="17.25" thickBot="1" x14ac:dyDescent="0.35">
      <c r="A234" s="1"/>
      <c r="B234" s="38" t="s">
        <v>286</v>
      </c>
      <c r="C234" s="47" t="s">
        <v>124</v>
      </c>
      <c r="D234" s="45"/>
      <c r="E234" s="46">
        <v>0.05</v>
      </c>
      <c r="F234" s="41">
        <f>+G230</f>
        <v>12234</v>
      </c>
      <c r="G234" s="40">
        <f>+ROUND(E234*F234,0)</f>
        <v>612</v>
      </c>
    </row>
    <row r="235" spans="1:7" ht="17.25" thickBot="1" x14ac:dyDescent="0.35">
      <c r="A235" s="1"/>
      <c r="B235" s="2"/>
      <c r="C235" s="39"/>
      <c r="D235" s="18" t="s">
        <v>287</v>
      </c>
      <c r="E235" s="19"/>
      <c r="F235" s="20"/>
      <c r="G235" s="17">
        <f>SUM(G222:G234)</f>
        <v>26995</v>
      </c>
    </row>
    <row r="236" spans="1:7" hidden="1" x14ac:dyDescent="0.3">
      <c r="A236" s="1"/>
      <c r="B236" s="2"/>
      <c r="C236" s="3"/>
      <c r="D236" s="21" t="s">
        <v>289</v>
      </c>
      <c r="E236" s="22"/>
      <c r="F236" s="23">
        <f>+F215</f>
        <v>0.25</v>
      </c>
      <c r="G236" s="24">
        <f>+ROUND(G235*F236,0)</f>
        <v>6749</v>
      </c>
    </row>
    <row r="237" spans="1:7" hidden="1" x14ac:dyDescent="0.3">
      <c r="A237" s="1"/>
      <c r="B237" s="2"/>
      <c r="C237" s="3"/>
      <c r="D237" s="25" t="s">
        <v>290</v>
      </c>
      <c r="E237" s="26"/>
      <c r="F237" s="23">
        <f>+F216</f>
        <v>0</v>
      </c>
      <c r="G237" s="14">
        <f>+ROUND(G235*F237,0)</f>
        <v>0</v>
      </c>
    </row>
    <row r="238" spans="1:7" ht="17.25" hidden="1" thickBot="1" x14ac:dyDescent="0.35">
      <c r="A238" s="1"/>
      <c r="B238" s="2"/>
      <c r="C238" s="3"/>
      <c r="D238" s="25" t="s">
        <v>291</v>
      </c>
      <c r="E238" s="26"/>
      <c r="F238" s="23">
        <f>+F217</f>
        <v>0.05</v>
      </c>
      <c r="G238" s="14">
        <f>+ROUND(G235*F238,0)</f>
        <v>1350</v>
      </c>
    </row>
    <row r="239" spans="1:7" ht="17.25" hidden="1" thickBot="1" x14ac:dyDescent="0.35">
      <c r="A239" s="1"/>
      <c r="B239" s="2"/>
      <c r="C239" s="3"/>
      <c r="D239" s="18" t="s">
        <v>10</v>
      </c>
      <c r="E239" s="29"/>
      <c r="F239" s="20"/>
      <c r="G239" s="17">
        <f>SUM(G235:G238)</f>
        <v>35094</v>
      </c>
    </row>
    <row r="240" spans="1:7" ht="17.25" thickBot="1" x14ac:dyDescent="0.35">
      <c r="A240" s="1"/>
      <c r="B240" s="2"/>
      <c r="C240" s="3"/>
      <c r="D240" s="121"/>
      <c r="E240" s="122"/>
      <c r="F240" s="39"/>
      <c r="G240" s="39"/>
    </row>
    <row r="241" spans="1:7" ht="84" customHeight="1" thickBot="1" x14ac:dyDescent="0.35">
      <c r="A241" s="358" t="str">
        <f>PPTO!B27</f>
        <v>3,3,2</v>
      </c>
      <c r="B241" s="359" t="str">
        <f>VLOOKUP(A241,PPTO!$B$8:$D$94,2,0)</f>
        <v>Suministro, transporte e instalación de cubierta tipo Teja Termoacustica Ecoroof UPVC 2.5mm Blanco 1.07 x 5.90 Mts. Incluye remates internos y externos de cubierta, tornillos autoroscantes y todo lo necesario para su correcta instalación. Según diseño.</v>
      </c>
      <c r="C241" s="360" t="s">
        <v>85</v>
      </c>
      <c r="D241" s="361" t="s">
        <v>274</v>
      </c>
      <c r="E241" s="362" t="s">
        <v>275</v>
      </c>
      <c r="F241" s="360" t="s">
        <v>276</v>
      </c>
      <c r="G241" s="363" t="s">
        <v>277</v>
      </c>
    </row>
    <row r="242" spans="1:7" ht="17.25" thickBot="1" x14ac:dyDescent="0.35">
      <c r="A242" s="1"/>
      <c r="B242" s="51" t="s">
        <v>278</v>
      </c>
      <c r="C242" s="43"/>
      <c r="D242" s="43"/>
      <c r="E242" s="44"/>
      <c r="F242" s="52"/>
      <c r="G242" s="7"/>
    </row>
    <row r="243" spans="1:7" x14ac:dyDescent="0.3">
      <c r="A243" s="1"/>
      <c r="B243" s="123" t="s">
        <v>339</v>
      </c>
      <c r="C243" s="53" t="str">
        <f>VLOOKUP(B243,INSUMOS!$B$2:$D$299,2,0)</f>
        <v>m2</v>
      </c>
      <c r="D243" s="8">
        <v>0.1</v>
      </c>
      <c r="E243" s="9">
        <v>1</v>
      </c>
      <c r="F243" s="53">
        <f>VLOOKUP(B243,INSUMOS!$B$2:$D$299,3,0)</f>
        <v>43560.90606684619</v>
      </c>
      <c r="G243" s="10">
        <f>+ROUND((1+D243)*E243*F243,0)</f>
        <v>47917</v>
      </c>
    </row>
    <row r="244" spans="1:7" x14ac:dyDescent="0.3">
      <c r="A244" s="1"/>
      <c r="B244" s="68" t="s">
        <v>340</v>
      </c>
      <c r="C244" s="54" t="str">
        <f>VLOOKUP(B244,INSUMOS!$B$2:$D$299,2,0)</f>
        <v>und</v>
      </c>
      <c r="D244" s="11"/>
      <c r="E244" s="12">
        <v>1</v>
      </c>
      <c r="F244" s="54">
        <f>VLOOKUP(B244,INSUMOS!$B$2:$D$299,3,0)</f>
        <v>23237.500000000004</v>
      </c>
      <c r="G244" s="13">
        <f t="shared" ref="G244:G245" si="10">+ROUND((1+D244)*E244*F244,0)</f>
        <v>23238</v>
      </c>
    </row>
    <row r="245" spans="1:7" ht="17.25" thickBot="1" x14ac:dyDescent="0.35">
      <c r="A245" s="1"/>
      <c r="B245" s="120" t="s">
        <v>341</v>
      </c>
      <c r="C245" s="33" t="str">
        <f>VLOOKUP(B245,INSUMOS!$B$2:$D$299,2,0)</f>
        <v>DIA</v>
      </c>
      <c r="D245" s="30"/>
      <c r="E245" s="31">
        <v>2.5</v>
      </c>
      <c r="F245" s="33">
        <f>VLOOKUP(B245,INSUMOS!$B$2:$D$299,3,0)</f>
        <v>3025.0000000000005</v>
      </c>
      <c r="G245" s="32">
        <f t="shared" si="10"/>
        <v>7563</v>
      </c>
    </row>
    <row r="246" spans="1:7" ht="17.25" thickBot="1" x14ac:dyDescent="0.35">
      <c r="A246" s="1"/>
      <c r="B246" s="55" t="s">
        <v>281</v>
      </c>
      <c r="C246" s="56"/>
      <c r="D246" s="56"/>
      <c r="E246" s="57"/>
      <c r="F246" s="58"/>
      <c r="G246" s="59"/>
    </row>
    <row r="247" spans="1:7" ht="17.25" thickBot="1" x14ac:dyDescent="0.35">
      <c r="A247" s="1"/>
      <c r="B247" s="15" t="s">
        <v>309</v>
      </c>
      <c r="C247" s="16" t="s">
        <v>342</v>
      </c>
      <c r="D247" s="60"/>
      <c r="E247" s="61">
        <v>0.1</v>
      </c>
      <c r="F247" s="16">
        <f>+'FACTOR PRESTACIONAL'!K9+'FACTOR PRESTACIONAL'!K10</f>
        <v>272406.29732663167</v>
      </c>
      <c r="G247" s="17">
        <f>+ROUND((1+D247)*E247*F247,0)</f>
        <v>27241</v>
      </c>
    </row>
    <row r="248" spans="1:7" ht="17.25" thickBot="1" x14ac:dyDescent="0.35">
      <c r="A248" s="1"/>
      <c r="B248" s="55" t="s">
        <v>283</v>
      </c>
      <c r="C248" s="56"/>
      <c r="D248" s="56"/>
      <c r="E248" s="57"/>
      <c r="F248" s="58"/>
      <c r="G248" s="59"/>
    </row>
    <row r="249" spans="1:7" ht="17.25" thickBot="1" x14ac:dyDescent="0.35">
      <c r="A249" s="1"/>
      <c r="B249" s="15" t="s">
        <v>310</v>
      </c>
      <c r="C249" s="16" t="s">
        <v>169</v>
      </c>
      <c r="D249" s="60"/>
      <c r="E249" s="61">
        <v>1</v>
      </c>
      <c r="F249" s="16">
        <v>5000</v>
      </c>
      <c r="G249" s="17">
        <f>+ROUND((1+D249)*E249*F249,0)</f>
        <v>5000</v>
      </c>
    </row>
    <row r="250" spans="1:7" ht="17.25" thickBot="1" x14ac:dyDescent="0.35">
      <c r="A250" s="1"/>
      <c r="B250" s="62" t="s">
        <v>286</v>
      </c>
      <c r="C250" s="5"/>
      <c r="D250" s="5"/>
      <c r="E250" s="6"/>
      <c r="F250" s="63"/>
      <c r="G250" s="64"/>
    </row>
    <row r="251" spans="1:7" ht="17.25" thickBot="1" x14ac:dyDescent="0.35">
      <c r="A251" s="1"/>
      <c r="B251" s="38" t="s">
        <v>286</v>
      </c>
      <c r="C251" s="47" t="s">
        <v>124</v>
      </c>
      <c r="D251" s="45"/>
      <c r="E251" s="46">
        <v>0.05</v>
      </c>
      <c r="F251" s="41">
        <f>F247*E251</f>
        <v>13620.314866331584</v>
      </c>
      <c r="G251" s="40">
        <f>+ROUND(E251*F251,0)</f>
        <v>681</v>
      </c>
    </row>
    <row r="252" spans="1:7" ht="17.25" thickBot="1" x14ac:dyDescent="0.35">
      <c r="A252" s="1"/>
      <c r="B252" s="2"/>
      <c r="C252" s="39"/>
      <c r="D252" s="18" t="s">
        <v>287</v>
      </c>
      <c r="E252" s="19"/>
      <c r="F252" s="20"/>
      <c r="G252" s="17">
        <f>SUM(G243:G251)</f>
        <v>111640</v>
      </c>
    </row>
    <row r="253" spans="1:7" hidden="1" x14ac:dyDescent="0.3">
      <c r="A253" s="1"/>
      <c r="B253" s="2"/>
      <c r="C253" s="3"/>
      <c r="D253" s="21" t="s">
        <v>289</v>
      </c>
      <c r="E253" s="22"/>
      <c r="F253" s="23">
        <f>+F236</f>
        <v>0.25</v>
      </c>
      <c r="G253" s="24">
        <f>+ROUND(G252*F253,0)</f>
        <v>27910</v>
      </c>
    </row>
    <row r="254" spans="1:7" hidden="1" x14ac:dyDescent="0.3">
      <c r="A254" s="1"/>
      <c r="B254" s="2"/>
      <c r="C254" s="3"/>
      <c r="D254" s="25" t="s">
        <v>290</v>
      </c>
      <c r="E254" s="26"/>
      <c r="F254" s="23">
        <f t="shared" ref="F254:F255" si="11">+F237</f>
        <v>0</v>
      </c>
      <c r="G254" s="14">
        <f>+ROUND(G252*F254,0)</f>
        <v>0</v>
      </c>
    </row>
    <row r="255" spans="1:7" ht="17.25" hidden="1" thickBot="1" x14ac:dyDescent="0.35">
      <c r="A255" s="1"/>
      <c r="B255" s="2"/>
      <c r="C255" s="3"/>
      <c r="D255" s="25" t="s">
        <v>291</v>
      </c>
      <c r="E255" s="26"/>
      <c r="F255" s="23">
        <f t="shared" si="11"/>
        <v>0.05</v>
      </c>
      <c r="G255" s="14">
        <f>+ROUND(G252*F255,0)</f>
        <v>5582</v>
      </c>
    </row>
    <row r="256" spans="1:7" ht="17.25" hidden="1" thickBot="1" x14ac:dyDescent="0.35">
      <c r="A256" s="1"/>
      <c r="B256" s="2"/>
      <c r="C256" s="3"/>
      <c r="D256" s="18" t="s">
        <v>10</v>
      </c>
      <c r="E256" s="29"/>
      <c r="F256" s="20"/>
      <c r="G256" s="17">
        <f>SUM(G252:G255)</f>
        <v>145132</v>
      </c>
    </row>
    <row r="257" spans="1:7" ht="17.25" thickBot="1" x14ac:dyDescent="0.35">
      <c r="A257" s="1"/>
      <c r="B257" s="2"/>
      <c r="C257" s="3"/>
      <c r="D257" s="121"/>
      <c r="E257" s="122"/>
      <c r="F257" s="39"/>
      <c r="G257" s="39"/>
    </row>
    <row r="258" spans="1:7" ht="39.6" customHeight="1" thickBot="1" x14ac:dyDescent="0.35">
      <c r="A258" s="358" t="str">
        <f>PPTO!B29</f>
        <v>3,4,1</v>
      </c>
      <c r="B258" s="359" t="str">
        <f>VLOOKUP(A258,PPTO!$B$8:$D$94,2,0)</f>
        <v xml:space="preserve">Suministro, figurado y armado de Acero de refuerzo 6000PSI, (se incluyen zapatas, vigas de fundación y vigas de amarre y columnas). </v>
      </c>
      <c r="C258" s="360" t="s">
        <v>85</v>
      </c>
      <c r="D258" s="361" t="s">
        <v>274</v>
      </c>
      <c r="E258" s="362" t="s">
        <v>275</v>
      </c>
      <c r="F258" s="360" t="s">
        <v>276</v>
      </c>
      <c r="G258" s="363" t="s">
        <v>277</v>
      </c>
    </row>
    <row r="259" spans="1:7" ht="17.25" thickBot="1" x14ac:dyDescent="0.35">
      <c r="A259" s="1"/>
      <c r="B259" s="51" t="s">
        <v>278</v>
      </c>
      <c r="C259" s="43"/>
      <c r="D259" s="43"/>
      <c r="E259" s="44"/>
      <c r="F259" s="52"/>
      <c r="G259" s="7"/>
    </row>
    <row r="260" spans="1:7" x14ac:dyDescent="0.3">
      <c r="A260" s="1"/>
      <c r="B260" s="123" t="s">
        <v>316</v>
      </c>
      <c r="C260" s="53" t="str">
        <f>VLOOKUP(B260,INSUMOS!$B$2:$D$299,2,0)</f>
        <v>KG</v>
      </c>
      <c r="D260" s="8">
        <v>0.05</v>
      </c>
      <c r="E260" s="9">
        <v>0.1</v>
      </c>
      <c r="F260" s="53">
        <f>VLOOKUP(B260,INSUMOS!$B$2:$D$299,3,0)</f>
        <v>8600</v>
      </c>
      <c r="G260" s="10">
        <f>+ROUND((1+D260)*E260*F260,0)</f>
        <v>903</v>
      </c>
    </row>
    <row r="261" spans="1:7" x14ac:dyDescent="0.3">
      <c r="A261" s="1"/>
      <c r="B261" s="68" t="s">
        <v>343</v>
      </c>
      <c r="C261" s="54" t="str">
        <f>VLOOKUP(B261,INSUMOS!$B$2:$D$299,2,0)</f>
        <v>KG</v>
      </c>
      <c r="D261" s="11">
        <v>0.05</v>
      </c>
      <c r="E261" s="12">
        <v>1</v>
      </c>
      <c r="F261" s="54">
        <f>VLOOKUP(B261,INSUMOS!$B$2:$D$299,3,0)</f>
        <v>8312</v>
      </c>
      <c r="G261" s="13">
        <f t="shared" ref="G261:G262" si="12">+ROUND((1+D261)*E261*F261,0)</f>
        <v>8728</v>
      </c>
    </row>
    <row r="262" spans="1:7" ht="17.25" thickBot="1" x14ac:dyDescent="0.35">
      <c r="A262" s="1"/>
      <c r="B262" s="120"/>
      <c r="C262" s="33"/>
      <c r="D262" s="30"/>
      <c r="E262" s="31"/>
      <c r="F262" s="33"/>
      <c r="G262" s="32">
        <f t="shared" si="12"/>
        <v>0</v>
      </c>
    </row>
    <row r="263" spans="1:7" ht="17.25" thickBot="1" x14ac:dyDescent="0.35">
      <c r="A263" s="1"/>
      <c r="B263" s="55" t="s">
        <v>281</v>
      </c>
      <c r="C263" s="56"/>
      <c r="D263" s="56"/>
      <c r="E263" s="57"/>
      <c r="F263" s="58"/>
      <c r="G263" s="59"/>
    </row>
    <row r="264" spans="1:7" ht="17.25" thickBot="1" x14ac:dyDescent="0.35">
      <c r="A264" s="1"/>
      <c r="B264" s="15" t="s">
        <v>309</v>
      </c>
      <c r="C264" s="16" t="s">
        <v>321</v>
      </c>
      <c r="D264" s="60"/>
      <c r="E264" s="61">
        <v>6.6666666666666671E-3</v>
      </c>
      <c r="F264" s="16">
        <f>+'FACTOR PRESTACIONAL'!K9+'FACTOR PRESTACIONAL'!K10</f>
        <v>272406.29732663167</v>
      </c>
      <c r="G264" s="17">
        <f>+ROUND((1+D264)*E264*F264,0)</f>
        <v>1816</v>
      </c>
    </row>
    <row r="265" spans="1:7" ht="17.25" thickBot="1" x14ac:dyDescent="0.35">
      <c r="A265" s="1"/>
      <c r="B265" s="55" t="s">
        <v>283</v>
      </c>
      <c r="C265" s="56"/>
      <c r="D265" s="56"/>
      <c r="E265" s="57"/>
      <c r="F265" s="58"/>
      <c r="G265" s="59"/>
    </row>
    <row r="266" spans="1:7" ht="17.25" thickBot="1" x14ac:dyDescent="0.35">
      <c r="A266" s="1"/>
      <c r="B266" s="15" t="s">
        <v>310</v>
      </c>
      <c r="C266" s="16" t="s">
        <v>169</v>
      </c>
      <c r="D266" s="60"/>
      <c r="E266" s="61">
        <v>1</v>
      </c>
      <c r="F266" s="16">
        <v>500</v>
      </c>
      <c r="G266" s="17">
        <f>+ROUND((1+D266)*E266*F266,0)</f>
        <v>500</v>
      </c>
    </row>
    <row r="267" spans="1:7" ht="17.25" thickBot="1" x14ac:dyDescent="0.35">
      <c r="A267" s="1"/>
      <c r="B267" s="62" t="s">
        <v>286</v>
      </c>
      <c r="C267" s="5"/>
      <c r="D267" s="5"/>
      <c r="E267" s="6"/>
      <c r="F267" s="63"/>
      <c r="G267" s="64"/>
    </row>
    <row r="268" spans="1:7" ht="17.25" thickBot="1" x14ac:dyDescent="0.35">
      <c r="A268" s="1"/>
      <c r="B268" s="38" t="s">
        <v>286</v>
      </c>
      <c r="C268" s="47" t="s">
        <v>124</v>
      </c>
      <c r="D268" s="45"/>
      <c r="E268" s="46">
        <v>0.05</v>
      </c>
      <c r="F268" s="41">
        <f>+G264</f>
        <v>1816</v>
      </c>
      <c r="G268" s="40">
        <f>+ROUND(E268*F268,0)</f>
        <v>91</v>
      </c>
    </row>
    <row r="269" spans="1:7" ht="17.25" thickBot="1" x14ac:dyDescent="0.35">
      <c r="A269" s="1"/>
      <c r="B269" s="2"/>
      <c r="C269" s="39"/>
      <c r="D269" s="18" t="s">
        <v>287</v>
      </c>
      <c r="E269" s="19"/>
      <c r="F269" s="20"/>
      <c r="G269" s="17">
        <f>SUM(G260:G268)</f>
        <v>12038</v>
      </c>
    </row>
    <row r="270" spans="1:7" hidden="1" x14ac:dyDescent="0.3">
      <c r="A270" s="1"/>
      <c r="B270" s="2"/>
      <c r="C270" s="3"/>
      <c r="D270" s="21" t="s">
        <v>289</v>
      </c>
      <c r="E270" s="22"/>
      <c r="F270" s="23">
        <f>+F253</f>
        <v>0.25</v>
      </c>
      <c r="G270" s="24">
        <f>+ROUND(G269*F270,0)</f>
        <v>3010</v>
      </c>
    </row>
    <row r="271" spans="1:7" hidden="1" x14ac:dyDescent="0.3">
      <c r="A271" s="1"/>
      <c r="B271" s="2"/>
      <c r="C271" s="3"/>
      <c r="D271" s="25" t="s">
        <v>290</v>
      </c>
      <c r="E271" s="26"/>
      <c r="F271" s="23">
        <f t="shared" ref="F271:F272" si="13">+F254</f>
        <v>0</v>
      </c>
      <c r="G271" s="14">
        <f>+ROUND(G269*F271,0)</f>
        <v>0</v>
      </c>
    </row>
    <row r="272" spans="1:7" ht="17.25" hidden="1" thickBot="1" x14ac:dyDescent="0.35">
      <c r="A272" s="1"/>
      <c r="B272" s="2"/>
      <c r="C272" s="3"/>
      <c r="D272" s="25" t="s">
        <v>291</v>
      </c>
      <c r="E272" s="26"/>
      <c r="F272" s="23">
        <f t="shared" si="13"/>
        <v>0.05</v>
      </c>
      <c r="G272" s="14">
        <f>+ROUND(G269*F272,0)</f>
        <v>602</v>
      </c>
    </row>
    <row r="273" spans="1:7" ht="17.25" hidden="1" thickBot="1" x14ac:dyDescent="0.35">
      <c r="A273" s="1"/>
      <c r="B273" s="2"/>
      <c r="C273" s="3"/>
      <c r="D273" s="18" t="s">
        <v>10</v>
      </c>
      <c r="E273" s="29"/>
      <c r="F273" s="20"/>
      <c r="G273" s="17">
        <f>SUM(G269:G272)</f>
        <v>15650</v>
      </c>
    </row>
    <row r="274" spans="1:7" ht="17.25" thickBot="1" x14ac:dyDescent="0.35">
      <c r="A274" s="1"/>
      <c r="B274" s="2"/>
      <c r="C274" s="3"/>
      <c r="D274" s="121"/>
      <c r="E274" s="122"/>
      <c r="F274" s="39"/>
      <c r="G274" s="39"/>
    </row>
    <row r="275" spans="1:7" ht="66.75" thickBot="1" x14ac:dyDescent="0.35">
      <c r="A275" s="358">
        <f>+PPTO!B31</f>
        <v>4.0999999999999996</v>
      </c>
      <c r="B275" s="359" t="str">
        <f>VLOOKUP(A275,PPTO!$B$8:$D$94,2,0)</f>
        <v>Construcción de mampostería en ladrillo a la vista, de 10x15x30cm. Espesor de 15 cm. Incluye el suministro y transporte del ladrillo, el mortero de pega 1:4 espesor max=0.01 m y todos los demás elementos necesarios para su correcta construcción y funcionamiento.</v>
      </c>
      <c r="C275" s="360" t="s">
        <v>85</v>
      </c>
      <c r="D275" s="361" t="s">
        <v>274</v>
      </c>
      <c r="E275" s="362" t="s">
        <v>275</v>
      </c>
      <c r="F275" s="360" t="s">
        <v>276</v>
      </c>
      <c r="G275" s="363" t="s">
        <v>277</v>
      </c>
    </row>
    <row r="276" spans="1:7" x14ac:dyDescent="0.3">
      <c r="A276" s="1"/>
      <c r="B276" s="51" t="s">
        <v>278</v>
      </c>
      <c r="C276" s="43"/>
      <c r="D276" s="43"/>
      <c r="E276" s="44"/>
      <c r="F276" s="52"/>
      <c r="G276" s="7"/>
    </row>
    <row r="277" spans="1:7" x14ac:dyDescent="0.3">
      <c r="A277" s="1"/>
      <c r="B277" s="65" t="s">
        <v>344</v>
      </c>
      <c r="C277" s="54" t="str">
        <f>VLOOKUP(B277,INSUMOS!$B$2:$D$299,2,0)</f>
        <v>M3</v>
      </c>
      <c r="D277" s="11"/>
      <c r="E277" s="12">
        <v>5.9299999999999999E-2</v>
      </c>
      <c r="F277" s="54">
        <f>VLOOKUP(B277,INSUMOS!$B$2:$D$299,3,0)</f>
        <v>401525</v>
      </c>
      <c r="G277" s="67">
        <f>+ROUND((1+D277)*E277*F277,0)</f>
        <v>23810</v>
      </c>
    </row>
    <row r="278" spans="1:7" x14ac:dyDescent="0.3">
      <c r="A278" s="1"/>
      <c r="B278" s="65" t="s">
        <v>345</v>
      </c>
      <c r="C278" s="54" t="str">
        <f>VLOOKUP(B278,INSUMOS!B$2:D$562,2,0)</f>
        <v>un</v>
      </c>
      <c r="D278" s="11">
        <v>0.05</v>
      </c>
      <c r="E278" s="12">
        <v>20.16</v>
      </c>
      <c r="F278" s="54">
        <f>VLOOKUP(B278,INSUMOS!$B$2:$D$562,3,0)</f>
        <v>5776.2599999999993</v>
      </c>
      <c r="G278" s="67">
        <f>+ROUND((1+D278)*E278*F278,0)</f>
        <v>122272</v>
      </c>
    </row>
    <row r="279" spans="1:7" ht="17.25" thickBot="1" x14ac:dyDescent="0.35">
      <c r="A279" s="1"/>
      <c r="B279" s="55" t="s">
        <v>281</v>
      </c>
      <c r="C279" s="56"/>
      <c r="D279" s="56"/>
      <c r="E279" s="57"/>
      <c r="F279" s="58"/>
      <c r="G279" s="59"/>
    </row>
    <row r="280" spans="1:7" ht="17.25" thickBot="1" x14ac:dyDescent="0.35">
      <c r="A280" s="1"/>
      <c r="B280" s="15" t="s">
        <v>309</v>
      </c>
      <c r="C280" s="16" t="s">
        <v>321</v>
      </c>
      <c r="D280" s="60"/>
      <c r="E280" s="61">
        <v>0.1</v>
      </c>
      <c r="F280" s="441">
        <f>+'FACTOR PRESTACIONAL'!K9+'FACTOR PRESTACIONAL'!K10</f>
        <v>272406.29732663167</v>
      </c>
      <c r="G280" s="17">
        <f>+ROUND((1+D280)*E280*F280,0)</f>
        <v>27241</v>
      </c>
    </row>
    <row r="281" spans="1:7" ht="17.25" thickBot="1" x14ac:dyDescent="0.35">
      <c r="A281" s="1"/>
      <c r="B281" s="55" t="s">
        <v>283</v>
      </c>
      <c r="C281" s="56"/>
      <c r="D281" s="56"/>
      <c r="E281" s="57"/>
      <c r="F281" s="58"/>
      <c r="G281" s="59"/>
    </row>
    <row r="282" spans="1:7" ht="17.25" thickBot="1" x14ac:dyDescent="0.35">
      <c r="A282" s="1"/>
      <c r="B282" s="15" t="s">
        <v>310</v>
      </c>
      <c r="C282" s="16" t="s">
        <v>169</v>
      </c>
      <c r="D282" s="60"/>
      <c r="E282" s="61">
        <v>1</v>
      </c>
      <c r="F282" s="16">
        <v>500</v>
      </c>
      <c r="G282" s="17">
        <f>+ROUND((1+D282)*E282*F282,0)</f>
        <v>500</v>
      </c>
    </row>
    <row r="283" spans="1:7" ht="17.25" thickBot="1" x14ac:dyDescent="0.35">
      <c r="A283" s="1"/>
      <c r="B283" s="62" t="s">
        <v>286</v>
      </c>
      <c r="C283" s="5"/>
      <c r="D283" s="5"/>
      <c r="E283" s="6"/>
      <c r="F283" s="63"/>
      <c r="G283" s="64"/>
    </row>
    <row r="284" spans="1:7" ht="17.25" thickBot="1" x14ac:dyDescent="0.35">
      <c r="A284" s="1"/>
      <c r="B284" s="38" t="s">
        <v>286</v>
      </c>
      <c r="C284" s="47" t="s">
        <v>124</v>
      </c>
      <c r="D284" s="45"/>
      <c r="E284" s="46">
        <v>0.05</v>
      </c>
      <c r="F284" s="41">
        <f>F280</f>
        <v>272406.29732663167</v>
      </c>
      <c r="G284" s="40">
        <f>+ROUND(E284*F284,0)</f>
        <v>13620</v>
      </c>
    </row>
    <row r="285" spans="1:7" ht="17.25" thickBot="1" x14ac:dyDescent="0.35">
      <c r="A285" s="1"/>
      <c r="B285" s="2"/>
      <c r="C285" s="39"/>
      <c r="D285" s="18" t="s">
        <v>287</v>
      </c>
      <c r="E285" s="19"/>
      <c r="F285" s="20"/>
      <c r="G285" s="17">
        <f>SUM(G277:G284)</f>
        <v>187443</v>
      </c>
    </row>
    <row r="286" spans="1:7" hidden="1" x14ac:dyDescent="0.3">
      <c r="A286" s="1"/>
      <c r="B286" s="2"/>
      <c r="C286" s="3"/>
      <c r="D286" s="21" t="s">
        <v>289</v>
      </c>
      <c r="E286" s="22"/>
      <c r="F286" s="23">
        <f>+F270</f>
        <v>0.25</v>
      </c>
      <c r="G286" s="24">
        <f>+ROUND(G285*F286,0)</f>
        <v>46861</v>
      </c>
    </row>
    <row r="287" spans="1:7" hidden="1" x14ac:dyDescent="0.3">
      <c r="A287" s="1"/>
      <c r="B287" s="2"/>
      <c r="C287" s="3"/>
      <c r="D287" s="25" t="s">
        <v>290</v>
      </c>
      <c r="E287" s="26"/>
      <c r="F287" s="23">
        <f>+F271</f>
        <v>0</v>
      </c>
      <c r="G287" s="14">
        <f>+ROUND(G285*F287,0)</f>
        <v>0</v>
      </c>
    </row>
    <row r="288" spans="1:7" ht="17.25" hidden="1" thickBot="1" x14ac:dyDescent="0.35">
      <c r="A288" s="1"/>
      <c r="B288" s="2"/>
      <c r="C288" s="3"/>
      <c r="D288" s="25" t="s">
        <v>291</v>
      </c>
      <c r="E288" s="26"/>
      <c r="F288" s="23">
        <f>+F272</f>
        <v>0.05</v>
      </c>
      <c r="G288" s="14">
        <f>+ROUND(G285*F288,0)</f>
        <v>9372</v>
      </c>
    </row>
    <row r="289" spans="1:7" ht="17.25" hidden="1" thickBot="1" x14ac:dyDescent="0.35">
      <c r="A289" s="1"/>
      <c r="B289" s="2"/>
      <c r="C289" s="3"/>
      <c r="D289" s="18" t="s">
        <v>10</v>
      </c>
      <c r="E289" s="29"/>
      <c r="F289" s="20"/>
      <c r="G289" s="17">
        <f>SUM(G285:G288)</f>
        <v>243676</v>
      </c>
    </row>
    <row r="290" spans="1:7" ht="17.25" thickBot="1" x14ac:dyDescent="0.35"/>
    <row r="291" spans="1:7" ht="66.75" thickBot="1" x14ac:dyDescent="0.35">
      <c r="A291" s="358">
        <f>PPTO!B32</f>
        <v>4.2</v>
      </c>
      <c r="B291" s="359" t="str">
        <f>VLOOKUP(A291,PPTO!$B$8:$D$94,2,0)</f>
        <v>Impermeabilización Sobrecimientos en bloque por medio de  IGOL denso plus o similar. Incluye mortero 1:4 espesor 2cm para revoque, pendientes, emulsión asfáltica, mediacaña, regata y todo lo necesario para su correcta construcción.. PRIMER NIVEL 80 cm</v>
      </c>
      <c r="C291" s="360" t="s">
        <v>85</v>
      </c>
      <c r="D291" s="361" t="s">
        <v>274</v>
      </c>
      <c r="E291" s="362" t="s">
        <v>275</v>
      </c>
      <c r="F291" s="360" t="s">
        <v>276</v>
      </c>
      <c r="G291" s="363" t="s">
        <v>277</v>
      </c>
    </row>
    <row r="292" spans="1:7" x14ac:dyDescent="0.3">
      <c r="A292" s="1"/>
      <c r="B292" s="51" t="s">
        <v>278</v>
      </c>
      <c r="C292" s="43"/>
      <c r="D292" s="43"/>
      <c r="E292" s="44"/>
      <c r="F292" s="52"/>
      <c r="G292" s="7"/>
    </row>
    <row r="293" spans="1:7" x14ac:dyDescent="0.3">
      <c r="A293" s="1"/>
      <c r="B293" s="65" t="s">
        <v>344</v>
      </c>
      <c r="C293" s="54" t="str">
        <f>VLOOKUP(B293,INSUMOS!$B$2:$D$562,2,0)</f>
        <v>M3</v>
      </c>
      <c r="D293" s="11"/>
      <c r="E293" s="12">
        <v>3.5000000000000003E-2</v>
      </c>
      <c r="F293" s="54">
        <f>VLOOKUP(B293,INSUMOS!$B$2:$D$562,3,0)</f>
        <v>401525</v>
      </c>
      <c r="G293" s="67">
        <f>+ROUND((1+D293)*E293*F293,0)</f>
        <v>14053</v>
      </c>
    </row>
    <row r="294" spans="1:7" x14ac:dyDescent="0.3">
      <c r="A294" s="1"/>
      <c r="B294" s="65" t="s">
        <v>346</v>
      </c>
      <c r="C294" s="54" t="str">
        <f>VLOOKUP(B294,INSUMOS!$B$2:$D$562,2,0)</f>
        <v>kg</v>
      </c>
      <c r="D294" s="11"/>
      <c r="E294" s="12">
        <v>0.53</v>
      </c>
      <c r="F294" s="54">
        <f>VLOOKUP(B294,INSUMOS!$B$2:$D$562,3,0)</f>
        <v>48125.000000000007</v>
      </c>
      <c r="G294" s="67">
        <f>+ROUND((1+D294)*E294*F294,0)</f>
        <v>25506</v>
      </c>
    </row>
    <row r="295" spans="1:7" ht="17.25" thickBot="1" x14ac:dyDescent="0.35">
      <c r="A295" s="1"/>
      <c r="B295" s="55" t="s">
        <v>281</v>
      </c>
      <c r="C295" s="56"/>
      <c r="D295" s="56"/>
      <c r="E295" s="57"/>
      <c r="F295" s="58"/>
      <c r="G295" s="59"/>
    </row>
    <row r="296" spans="1:7" ht="17.25" thickBot="1" x14ac:dyDescent="0.35">
      <c r="A296" s="1"/>
      <c r="B296" s="15" t="s">
        <v>347</v>
      </c>
      <c r="C296" s="16" t="s">
        <v>321</v>
      </c>
      <c r="D296" s="60"/>
      <c r="E296" s="61">
        <v>0.125</v>
      </c>
      <c r="F296" s="16">
        <f>+'FACTOR PRESTACIONAL'!K11</f>
        <v>137610.64756797199</v>
      </c>
      <c r="G296" s="17">
        <f>+ROUND((1+D296)*E296*F296,0)</f>
        <v>17201</v>
      </c>
    </row>
    <row r="297" spans="1:7" ht="17.25" thickBot="1" x14ac:dyDescent="0.35">
      <c r="A297" s="1"/>
      <c r="B297" s="55" t="s">
        <v>283</v>
      </c>
      <c r="C297" s="56"/>
      <c r="D297" s="56"/>
      <c r="E297" s="57"/>
      <c r="F297" s="58"/>
      <c r="G297" s="59"/>
    </row>
    <row r="298" spans="1:7" ht="17.25" thickBot="1" x14ac:dyDescent="0.35">
      <c r="A298" s="1"/>
      <c r="B298" s="15" t="s">
        <v>310</v>
      </c>
      <c r="C298" s="16" t="s">
        <v>169</v>
      </c>
      <c r="D298" s="60"/>
      <c r="E298" s="61">
        <v>1</v>
      </c>
      <c r="F298" s="16">
        <v>1500</v>
      </c>
      <c r="G298" s="17">
        <f>+ROUND((1+D298)*E298*F298,0)</f>
        <v>1500</v>
      </c>
    </row>
    <row r="299" spans="1:7" ht="17.25" thickBot="1" x14ac:dyDescent="0.35">
      <c r="A299" s="1"/>
      <c r="B299" s="62" t="s">
        <v>286</v>
      </c>
      <c r="C299" s="5"/>
      <c r="D299" s="5"/>
      <c r="E299" s="6"/>
      <c r="F299" s="63"/>
      <c r="G299" s="64"/>
    </row>
    <row r="300" spans="1:7" ht="17.25" thickBot="1" x14ac:dyDescent="0.35">
      <c r="A300" s="1"/>
      <c r="B300" s="38" t="s">
        <v>286</v>
      </c>
      <c r="C300" s="47" t="s">
        <v>124</v>
      </c>
      <c r="D300" s="45"/>
      <c r="E300" s="46">
        <v>0.05</v>
      </c>
      <c r="F300" s="41">
        <f>+G296</f>
        <v>17201</v>
      </c>
      <c r="G300" s="40">
        <f>+ROUND(E300*F300,0)</f>
        <v>860</v>
      </c>
    </row>
    <row r="301" spans="1:7" ht="17.25" thickBot="1" x14ac:dyDescent="0.35">
      <c r="A301" s="1"/>
      <c r="B301" s="2"/>
      <c r="C301" s="39"/>
      <c r="D301" s="18" t="s">
        <v>287</v>
      </c>
      <c r="E301" s="19"/>
      <c r="F301" s="20"/>
      <c r="G301" s="17">
        <f>SUM(G293:G300)</f>
        <v>59120</v>
      </c>
    </row>
    <row r="302" spans="1:7" hidden="1" x14ac:dyDescent="0.3">
      <c r="A302" s="1"/>
      <c r="B302" s="2"/>
      <c r="C302" s="3"/>
      <c r="D302" s="21" t="s">
        <v>289</v>
      </c>
      <c r="E302" s="22"/>
      <c r="F302" s="23">
        <f>+F286</f>
        <v>0.25</v>
      </c>
      <c r="G302" s="24">
        <f>+ROUND(G301*F302,0)</f>
        <v>14780</v>
      </c>
    </row>
    <row r="303" spans="1:7" hidden="1" x14ac:dyDescent="0.3">
      <c r="A303" s="1"/>
      <c r="B303" s="2"/>
      <c r="C303" s="3"/>
      <c r="D303" s="25" t="s">
        <v>290</v>
      </c>
      <c r="E303" s="26"/>
      <c r="F303" s="23">
        <f t="shared" ref="F303:F304" si="14">+F287</f>
        <v>0</v>
      </c>
      <c r="G303" s="14">
        <f>+ROUND(G301*F303,0)</f>
        <v>0</v>
      </c>
    </row>
    <row r="304" spans="1:7" ht="17.25" hidden="1" thickBot="1" x14ac:dyDescent="0.35">
      <c r="A304" s="1"/>
      <c r="B304" s="2"/>
      <c r="C304" s="3"/>
      <c r="D304" s="25" t="s">
        <v>291</v>
      </c>
      <c r="E304" s="26"/>
      <c r="F304" s="23">
        <f t="shared" si="14"/>
        <v>0.05</v>
      </c>
      <c r="G304" s="14">
        <f>+ROUND(G301*F304,0)</f>
        <v>2956</v>
      </c>
    </row>
    <row r="305" spans="1:7" ht="17.25" hidden="1" thickBot="1" x14ac:dyDescent="0.35">
      <c r="A305" s="1"/>
      <c r="B305" s="2"/>
      <c r="C305" s="3"/>
      <c r="D305" s="18" t="s">
        <v>10</v>
      </c>
      <c r="E305" s="29"/>
      <c r="F305" s="20"/>
      <c r="G305" s="17">
        <f>SUM(G301:G304)</f>
        <v>76856</v>
      </c>
    </row>
    <row r="306" spans="1:7" ht="17.25" thickBot="1" x14ac:dyDescent="0.35"/>
    <row r="307" spans="1:7" ht="83.25" thickBot="1" x14ac:dyDescent="0.35">
      <c r="A307" s="358">
        <v>4.4000000000000004</v>
      </c>
      <c r="B307" s="359" t="str">
        <f>VLOOKUP(A307,PPTO!$B$8:$D$94,2,0)</f>
        <v>Suministro, transporte y aplicación de hidrófugo impermeabilizante del tipo siliconite (Sika transparente o equivalente) o equivalente para mampostería de fachadas, con todos los elementos necesarios para su correcta instalación y funcionamiento, incluye a su vez lavado con  aplicación de ácido nítrico e hidrosolve proporción 1:1:5 para lavada de muros interiores</v>
      </c>
      <c r="C307" s="360" t="s">
        <v>85</v>
      </c>
      <c r="D307" s="361" t="s">
        <v>274</v>
      </c>
      <c r="E307" s="362" t="s">
        <v>275</v>
      </c>
      <c r="F307" s="360" t="s">
        <v>276</v>
      </c>
      <c r="G307" s="363" t="s">
        <v>277</v>
      </c>
    </row>
    <row r="308" spans="1:7" x14ac:dyDescent="0.3">
      <c r="A308" s="1"/>
      <c r="B308" s="51" t="s">
        <v>278</v>
      </c>
      <c r="C308" s="43"/>
      <c r="D308" s="43"/>
      <c r="E308" s="44"/>
      <c r="F308" s="52"/>
      <c r="G308" s="7"/>
    </row>
    <row r="309" spans="1:7" ht="30.75" customHeight="1" x14ac:dyDescent="0.3">
      <c r="A309" s="1"/>
      <c r="B309" s="65" t="s">
        <v>348</v>
      </c>
      <c r="C309" s="54" t="str">
        <f>VLOOKUP(B309,INSUMOS!$B$2:$D$563,2,0)</f>
        <v>kg</v>
      </c>
      <c r="D309" s="11"/>
      <c r="E309" s="12">
        <v>0.5</v>
      </c>
      <c r="F309" s="54">
        <f>VLOOKUP(B309,INSUMOS!$B$2:$D$563,3,0)</f>
        <v>35000</v>
      </c>
      <c r="G309" s="67">
        <f>+ROUND((1+D309)*E309*F309,0)</f>
        <v>17500</v>
      </c>
    </row>
    <row r="310" spans="1:7" ht="17.25" thickBot="1" x14ac:dyDescent="0.35">
      <c r="A310" s="1"/>
      <c r="B310" s="55" t="s">
        <v>281</v>
      </c>
      <c r="C310" s="56"/>
      <c r="D310" s="56"/>
      <c r="E310" s="57"/>
      <c r="F310" s="58"/>
      <c r="G310" s="59"/>
    </row>
    <row r="311" spans="1:7" ht="17.25" thickBot="1" x14ac:dyDescent="0.35">
      <c r="A311" s="1"/>
      <c r="B311" s="15" t="s">
        <v>347</v>
      </c>
      <c r="C311" s="16" t="s">
        <v>349</v>
      </c>
      <c r="D311" s="60"/>
      <c r="E311" s="61">
        <v>2.8571428571428571E-2</v>
      </c>
      <c r="F311" s="16">
        <f>+'FACTOR PRESTACIONAL'!K9</f>
        <v>172013.30945996501</v>
      </c>
      <c r="G311" s="17">
        <f>+ROUND((1+D311)*E311*F311,0)</f>
        <v>4915</v>
      </c>
    </row>
    <row r="312" spans="1:7" ht="17.25" thickBot="1" x14ac:dyDescent="0.35">
      <c r="A312" s="1"/>
      <c r="B312" s="55" t="s">
        <v>283</v>
      </c>
      <c r="C312" s="56"/>
      <c r="D312" s="56"/>
      <c r="E312" s="57"/>
      <c r="F312" s="58"/>
      <c r="G312" s="59"/>
    </row>
    <row r="313" spans="1:7" ht="17.25" thickBot="1" x14ac:dyDescent="0.35">
      <c r="A313" s="1"/>
      <c r="B313" s="15" t="s">
        <v>310</v>
      </c>
      <c r="C313" s="16" t="s">
        <v>169</v>
      </c>
      <c r="D313" s="60"/>
      <c r="E313" s="61">
        <v>1</v>
      </c>
      <c r="F313" s="16">
        <v>2000</v>
      </c>
      <c r="G313" s="17">
        <f>+ROUND((1+D313)*E313*F313,0)</f>
        <v>2000</v>
      </c>
    </row>
    <row r="314" spans="1:7" ht="17.25" thickBot="1" x14ac:dyDescent="0.35">
      <c r="A314" s="1"/>
      <c r="B314" s="62" t="s">
        <v>286</v>
      </c>
      <c r="C314" s="5"/>
      <c r="D314" s="5"/>
      <c r="E314" s="6"/>
      <c r="F314" s="63"/>
      <c r="G314" s="64"/>
    </row>
    <row r="315" spans="1:7" ht="17.25" thickBot="1" x14ac:dyDescent="0.35">
      <c r="A315" s="1"/>
      <c r="B315" s="38" t="s">
        <v>286</v>
      </c>
      <c r="C315" s="47" t="s">
        <v>124</v>
      </c>
      <c r="D315" s="45"/>
      <c r="E315" s="46">
        <v>0.05</v>
      </c>
      <c r="F315" s="41">
        <f>G311</f>
        <v>4915</v>
      </c>
      <c r="G315" s="40">
        <f>+ROUND(E315*F315,0)</f>
        <v>246</v>
      </c>
    </row>
    <row r="316" spans="1:7" ht="14.45" customHeight="1" thickBot="1" x14ac:dyDescent="0.35">
      <c r="A316" s="1"/>
      <c r="B316" s="2"/>
      <c r="C316" s="39"/>
      <c r="D316" s="18" t="s">
        <v>287</v>
      </c>
      <c r="E316" s="19"/>
      <c r="F316" s="20"/>
      <c r="G316" s="17">
        <f>SUM(G309:G315)</f>
        <v>24661</v>
      </c>
    </row>
    <row r="317" spans="1:7" hidden="1" x14ac:dyDescent="0.3">
      <c r="A317" s="1"/>
      <c r="B317" s="2"/>
      <c r="C317" s="3"/>
      <c r="D317" s="21" t="s">
        <v>289</v>
      </c>
      <c r="E317" s="22"/>
      <c r="F317" s="23">
        <f>+F302</f>
        <v>0.25</v>
      </c>
      <c r="G317" s="24">
        <f>+ROUND(G316*F317,0)</f>
        <v>6165</v>
      </c>
    </row>
    <row r="318" spans="1:7" hidden="1" x14ac:dyDescent="0.3">
      <c r="A318" s="1"/>
      <c r="B318" s="2"/>
      <c r="C318" s="3"/>
      <c r="D318" s="25" t="s">
        <v>290</v>
      </c>
      <c r="E318" s="26"/>
      <c r="F318" s="23">
        <f t="shared" ref="F318:F319" si="15">+F303</f>
        <v>0</v>
      </c>
      <c r="G318" s="14">
        <f>+ROUND(G316*F318,0)</f>
        <v>0</v>
      </c>
    </row>
    <row r="319" spans="1:7" ht="17.25" hidden="1" thickBot="1" x14ac:dyDescent="0.35">
      <c r="A319" s="1"/>
      <c r="B319" s="2"/>
      <c r="C319" s="3"/>
      <c r="D319" s="25" t="s">
        <v>291</v>
      </c>
      <c r="E319" s="26"/>
      <c r="F319" s="23">
        <f t="shared" si="15"/>
        <v>0.05</v>
      </c>
      <c r="G319" s="14">
        <f>+ROUND(G316*F319,0)</f>
        <v>1233</v>
      </c>
    </row>
    <row r="320" spans="1:7" ht="17.25" hidden="1" thickBot="1" x14ac:dyDescent="0.35">
      <c r="A320" s="1"/>
      <c r="B320" s="2"/>
      <c r="C320" s="3"/>
      <c r="D320" s="18" t="s">
        <v>10</v>
      </c>
      <c r="E320" s="29"/>
      <c r="F320" s="20"/>
      <c r="G320" s="17">
        <f>SUM(G316:G319)</f>
        <v>32059</v>
      </c>
    </row>
    <row r="321" spans="1:7" ht="17.25" thickBot="1" x14ac:dyDescent="0.35"/>
    <row r="322" spans="1:7" ht="50.25" thickBot="1" x14ac:dyDescent="0.35">
      <c r="A322" s="358">
        <f>PPTO!B33</f>
        <v>4.3</v>
      </c>
      <c r="B322" s="359" t="str">
        <f>VLOOKUP(A322,PPTO!$B$8:$D$94,2,0)</f>
        <v>Colocación de revoque con mortero 1:4 impermeabilizado con sika 1 o equivalente en muros. Incluye suministro y transporte de materiales, fajas, ranuras, filetes y todos los demas elementos para su correcta construcció.</v>
      </c>
      <c r="C322" s="360" t="s">
        <v>85</v>
      </c>
      <c r="D322" s="361" t="s">
        <v>274</v>
      </c>
      <c r="E322" s="362" t="s">
        <v>275</v>
      </c>
      <c r="F322" s="360" t="s">
        <v>276</v>
      </c>
      <c r="G322" s="363" t="s">
        <v>277</v>
      </c>
    </row>
    <row r="323" spans="1:7" x14ac:dyDescent="0.3">
      <c r="A323" s="1"/>
      <c r="B323" s="51" t="s">
        <v>278</v>
      </c>
      <c r="C323" s="43"/>
      <c r="D323" s="43"/>
      <c r="E323" s="44"/>
      <c r="F323" s="52"/>
      <c r="G323" s="7"/>
    </row>
    <row r="324" spans="1:7" x14ac:dyDescent="0.3">
      <c r="A324" s="1"/>
      <c r="B324" s="65" t="s">
        <v>350</v>
      </c>
      <c r="C324" s="54" t="str">
        <f>VLOOKUP(B324,INSUMOS!$B$2:$D$562,2,0)</f>
        <v>M3</v>
      </c>
      <c r="D324" s="11"/>
      <c r="E324" s="12">
        <f>1*1*0.04</f>
        <v>0.04</v>
      </c>
      <c r="F324" s="54">
        <f>VLOOKUP(B324,INSUMOS!$B$2:$D$562,3,0)</f>
        <v>523982.5</v>
      </c>
      <c r="G324" s="67">
        <f>+ROUND((1+D324)*E324*F324,0)</f>
        <v>20959</v>
      </c>
    </row>
    <row r="325" spans="1:7" x14ac:dyDescent="0.3">
      <c r="A325" s="1"/>
      <c r="B325" s="65"/>
      <c r="C325" s="54"/>
      <c r="D325" s="11"/>
      <c r="E325" s="12"/>
      <c r="F325" s="54"/>
      <c r="G325" s="67"/>
    </row>
    <row r="326" spans="1:7" x14ac:dyDescent="0.3">
      <c r="A326" s="1"/>
      <c r="B326" s="65"/>
      <c r="C326" s="54"/>
      <c r="D326" s="11"/>
      <c r="E326" s="12"/>
      <c r="F326" s="54"/>
      <c r="G326" s="67"/>
    </row>
    <row r="327" spans="1:7" x14ac:dyDescent="0.3">
      <c r="A327" s="1"/>
      <c r="B327" s="65"/>
      <c r="C327" s="54"/>
      <c r="D327" s="11"/>
      <c r="E327" s="12"/>
      <c r="F327" s="54"/>
      <c r="G327" s="67"/>
    </row>
    <row r="328" spans="1:7" ht="17.25" thickBot="1" x14ac:dyDescent="0.35">
      <c r="A328" s="1"/>
      <c r="B328" s="55" t="s">
        <v>281</v>
      </c>
      <c r="C328" s="56"/>
      <c r="D328" s="56"/>
      <c r="E328" s="57"/>
      <c r="F328" s="58"/>
      <c r="G328" s="59"/>
    </row>
    <row r="329" spans="1:7" ht="17.25" thickBot="1" x14ac:dyDescent="0.35">
      <c r="A329" s="1"/>
      <c r="B329" s="15" t="s">
        <v>351</v>
      </c>
      <c r="C329" s="16" t="s">
        <v>349</v>
      </c>
      <c r="D329" s="60"/>
      <c r="E329" s="61">
        <v>0.05</v>
      </c>
      <c r="F329" s="16">
        <f>+'FACTOR PRESTACIONAL'!K9</f>
        <v>172013.30945996501</v>
      </c>
      <c r="G329" s="17">
        <f>+ROUND((1+D329)*E329*F329,0)</f>
        <v>8601</v>
      </c>
    </row>
    <row r="330" spans="1:7" ht="17.25" thickBot="1" x14ac:dyDescent="0.35">
      <c r="A330" s="1"/>
      <c r="B330" s="55" t="s">
        <v>283</v>
      </c>
      <c r="C330" s="56"/>
      <c r="D330" s="56"/>
      <c r="E330" s="57"/>
      <c r="F330" s="58"/>
      <c r="G330" s="59"/>
    </row>
    <row r="331" spans="1:7" ht="17.25" thickBot="1" x14ac:dyDescent="0.35">
      <c r="A331" s="1"/>
      <c r="B331" s="15" t="s">
        <v>310</v>
      </c>
      <c r="C331" s="16" t="s">
        <v>169</v>
      </c>
      <c r="D331" s="60"/>
      <c r="E331" s="61">
        <v>1</v>
      </c>
      <c r="F331" s="16">
        <v>2000</v>
      </c>
      <c r="G331" s="17">
        <f>+ROUND((1+D331)*E331*F331,0)</f>
        <v>2000</v>
      </c>
    </row>
    <row r="332" spans="1:7" ht="17.25" thickBot="1" x14ac:dyDescent="0.35">
      <c r="A332" s="1"/>
      <c r="B332" s="62" t="s">
        <v>286</v>
      </c>
      <c r="C332" s="5"/>
      <c r="D332" s="5"/>
      <c r="E332" s="6"/>
      <c r="F332" s="63"/>
      <c r="G332" s="64"/>
    </row>
    <row r="333" spans="1:7" ht="17.25" thickBot="1" x14ac:dyDescent="0.35">
      <c r="A333" s="1"/>
      <c r="B333" s="38" t="s">
        <v>286</v>
      </c>
      <c r="C333" s="47" t="s">
        <v>124</v>
      </c>
      <c r="D333" s="45"/>
      <c r="E333" s="46">
        <v>0.05</v>
      </c>
      <c r="F333" s="41">
        <f>+G329</f>
        <v>8601</v>
      </c>
      <c r="G333" s="40">
        <f>+ROUND(E333*F333,0)</f>
        <v>430</v>
      </c>
    </row>
    <row r="334" spans="1:7" ht="17.25" thickBot="1" x14ac:dyDescent="0.35">
      <c r="A334" s="1"/>
      <c r="B334" s="2"/>
      <c r="C334" s="39"/>
      <c r="D334" s="18" t="s">
        <v>287</v>
      </c>
      <c r="E334" s="19"/>
      <c r="F334" s="20"/>
      <c r="G334" s="17">
        <f>SUM(G324:G333)</f>
        <v>31990</v>
      </c>
    </row>
    <row r="335" spans="1:7" hidden="1" x14ac:dyDescent="0.3">
      <c r="A335" s="1"/>
      <c r="B335" s="2"/>
      <c r="C335" s="3"/>
      <c r="D335" s="21" t="s">
        <v>289</v>
      </c>
      <c r="E335" s="22"/>
      <c r="F335" s="23">
        <f>+F317</f>
        <v>0.25</v>
      </c>
      <c r="G335" s="24">
        <f>+ROUND(G334*F335,0)</f>
        <v>7998</v>
      </c>
    </row>
    <row r="336" spans="1:7" hidden="1" x14ac:dyDescent="0.3">
      <c r="A336" s="1"/>
      <c r="B336" s="2"/>
      <c r="C336" s="3"/>
      <c r="D336" s="25" t="s">
        <v>290</v>
      </c>
      <c r="E336" s="26"/>
      <c r="F336" s="23">
        <f t="shared" ref="F336:F337" si="16">+F318</f>
        <v>0</v>
      </c>
      <c r="G336" s="14">
        <f>+ROUND(G334*F336,0)</f>
        <v>0</v>
      </c>
    </row>
    <row r="337" spans="1:7" ht="17.25" hidden="1" thickBot="1" x14ac:dyDescent="0.35">
      <c r="A337" s="1"/>
      <c r="B337" s="2"/>
      <c r="C337" s="3"/>
      <c r="D337" s="25" t="s">
        <v>291</v>
      </c>
      <c r="E337" s="26"/>
      <c r="F337" s="23">
        <f t="shared" si="16"/>
        <v>0.05</v>
      </c>
      <c r="G337" s="14">
        <f>+ROUND(G334*F337,0)</f>
        <v>1600</v>
      </c>
    </row>
    <row r="338" spans="1:7" ht="17.25" hidden="1" thickBot="1" x14ac:dyDescent="0.35">
      <c r="A338" s="1"/>
      <c r="B338" s="2"/>
      <c r="C338" s="3"/>
      <c r="D338" s="18" t="s">
        <v>10</v>
      </c>
      <c r="E338" s="29"/>
      <c r="F338" s="20"/>
      <c r="G338" s="17">
        <f>SUM(G334:G337)</f>
        <v>41588</v>
      </c>
    </row>
    <row r="339" spans="1:7" ht="17.25" thickBot="1" x14ac:dyDescent="0.35">
      <c r="A339" s="1"/>
      <c r="B339" s="2"/>
      <c r="C339" s="3"/>
      <c r="D339" s="121"/>
      <c r="E339" s="122"/>
      <c r="F339" s="39"/>
      <c r="G339" s="39"/>
    </row>
    <row r="340" spans="1:7" ht="33.75" thickBot="1" x14ac:dyDescent="0.35">
      <c r="A340" s="358">
        <v>4.5</v>
      </c>
      <c r="B340" s="359" t="str">
        <f>VLOOKUP(A340,PPTO!$B$8:$D$94,2,0)</f>
        <v>Suministro, transporte y colocación de estuco en muros. Incluye fajas, ranuras, filetes, y todos los demás elementos necesarios para su correcta construcción.</v>
      </c>
      <c r="C340" s="360" t="s">
        <v>85</v>
      </c>
      <c r="D340" s="361" t="s">
        <v>274</v>
      </c>
      <c r="E340" s="362" t="s">
        <v>275</v>
      </c>
      <c r="F340" s="360" t="s">
        <v>276</v>
      </c>
      <c r="G340" s="363" t="s">
        <v>277</v>
      </c>
    </row>
    <row r="341" spans="1:7" x14ac:dyDescent="0.3">
      <c r="A341" s="1"/>
      <c r="B341" s="51" t="s">
        <v>278</v>
      </c>
      <c r="C341" s="43"/>
      <c r="D341" s="43"/>
      <c r="E341" s="44"/>
      <c r="F341" s="52"/>
      <c r="G341" s="7"/>
    </row>
    <row r="342" spans="1:7" x14ac:dyDescent="0.3">
      <c r="A342" s="1"/>
      <c r="B342" s="65" t="s">
        <v>352</v>
      </c>
      <c r="C342" s="54" t="str">
        <f>VLOOKUP(B342,INSUMOS!$B$2:$D$562,2,0)</f>
        <v>gal</v>
      </c>
      <c r="D342" s="11"/>
      <c r="E342" s="452">
        <v>0.4</v>
      </c>
      <c r="F342" s="54">
        <f>VLOOKUP(B342,INSUMOS!$B$2:$D$562,3,0)</f>
        <v>25000</v>
      </c>
      <c r="G342" s="67">
        <f>+ROUND((1+D342)*E342*F342,0)</f>
        <v>10000</v>
      </c>
    </row>
    <row r="343" spans="1:7" x14ac:dyDescent="0.3">
      <c r="A343" s="1"/>
      <c r="B343" s="65" t="s">
        <v>324</v>
      </c>
      <c r="C343" s="54" t="str">
        <f>VLOOKUP(B343,INSUMOS!$B$2:$D$562,2,0)</f>
        <v>día</v>
      </c>
      <c r="D343" s="11"/>
      <c r="E343" s="12">
        <v>2</v>
      </c>
      <c r="F343" s="54">
        <f>VLOOKUP(B343,INSUMOS!$B$2:$D$562,3,0)</f>
        <v>3500</v>
      </c>
      <c r="G343" s="67">
        <f>+ROUND((1+D343)*E343*F343,0)</f>
        <v>7000</v>
      </c>
    </row>
    <row r="344" spans="1:7" x14ac:dyDescent="0.3">
      <c r="A344" s="1"/>
      <c r="B344" s="65"/>
      <c r="C344" s="54"/>
      <c r="D344" s="11"/>
      <c r="E344" s="12"/>
      <c r="F344" s="54"/>
      <c r="G344" s="67">
        <f>+ROUND((1+D344)*E344*F344,0)</f>
        <v>0</v>
      </c>
    </row>
    <row r="345" spans="1:7" ht="17.25" thickBot="1" x14ac:dyDescent="0.35">
      <c r="A345" s="1"/>
      <c r="B345" s="55" t="s">
        <v>281</v>
      </c>
      <c r="C345" s="56"/>
      <c r="D345" s="56"/>
      <c r="E345" s="57"/>
      <c r="F345" s="58"/>
      <c r="G345" s="59"/>
    </row>
    <row r="346" spans="1:7" ht="17.25" thickBot="1" x14ac:dyDescent="0.35">
      <c r="A346" s="1"/>
      <c r="B346" s="15" t="s">
        <v>353</v>
      </c>
      <c r="C346" s="16" t="s">
        <v>349</v>
      </c>
      <c r="D346" s="60"/>
      <c r="E346" s="61">
        <v>3.5000000000000003E-2</v>
      </c>
      <c r="F346" s="16">
        <f>+'FACTOR PRESTACIONAL'!K9+'FACTOR PRESTACIONAL'!K10</f>
        <v>272406.29732663167</v>
      </c>
      <c r="G346" s="17">
        <f>+ROUND((1+D346)*E346*F346,0)</f>
        <v>9534</v>
      </c>
    </row>
    <row r="347" spans="1:7" ht="17.25" thickBot="1" x14ac:dyDescent="0.35">
      <c r="A347" s="1"/>
      <c r="B347" s="55" t="s">
        <v>283</v>
      </c>
      <c r="C347" s="56"/>
      <c r="D347" s="56"/>
      <c r="E347" s="57"/>
      <c r="F347" s="58"/>
      <c r="G347" s="59"/>
    </row>
    <row r="348" spans="1:7" ht="17.25" thickBot="1" x14ac:dyDescent="0.35">
      <c r="A348" s="1"/>
      <c r="B348" s="15" t="s">
        <v>310</v>
      </c>
      <c r="C348" s="16" t="s">
        <v>169</v>
      </c>
      <c r="D348" s="60"/>
      <c r="E348" s="61">
        <v>1</v>
      </c>
      <c r="F348" s="16">
        <v>2500</v>
      </c>
      <c r="G348" s="17">
        <f>+ROUND((1+D348)*E348*F348,0)</f>
        <v>2500</v>
      </c>
    </row>
    <row r="349" spans="1:7" ht="17.25" thickBot="1" x14ac:dyDescent="0.35">
      <c r="A349" s="1"/>
      <c r="B349" s="62" t="s">
        <v>286</v>
      </c>
      <c r="C349" s="5"/>
      <c r="D349" s="5"/>
      <c r="E349" s="6"/>
      <c r="F349" s="63"/>
      <c r="G349" s="64"/>
    </row>
    <row r="350" spans="1:7" ht="17.25" thickBot="1" x14ac:dyDescent="0.35">
      <c r="A350" s="1"/>
      <c r="B350" s="38"/>
      <c r="C350" s="47" t="s">
        <v>124</v>
      </c>
      <c r="D350" s="45"/>
      <c r="E350" s="46">
        <v>0.05</v>
      </c>
      <c r="F350" s="41">
        <f>+G346</f>
        <v>9534</v>
      </c>
      <c r="G350" s="40">
        <f>+ROUND(E350*F350,0)</f>
        <v>477</v>
      </c>
    </row>
    <row r="351" spans="1:7" ht="17.25" thickBot="1" x14ac:dyDescent="0.35">
      <c r="A351" s="1"/>
      <c r="B351" s="2"/>
      <c r="C351" s="39"/>
      <c r="D351" s="18" t="s">
        <v>287</v>
      </c>
      <c r="E351" s="19"/>
      <c r="F351" s="20"/>
      <c r="G351" s="17">
        <f>SUM(G342:G350)</f>
        <v>29511</v>
      </c>
    </row>
    <row r="352" spans="1:7" hidden="1" x14ac:dyDescent="0.3">
      <c r="A352" s="1"/>
      <c r="B352" s="2"/>
      <c r="C352" s="3"/>
      <c r="D352" s="21" t="s">
        <v>289</v>
      </c>
      <c r="E352" s="22"/>
      <c r="F352" s="23">
        <f>+F317</f>
        <v>0.25</v>
      </c>
      <c r="G352" s="24">
        <f>+ROUND(G351*F352,0)</f>
        <v>7378</v>
      </c>
    </row>
    <row r="353" spans="1:7" hidden="1" x14ac:dyDescent="0.3">
      <c r="A353" s="1"/>
      <c r="B353" s="2"/>
      <c r="C353" s="3"/>
      <c r="D353" s="25" t="s">
        <v>290</v>
      </c>
      <c r="E353" s="26"/>
      <c r="F353" s="23">
        <f>+F318</f>
        <v>0</v>
      </c>
      <c r="G353" s="14">
        <f>+ROUND(G351*F353,0)</f>
        <v>0</v>
      </c>
    </row>
    <row r="354" spans="1:7" ht="17.25" hidden="1" thickBot="1" x14ac:dyDescent="0.35">
      <c r="A354" s="1"/>
      <c r="B354" s="2"/>
      <c r="C354" s="3"/>
      <c r="D354" s="25" t="s">
        <v>291</v>
      </c>
      <c r="E354" s="26"/>
      <c r="F354" s="23">
        <f>+F319</f>
        <v>0.05</v>
      </c>
      <c r="G354" s="14">
        <f>+ROUND(G351*F354,0)</f>
        <v>1476</v>
      </c>
    </row>
    <row r="355" spans="1:7" ht="17.25" hidden="1" thickBot="1" x14ac:dyDescent="0.35">
      <c r="A355" s="1"/>
      <c r="B355" s="2"/>
      <c r="C355" s="3"/>
      <c r="D355" s="18" t="s">
        <v>10</v>
      </c>
      <c r="E355" s="29"/>
      <c r="F355" s="20"/>
      <c r="G355" s="17">
        <f>SUM(G351:G354)</f>
        <v>38365</v>
      </c>
    </row>
    <row r="356" spans="1:7" ht="17.25" thickBot="1" x14ac:dyDescent="0.35">
      <c r="A356" s="1"/>
      <c r="B356" s="2"/>
      <c r="C356" s="3"/>
      <c r="D356" s="121"/>
      <c r="E356" s="122"/>
      <c r="F356" s="39"/>
      <c r="G356" s="39"/>
    </row>
    <row r="357" spans="1:7" ht="33.75" thickBot="1" x14ac:dyDescent="0.35">
      <c r="A357" s="358">
        <f>PPTO!B36</f>
        <v>4.5999999999999996</v>
      </c>
      <c r="B357" s="359" t="str">
        <f>VLOOKUP(A357,PPTO!$B$8:$D$94,2,0)</f>
        <v xml:space="preserve">Suministro y aplicación de pintura tipo 1, tres manos, incluye la preparación de la superficie y todos los insumos necesarios para el desarrollo de la actividad. </v>
      </c>
      <c r="C357" s="360" t="s">
        <v>85</v>
      </c>
      <c r="D357" s="361" t="s">
        <v>274</v>
      </c>
      <c r="E357" s="362" t="s">
        <v>275</v>
      </c>
      <c r="F357" s="360" t="s">
        <v>276</v>
      </c>
      <c r="G357" s="363" t="s">
        <v>277</v>
      </c>
    </row>
    <row r="358" spans="1:7" x14ac:dyDescent="0.3">
      <c r="A358" s="1"/>
      <c r="B358" s="51" t="s">
        <v>278</v>
      </c>
      <c r="C358" s="43"/>
      <c r="D358" s="43"/>
      <c r="E358" s="44"/>
      <c r="F358" s="52"/>
      <c r="G358" s="7"/>
    </row>
    <row r="359" spans="1:7" x14ac:dyDescent="0.3">
      <c r="A359" s="1"/>
      <c r="B359" s="65" t="s">
        <v>324</v>
      </c>
      <c r="C359" s="54" t="str">
        <f>VLOOKUP(B359,INSUMOS!$B$2:$D$562,2,0)</f>
        <v>día</v>
      </c>
      <c r="D359" s="11"/>
      <c r="E359" s="12">
        <v>1.5</v>
      </c>
      <c r="F359" s="54">
        <f>VLOOKUP(B359,INSUMOS!$B$2:$D$562,3,0)</f>
        <v>3500</v>
      </c>
      <c r="G359" s="67">
        <f>+ROUND((1+D359)*E359*F359,0)</f>
        <v>5250</v>
      </c>
    </row>
    <row r="360" spans="1:7" x14ac:dyDescent="0.3">
      <c r="A360" s="1"/>
      <c r="B360" s="65" t="s">
        <v>354</v>
      </c>
      <c r="C360" s="54" t="str">
        <f>VLOOKUP(B360,INSUMOS!$B$2:$D$562,2,0)</f>
        <v>gal</v>
      </c>
      <c r="D360" s="11"/>
      <c r="E360" s="452">
        <v>0.2</v>
      </c>
      <c r="F360" s="54">
        <f>VLOOKUP(B360,INSUMOS!$B$2:$D$562,3,0)</f>
        <v>78000</v>
      </c>
      <c r="G360" s="67">
        <f>+ROUND((1+D360)*E360*F360,0)</f>
        <v>15600</v>
      </c>
    </row>
    <row r="361" spans="1:7" x14ac:dyDescent="0.3">
      <c r="A361" s="1"/>
      <c r="B361" s="65"/>
      <c r="C361" s="54"/>
      <c r="D361" s="11"/>
      <c r="E361" s="12"/>
      <c r="F361" s="54"/>
      <c r="G361" s="67">
        <f>+ROUND((1+D361)*E361*F361,0)</f>
        <v>0</v>
      </c>
    </row>
    <row r="362" spans="1:7" x14ac:dyDescent="0.3">
      <c r="A362" s="1"/>
      <c r="B362" s="65"/>
      <c r="C362" s="54"/>
      <c r="D362" s="11"/>
      <c r="E362" s="12"/>
      <c r="F362" s="54"/>
      <c r="G362" s="67">
        <f>+ROUND((1+D362)*E362*F362,0)</f>
        <v>0</v>
      </c>
    </row>
    <row r="363" spans="1:7" ht="17.25" thickBot="1" x14ac:dyDescent="0.35">
      <c r="A363" s="1"/>
      <c r="B363" s="55" t="s">
        <v>281</v>
      </c>
      <c r="C363" s="56"/>
      <c r="D363" s="56"/>
      <c r="E363" s="57"/>
      <c r="F363" s="58"/>
      <c r="G363" s="59"/>
    </row>
    <row r="364" spans="1:7" ht="17.25" thickBot="1" x14ac:dyDescent="0.35">
      <c r="A364" s="1"/>
      <c r="B364" s="15" t="s">
        <v>353</v>
      </c>
      <c r="C364" s="16" t="s">
        <v>349</v>
      </c>
      <c r="D364" s="60"/>
      <c r="E364" s="61">
        <v>0.03</v>
      </c>
      <c r="F364" s="16">
        <f>+'FACTOR PRESTACIONAL'!K9+'FACTOR PRESTACIONAL'!K10</f>
        <v>272406.29732663167</v>
      </c>
      <c r="G364" s="17">
        <f>+ROUND((1+D364)*E364*F364,0)</f>
        <v>8172</v>
      </c>
    </row>
    <row r="365" spans="1:7" ht="17.25" thickBot="1" x14ac:dyDescent="0.35">
      <c r="A365" s="1"/>
      <c r="B365" s="55" t="s">
        <v>283</v>
      </c>
      <c r="C365" s="56"/>
      <c r="D365" s="56"/>
      <c r="E365" s="57"/>
      <c r="F365" s="58"/>
      <c r="G365" s="59"/>
    </row>
    <row r="366" spans="1:7" ht="17.25" thickBot="1" x14ac:dyDescent="0.35">
      <c r="A366" s="1"/>
      <c r="B366" s="15" t="s">
        <v>310</v>
      </c>
      <c r="C366" s="16" t="s">
        <v>169</v>
      </c>
      <c r="D366" s="60"/>
      <c r="E366" s="61">
        <v>1</v>
      </c>
      <c r="F366" s="16">
        <v>2000</v>
      </c>
      <c r="G366" s="17">
        <f>+ROUND((1+D366)*E366*F366,0)</f>
        <v>2000</v>
      </c>
    </row>
    <row r="367" spans="1:7" ht="17.25" thickBot="1" x14ac:dyDescent="0.35">
      <c r="A367" s="1"/>
      <c r="B367" s="62" t="s">
        <v>286</v>
      </c>
      <c r="C367" s="5"/>
      <c r="D367" s="5"/>
      <c r="E367" s="6"/>
      <c r="F367" s="63"/>
      <c r="G367" s="64"/>
    </row>
    <row r="368" spans="1:7" ht="17.25" thickBot="1" x14ac:dyDescent="0.35">
      <c r="A368" s="1"/>
      <c r="B368" s="38"/>
      <c r="C368" s="47" t="s">
        <v>124</v>
      </c>
      <c r="D368" s="45"/>
      <c r="E368" s="46">
        <v>0.05</v>
      </c>
      <c r="F368" s="41">
        <f>+G364</f>
        <v>8172</v>
      </c>
      <c r="G368" s="40">
        <f>+ROUND(E368*F368,0)</f>
        <v>409</v>
      </c>
    </row>
    <row r="369" spans="1:7" ht="17.25" thickBot="1" x14ac:dyDescent="0.35">
      <c r="A369" s="1"/>
      <c r="B369" s="2"/>
      <c r="C369" s="39"/>
      <c r="D369" s="18" t="s">
        <v>287</v>
      </c>
      <c r="E369" s="19"/>
      <c r="F369" s="20"/>
      <c r="G369" s="17">
        <f>SUM(G359:G368)</f>
        <v>31431</v>
      </c>
    </row>
    <row r="370" spans="1:7" hidden="1" x14ac:dyDescent="0.3">
      <c r="A370" s="1"/>
      <c r="B370" s="2"/>
      <c r="C370" s="3"/>
      <c r="D370" s="21" t="s">
        <v>289</v>
      </c>
      <c r="E370" s="22"/>
      <c r="F370" s="23">
        <f>+F335</f>
        <v>0.25</v>
      </c>
      <c r="G370" s="24">
        <f>+ROUND(G369*F370,0)</f>
        <v>7858</v>
      </c>
    </row>
    <row r="371" spans="1:7" hidden="1" x14ac:dyDescent="0.3">
      <c r="A371" s="1"/>
      <c r="B371" s="2"/>
      <c r="C371" s="3"/>
      <c r="D371" s="25" t="s">
        <v>290</v>
      </c>
      <c r="E371" s="26"/>
      <c r="F371" s="23">
        <f>+F336</f>
        <v>0</v>
      </c>
      <c r="G371" s="14">
        <f>+ROUND(G369*F371,0)</f>
        <v>0</v>
      </c>
    </row>
    <row r="372" spans="1:7" ht="17.25" hidden="1" thickBot="1" x14ac:dyDescent="0.35">
      <c r="A372" s="1"/>
      <c r="B372" s="2"/>
      <c r="C372" s="3"/>
      <c r="D372" s="25" t="s">
        <v>291</v>
      </c>
      <c r="E372" s="26"/>
      <c r="F372" s="23">
        <f>+F337</f>
        <v>0.05</v>
      </c>
      <c r="G372" s="14">
        <f>+ROUND(G369*F372,0)</f>
        <v>1572</v>
      </c>
    </row>
    <row r="373" spans="1:7" ht="17.25" hidden="1" thickBot="1" x14ac:dyDescent="0.35">
      <c r="A373" s="1"/>
      <c r="B373" s="2"/>
      <c r="C373" s="3"/>
      <c r="D373" s="18" t="s">
        <v>10</v>
      </c>
      <c r="E373" s="29"/>
      <c r="F373" s="20"/>
      <c r="G373" s="17">
        <f>SUM(G369:G372)</f>
        <v>40861</v>
      </c>
    </row>
    <row r="374" spans="1:7" ht="17.25" thickBot="1" x14ac:dyDescent="0.35">
      <c r="A374" s="1"/>
      <c r="B374" s="2"/>
      <c r="C374" s="3"/>
      <c r="D374" s="121"/>
      <c r="E374" s="122"/>
      <c r="F374" s="39"/>
      <c r="G374" s="39"/>
    </row>
    <row r="375" spans="1:7" ht="33.75" thickBot="1" x14ac:dyDescent="0.35">
      <c r="A375" s="358">
        <f>PPTO!B38</f>
        <v>5.0999999999999996</v>
      </c>
      <c r="B375" s="359" t="str">
        <f>VLOOKUP(A375,PPTO!$B$8:$D$94,2,0)</f>
        <v>Enchape de piso antideslizante incluye: mortero, pegante, cerámica antideslizante y lechada de limpieza.</v>
      </c>
      <c r="C375" s="360" t="s">
        <v>85</v>
      </c>
      <c r="D375" s="361" t="s">
        <v>274</v>
      </c>
      <c r="E375" s="362" t="s">
        <v>275</v>
      </c>
      <c r="F375" s="360" t="s">
        <v>276</v>
      </c>
      <c r="G375" s="363" t="s">
        <v>277</v>
      </c>
    </row>
    <row r="376" spans="1:7" x14ac:dyDescent="0.3">
      <c r="A376" s="1"/>
      <c r="B376" s="51" t="s">
        <v>278</v>
      </c>
      <c r="C376" s="43"/>
      <c r="D376" s="43"/>
      <c r="E376" s="44"/>
      <c r="F376" s="52"/>
      <c r="G376" s="7"/>
    </row>
    <row r="377" spans="1:7" x14ac:dyDescent="0.3">
      <c r="A377" s="1"/>
      <c r="B377" s="65" t="s">
        <v>350</v>
      </c>
      <c r="C377" s="54" t="str">
        <f>VLOOKUP(B377,INSUMOS!$B$2:$D$562,2,0)</f>
        <v>M3</v>
      </c>
      <c r="D377" s="11"/>
      <c r="E377" s="12">
        <v>0.03</v>
      </c>
      <c r="F377" s="54">
        <f>VLOOKUP(B377,INSUMOS!$B$2:$D$562,3,0)</f>
        <v>523982.5</v>
      </c>
      <c r="G377" s="67">
        <f>+ROUND((1+D377)*E377*F377,0)</f>
        <v>15719</v>
      </c>
    </row>
    <row r="378" spans="1:7" x14ac:dyDescent="0.3">
      <c r="A378" s="1"/>
      <c r="B378" s="65" t="s">
        <v>355</v>
      </c>
      <c r="C378" s="54" t="str">
        <f>VLOOKUP(B378,INSUMOS!$B$2:$D$562,2,0)</f>
        <v>kg</v>
      </c>
      <c r="D378" s="11"/>
      <c r="E378" s="12">
        <v>7</v>
      </c>
      <c r="F378" s="54">
        <f>VLOOKUP(B378,INSUMOS!$B$2:$D$562,3,0)</f>
        <v>720</v>
      </c>
      <c r="G378" s="67">
        <f>+ROUND((1+D378)*E378*F378,0)</f>
        <v>5040</v>
      </c>
    </row>
    <row r="379" spans="1:7" x14ac:dyDescent="0.3">
      <c r="A379" s="1"/>
      <c r="B379" s="65" t="s">
        <v>356</v>
      </c>
      <c r="C379" s="54" t="str">
        <f>VLOOKUP(B379,INSUMOS!$B$2:$D$562,2,0)</f>
        <v>m2</v>
      </c>
      <c r="D379" s="11">
        <v>0.1</v>
      </c>
      <c r="E379" s="12">
        <v>1</v>
      </c>
      <c r="F379" s="54">
        <f>VLOOKUP(B379,INSUMOS!$B$2:$D$562,3,0)</f>
        <v>50000</v>
      </c>
      <c r="G379" s="67">
        <f>+ROUND((1+D379)*E379*F379,0)</f>
        <v>55000</v>
      </c>
    </row>
    <row r="380" spans="1:7" x14ac:dyDescent="0.3">
      <c r="A380" s="1"/>
      <c r="B380" s="65" t="s">
        <v>357</v>
      </c>
      <c r="C380" s="54" t="str">
        <f>VLOOKUP(B380,INSUMOS!$B$2:$D$562,2,0)</f>
        <v>kg</v>
      </c>
      <c r="D380" s="11"/>
      <c r="E380" s="12">
        <v>0.33</v>
      </c>
      <c r="F380" s="54">
        <f>VLOOKUP(B380,INSUMOS!$B$2:$D$562,3,0)</f>
        <v>9500</v>
      </c>
      <c r="G380" s="67">
        <f>+ROUND((1+D380)*E380*F380,0)</f>
        <v>3135</v>
      </c>
    </row>
    <row r="381" spans="1:7" x14ac:dyDescent="0.3">
      <c r="A381" s="1"/>
      <c r="B381" s="456" t="s">
        <v>358</v>
      </c>
      <c r="C381" s="54" t="str">
        <f>VLOOKUP(B381,INSUMOS!$B$2:$D$562,2,0)</f>
        <v>kg</v>
      </c>
      <c r="D381" s="426"/>
      <c r="E381" s="427">
        <v>0.05</v>
      </c>
      <c r="F381" s="54">
        <f>VLOOKUP(B381,INSUMOS!$B$2:$D$562,3,0)</f>
        <v>32250</v>
      </c>
      <c r="G381" s="67">
        <f>+ROUND((1+D381)*E381*F381,0)</f>
        <v>1613</v>
      </c>
    </row>
    <row r="382" spans="1:7" ht="17.25" thickBot="1" x14ac:dyDescent="0.35">
      <c r="A382" s="1"/>
      <c r="B382" s="55" t="s">
        <v>281</v>
      </c>
      <c r="C382" s="56"/>
      <c r="D382" s="56"/>
      <c r="E382" s="57"/>
      <c r="F382" s="58" t="s">
        <v>288</v>
      </c>
      <c r="G382" s="59"/>
    </row>
    <row r="383" spans="1:7" ht="17.25" thickBot="1" x14ac:dyDescent="0.35">
      <c r="A383" s="1"/>
      <c r="B383" s="15" t="s">
        <v>359</v>
      </c>
      <c r="C383" s="16" t="s">
        <v>321</v>
      </c>
      <c r="D383" s="60"/>
      <c r="E383" s="61">
        <v>0.15</v>
      </c>
      <c r="F383" s="16">
        <f>+'FACTOR PRESTACIONAL'!K9+'FACTOR PRESTACIONAL'!K10</f>
        <v>272406.29732663167</v>
      </c>
      <c r="G383" s="17">
        <f>+ROUND((1+D383)*E383*F383,0)</f>
        <v>40861</v>
      </c>
    </row>
    <row r="384" spans="1:7" ht="17.25" thickBot="1" x14ac:dyDescent="0.35">
      <c r="A384" s="1"/>
      <c r="B384" s="55" t="s">
        <v>283</v>
      </c>
      <c r="C384" s="56"/>
      <c r="D384" s="56"/>
      <c r="E384" s="57"/>
      <c r="F384" s="58"/>
      <c r="G384" s="59"/>
    </row>
    <row r="385" spans="1:7" ht="17.25" thickBot="1" x14ac:dyDescent="0.35">
      <c r="A385" s="1"/>
      <c r="B385" s="15" t="s">
        <v>310</v>
      </c>
      <c r="C385" s="16" t="s">
        <v>169</v>
      </c>
      <c r="D385" s="60"/>
      <c r="E385" s="61">
        <v>1</v>
      </c>
      <c r="F385" s="16">
        <f>250000/40</f>
        <v>6250</v>
      </c>
      <c r="G385" s="17">
        <f>+ROUND((1+D385)*E385*F385,0)</f>
        <v>6250</v>
      </c>
    </row>
    <row r="386" spans="1:7" ht="17.25" thickBot="1" x14ac:dyDescent="0.35">
      <c r="A386" s="1"/>
      <c r="B386" s="62" t="s">
        <v>286</v>
      </c>
      <c r="C386" s="5"/>
      <c r="D386" s="5"/>
      <c r="E386" s="6"/>
      <c r="F386" s="63"/>
      <c r="G386" s="64"/>
    </row>
    <row r="387" spans="1:7" ht="17.25" thickBot="1" x14ac:dyDescent="0.35">
      <c r="A387" s="1"/>
      <c r="B387" s="38" t="s">
        <v>286</v>
      </c>
      <c r="C387" s="47" t="s">
        <v>124</v>
      </c>
      <c r="D387" s="45"/>
      <c r="E387" s="46">
        <v>0.05</v>
      </c>
      <c r="F387" s="41">
        <f>G383</f>
        <v>40861</v>
      </c>
      <c r="G387" s="40">
        <f>+ROUND(E387*F387,0)</f>
        <v>2043</v>
      </c>
    </row>
    <row r="388" spans="1:7" ht="17.25" thickBot="1" x14ac:dyDescent="0.35">
      <c r="A388" s="1"/>
      <c r="B388" s="2"/>
      <c r="C388" s="39"/>
      <c r="D388" s="18" t="s">
        <v>287</v>
      </c>
      <c r="E388" s="19"/>
      <c r="F388" s="20"/>
      <c r="G388" s="17">
        <f>SUM(G377:G387)</f>
        <v>129661</v>
      </c>
    </row>
    <row r="389" spans="1:7" hidden="1" x14ac:dyDescent="0.3">
      <c r="A389" s="1"/>
      <c r="B389" s="2"/>
      <c r="C389" s="3"/>
      <c r="D389" s="21" t="s">
        <v>289</v>
      </c>
      <c r="E389" s="22"/>
      <c r="F389" s="23">
        <f>+F370</f>
        <v>0.25</v>
      </c>
      <c r="G389" s="24">
        <f>+ROUND(G388*F389,0)</f>
        <v>32415</v>
      </c>
    </row>
    <row r="390" spans="1:7" hidden="1" x14ac:dyDescent="0.3">
      <c r="A390" s="1"/>
      <c r="B390" s="2"/>
      <c r="C390" s="3"/>
      <c r="D390" s="25" t="s">
        <v>290</v>
      </c>
      <c r="E390" s="26"/>
      <c r="F390" s="23">
        <f>+F371</f>
        <v>0</v>
      </c>
      <c r="G390" s="14">
        <f>+ROUND(G388*F390,0)</f>
        <v>0</v>
      </c>
    </row>
    <row r="391" spans="1:7" ht="17.25" hidden="1" thickBot="1" x14ac:dyDescent="0.35">
      <c r="A391" s="1"/>
      <c r="B391" s="2"/>
      <c r="C391" s="3"/>
      <c r="D391" s="25" t="s">
        <v>291</v>
      </c>
      <c r="E391" s="26"/>
      <c r="F391" s="23">
        <f>+F372</f>
        <v>0.05</v>
      </c>
      <c r="G391" s="14">
        <f>+ROUND(G388*F391,0)</f>
        <v>6483</v>
      </c>
    </row>
    <row r="392" spans="1:7" ht="17.25" hidden="1" thickBot="1" x14ac:dyDescent="0.35">
      <c r="A392" s="1"/>
      <c r="B392" s="2"/>
      <c r="C392" s="3"/>
      <c r="D392" s="18" t="s">
        <v>10</v>
      </c>
      <c r="E392" s="29"/>
      <c r="F392" s="20"/>
      <c r="G392" s="17">
        <f>SUM(G388:G391)</f>
        <v>168559</v>
      </c>
    </row>
    <row r="393" spans="1:7" ht="17.25" thickBot="1" x14ac:dyDescent="0.35">
      <c r="A393" s="1"/>
      <c r="B393" s="2"/>
      <c r="C393" s="3"/>
      <c r="D393" s="121"/>
      <c r="E393" s="122"/>
      <c r="F393" s="39"/>
      <c r="G393" s="39"/>
    </row>
    <row r="394" spans="1:7" ht="33.75" thickBot="1" x14ac:dyDescent="0.35">
      <c r="A394" s="358">
        <f>PPTO!B39</f>
        <v>5.2</v>
      </c>
      <c r="B394" s="359" t="str">
        <f>VLOOKUP(A394,PPTO!$B$8:$D$94,2,0)</f>
        <v>Enchape cocina pared sobre mesón incluye: pegante, cerámica y lechada de limpieza</v>
      </c>
      <c r="C394" s="360" t="s">
        <v>85</v>
      </c>
      <c r="D394" s="361" t="s">
        <v>274</v>
      </c>
      <c r="E394" s="362" t="s">
        <v>275</v>
      </c>
      <c r="F394" s="360" t="s">
        <v>276</v>
      </c>
      <c r="G394" s="363" t="s">
        <v>277</v>
      </c>
    </row>
    <row r="395" spans="1:7" x14ac:dyDescent="0.3">
      <c r="A395" s="1"/>
      <c r="B395" s="51" t="s">
        <v>278</v>
      </c>
      <c r="C395" s="43"/>
      <c r="D395" s="43"/>
      <c r="E395" s="44"/>
      <c r="F395" s="52"/>
      <c r="G395" s="7"/>
    </row>
    <row r="396" spans="1:7" x14ac:dyDescent="0.3">
      <c r="A396" s="1"/>
      <c r="B396" s="65" t="s">
        <v>350</v>
      </c>
      <c r="C396" s="54" t="str">
        <f>VLOOKUP(B396,INSUMOS!$B$2:$D$562,2,0)</f>
        <v>M3</v>
      </c>
      <c r="D396" s="11"/>
      <c r="E396" s="12">
        <v>0.01</v>
      </c>
      <c r="F396" s="54">
        <f>VLOOKUP(B396,INSUMOS!$B$2:$D$562,3,0)</f>
        <v>523982.5</v>
      </c>
      <c r="G396" s="67">
        <f>+ROUND((1+D396)*E396*F396,0)</f>
        <v>5240</v>
      </c>
    </row>
    <row r="397" spans="1:7" x14ac:dyDescent="0.3">
      <c r="A397" s="1"/>
      <c r="B397" s="65" t="s">
        <v>355</v>
      </c>
      <c r="C397" s="54" t="str">
        <f>VLOOKUP(B397,INSUMOS!$B$2:$D$562,2,0)</f>
        <v>kg</v>
      </c>
      <c r="D397" s="11"/>
      <c r="E397" s="12">
        <v>7</v>
      </c>
      <c r="F397" s="54">
        <f>VLOOKUP(B397,INSUMOS!$B$2:$D$562,3,0)</f>
        <v>720</v>
      </c>
      <c r="G397" s="67">
        <f>+ROUND((1+D397)*E397*F397,0)</f>
        <v>5040</v>
      </c>
    </row>
    <row r="398" spans="1:7" x14ac:dyDescent="0.3">
      <c r="A398" s="1"/>
      <c r="B398" s="65" t="s">
        <v>360</v>
      </c>
      <c r="C398" s="54" t="str">
        <f>VLOOKUP(B398,INSUMOS!$B$2:$D$562,2,0)</f>
        <v>m2</v>
      </c>
      <c r="D398" s="11">
        <v>0.1</v>
      </c>
      <c r="E398" s="12">
        <v>1</v>
      </c>
      <c r="F398" s="54">
        <f>VLOOKUP(B398,INSUMOS!$B$2:$D$562,3,0)</f>
        <v>38500</v>
      </c>
      <c r="G398" s="67">
        <f>+ROUND((1+D398)*E398*F398,0)</f>
        <v>42350</v>
      </c>
    </row>
    <row r="399" spans="1:7" x14ac:dyDescent="0.3">
      <c r="A399" s="1"/>
      <c r="B399" s="65" t="s">
        <v>357</v>
      </c>
      <c r="C399" s="54" t="str">
        <f>VLOOKUP(B399,INSUMOS!$B$2:$D$562,2,0)</f>
        <v>kg</v>
      </c>
      <c r="D399" s="11"/>
      <c r="E399" s="12">
        <v>0.33</v>
      </c>
      <c r="F399" s="54">
        <f>VLOOKUP(B399,INSUMOS!$B$2:$D$562,3,0)</f>
        <v>9500</v>
      </c>
      <c r="G399" s="67">
        <f>+ROUND((1+D399)*E399*F399,0)</f>
        <v>3135</v>
      </c>
    </row>
    <row r="400" spans="1:7" x14ac:dyDescent="0.3">
      <c r="A400" s="1"/>
      <c r="B400" s="456" t="s">
        <v>358</v>
      </c>
      <c r="C400" s="54" t="str">
        <f>VLOOKUP(B400,INSUMOS!$B$2:$D$562,2,0)</f>
        <v>kg</v>
      </c>
      <c r="D400" s="426"/>
      <c r="E400" s="427">
        <v>0.05</v>
      </c>
      <c r="F400" s="54">
        <f>VLOOKUP(B400,INSUMOS!$B$2:$D$562,3,0)</f>
        <v>32250</v>
      </c>
      <c r="G400" s="67">
        <f>+ROUND((1+D400)*E400*F400,0)</f>
        <v>1613</v>
      </c>
    </row>
    <row r="401" spans="1:7" ht="17.25" thickBot="1" x14ac:dyDescent="0.35">
      <c r="A401" s="1"/>
      <c r="B401" s="55" t="s">
        <v>281</v>
      </c>
      <c r="C401" s="56"/>
      <c r="D401" s="56"/>
      <c r="E401" s="57"/>
      <c r="F401" s="58" t="s">
        <v>288</v>
      </c>
      <c r="G401" s="59"/>
    </row>
    <row r="402" spans="1:7" ht="17.25" thickBot="1" x14ac:dyDescent="0.35">
      <c r="A402" s="1"/>
      <c r="B402" s="15" t="s">
        <v>359</v>
      </c>
      <c r="C402" s="16" t="s">
        <v>342</v>
      </c>
      <c r="D402" s="60"/>
      <c r="E402" s="61">
        <v>0.12</v>
      </c>
      <c r="F402" s="16">
        <f>+'FACTOR PRESTACIONAL'!K9+'FACTOR PRESTACIONAL'!K10</f>
        <v>272406.29732663167</v>
      </c>
      <c r="G402" s="17">
        <f>+ROUND((1+D402)*E402*F402,0)</f>
        <v>32689</v>
      </c>
    </row>
    <row r="403" spans="1:7" ht="17.25" thickBot="1" x14ac:dyDescent="0.35">
      <c r="A403" s="1"/>
      <c r="B403" s="55" t="s">
        <v>283</v>
      </c>
      <c r="C403" s="56"/>
      <c r="D403" s="56"/>
      <c r="E403" s="57"/>
      <c r="F403" s="58"/>
      <c r="G403" s="59"/>
    </row>
    <row r="404" spans="1:7" ht="17.25" thickBot="1" x14ac:dyDescent="0.35">
      <c r="A404" s="1"/>
      <c r="B404" s="15" t="s">
        <v>310</v>
      </c>
      <c r="C404" s="16" t="s">
        <v>169</v>
      </c>
      <c r="D404" s="60"/>
      <c r="E404" s="61">
        <v>1</v>
      </c>
      <c r="F404" s="16">
        <f>250000/40</f>
        <v>6250</v>
      </c>
      <c r="G404" s="17">
        <f>+ROUND((1+D404)*E404*F404,0)</f>
        <v>6250</v>
      </c>
    </row>
    <row r="405" spans="1:7" ht="17.25" thickBot="1" x14ac:dyDescent="0.35">
      <c r="A405" s="1"/>
      <c r="B405" s="62" t="s">
        <v>286</v>
      </c>
      <c r="C405" s="5"/>
      <c r="D405" s="5"/>
      <c r="E405" s="6"/>
      <c r="F405" s="63"/>
      <c r="G405" s="64"/>
    </row>
    <row r="406" spans="1:7" ht="17.25" thickBot="1" x14ac:dyDescent="0.35">
      <c r="A406" s="1"/>
      <c r="B406" s="38" t="s">
        <v>286</v>
      </c>
      <c r="C406" s="47" t="s">
        <v>124</v>
      </c>
      <c r="D406" s="45"/>
      <c r="E406" s="46">
        <v>0.05</v>
      </c>
      <c r="F406" s="41">
        <f>G402</f>
        <v>32689</v>
      </c>
      <c r="G406" s="40">
        <f>+ROUND(E406*F406,0)</f>
        <v>1634</v>
      </c>
    </row>
    <row r="407" spans="1:7" ht="17.25" thickBot="1" x14ac:dyDescent="0.35">
      <c r="A407" s="1"/>
      <c r="B407" s="2"/>
      <c r="C407" s="39"/>
      <c r="D407" s="18" t="s">
        <v>287</v>
      </c>
      <c r="E407" s="19"/>
      <c r="F407" s="20"/>
      <c r="G407" s="17">
        <f>SUM(G396:G406)</f>
        <v>97951</v>
      </c>
    </row>
    <row r="408" spans="1:7" hidden="1" x14ac:dyDescent="0.3">
      <c r="A408" s="1"/>
      <c r="B408" s="2"/>
      <c r="C408" s="3"/>
      <c r="D408" s="21" t="s">
        <v>289</v>
      </c>
      <c r="E408" s="22"/>
      <c r="F408" s="23">
        <f>+F389</f>
        <v>0.25</v>
      </c>
      <c r="G408" s="24">
        <f>+ROUND(G407*F408,0)</f>
        <v>24488</v>
      </c>
    </row>
    <row r="409" spans="1:7" hidden="1" x14ac:dyDescent="0.3">
      <c r="A409" s="1"/>
      <c r="B409" s="2"/>
      <c r="C409" s="3"/>
      <c r="D409" s="25" t="s">
        <v>290</v>
      </c>
      <c r="E409" s="26"/>
      <c r="F409" s="23">
        <f>+F390</f>
        <v>0</v>
      </c>
      <c r="G409" s="14">
        <f>+ROUND(G407*F409,0)</f>
        <v>0</v>
      </c>
    </row>
    <row r="410" spans="1:7" ht="17.25" hidden="1" thickBot="1" x14ac:dyDescent="0.35">
      <c r="A410" s="1"/>
      <c r="B410" s="2"/>
      <c r="C410" s="3"/>
      <c r="D410" s="25" t="s">
        <v>291</v>
      </c>
      <c r="E410" s="26"/>
      <c r="F410" s="23">
        <f>+F391</f>
        <v>0.05</v>
      </c>
      <c r="G410" s="14">
        <f>+ROUND(G407*F410,0)</f>
        <v>4898</v>
      </c>
    </row>
    <row r="411" spans="1:7" ht="17.25" hidden="1" thickBot="1" x14ac:dyDescent="0.35">
      <c r="A411" s="1"/>
      <c r="B411" s="2"/>
      <c r="C411" s="3"/>
      <c r="D411" s="18" t="s">
        <v>10</v>
      </c>
      <c r="E411" s="29"/>
      <c r="F411" s="20"/>
      <c r="G411" s="17">
        <f>SUM(G407:G410)</f>
        <v>127337</v>
      </c>
    </row>
    <row r="412" spans="1:7" ht="17.25" thickBot="1" x14ac:dyDescent="0.35">
      <c r="A412" s="1"/>
      <c r="B412" s="2"/>
      <c r="C412" s="3"/>
      <c r="D412" s="121"/>
      <c r="E412" s="122"/>
      <c r="F412" s="39"/>
      <c r="G412" s="39"/>
    </row>
    <row r="413" spans="1:7" ht="33.75" thickBot="1" x14ac:dyDescent="0.35">
      <c r="A413" s="358">
        <f>PPTO!B40</f>
        <v>5.3</v>
      </c>
      <c r="B413" s="359" t="str">
        <f>VLOOKUP(A413,PPTO!$B$8:$D$94,2,0)</f>
        <v>Cielo en drywall local con fajas y dilatadores incluye: (estructura, placa, macilla y pintura)</v>
      </c>
      <c r="C413" s="360" t="s">
        <v>85</v>
      </c>
      <c r="D413" s="361" t="s">
        <v>274</v>
      </c>
      <c r="E413" s="362" t="s">
        <v>275</v>
      </c>
      <c r="F413" s="360" t="s">
        <v>276</v>
      </c>
      <c r="G413" s="363" t="s">
        <v>277</v>
      </c>
    </row>
    <row r="414" spans="1:7" x14ac:dyDescent="0.3">
      <c r="A414" s="1"/>
      <c r="B414" s="51" t="s">
        <v>278</v>
      </c>
      <c r="C414" s="43"/>
      <c r="D414" s="43"/>
      <c r="E414" s="44"/>
      <c r="F414" s="52"/>
      <c r="G414" s="7"/>
    </row>
    <row r="415" spans="1:7" x14ac:dyDescent="0.3">
      <c r="A415" s="1"/>
      <c r="B415" s="65" t="s">
        <v>361</v>
      </c>
      <c r="C415" s="54" t="str">
        <f>VLOOKUP(B415,INSUMOS!$B$2:$D$562,2,0)</f>
        <v>und</v>
      </c>
      <c r="D415" s="11">
        <v>0.15</v>
      </c>
      <c r="E415" s="12">
        <f>1/(1.22*2.44)</f>
        <v>0.33593120128997583</v>
      </c>
      <c r="F415" s="54">
        <f>VLOOKUP(B415,INSUMOS!$B$2:$D$562,3,0)</f>
        <v>55000</v>
      </c>
      <c r="G415" s="67">
        <f>+ROUND((1+D415)*E415*F415,0)</f>
        <v>21248</v>
      </c>
    </row>
    <row r="416" spans="1:7" x14ac:dyDescent="0.3">
      <c r="A416" s="1"/>
      <c r="B416" s="65" t="s">
        <v>362</v>
      </c>
      <c r="C416" s="54" t="str">
        <f>VLOOKUP(B416,INSUMOS!$B$2:$D$562,2,0)</f>
        <v>un</v>
      </c>
      <c r="D416" s="11"/>
      <c r="E416" s="12">
        <v>2</v>
      </c>
      <c r="F416" s="54">
        <f>VLOOKUP(B416,INSUMOS!$B$2:$D$562,3,0)</f>
        <v>11687.500000000002</v>
      </c>
      <c r="G416" s="67">
        <f>+ROUND((1+D416)*E416*F416,0)</f>
        <v>23375</v>
      </c>
    </row>
    <row r="417" spans="1:7" x14ac:dyDescent="0.3">
      <c r="A417" s="1"/>
      <c r="B417" s="65" t="s">
        <v>363</v>
      </c>
      <c r="C417" s="54" t="str">
        <f>VLOOKUP(B417,INSUMOS!$B$2:$D$562,2,0)</f>
        <v>un</v>
      </c>
      <c r="D417" s="11"/>
      <c r="E417" s="12">
        <v>20</v>
      </c>
      <c r="F417" s="54">
        <f>VLOOKUP(B417,INSUMOS!$B$2:$D$562,3,0)</f>
        <v>121.00000000000001</v>
      </c>
      <c r="G417" s="67">
        <f>+ROUND((1+D417)*E417*F417,0)</f>
        <v>2420</v>
      </c>
    </row>
    <row r="418" spans="1:7" x14ac:dyDescent="0.3">
      <c r="A418" s="1"/>
      <c r="B418" s="65" t="s">
        <v>364</v>
      </c>
      <c r="C418" s="54" t="str">
        <f>VLOOKUP(B418,INSUMOS!$B$2:$D$562,2,0)</f>
        <v>m</v>
      </c>
      <c r="D418" s="11"/>
      <c r="E418" s="12">
        <v>4</v>
      </c>
      <c r="F418" s="54">
        <f>VLOOKUP(B418,INSUMOS!$B$2:$D$562,3,0)</f>
        <v>200</v>
      </c>
      <c r="G418" s="67">
        <f>+ROUND((1+D418)*E418*F418,0)</f>
        <v>800</v>
      </c>
    </row>
    <row r="419" spans="1:7" x14ac:dyDescent="0.3">
      <c r="A419" s="1"/>
      <c r="B419" s="65" t="s">
        <v>365</v>
      </c>
      <c r="C419" s="54" t="str">
        <f>VLOOKUP(B419,INSUMOS!$B$2:$D$562,2,0)</f>
        <v>kg</v>
      </c>
      <c r="D419" s="11"/>
      <c r="E419" s="12">
        <v>1.5</v>
      </c>
      <c r="F419" s="54">
        <f>VLOOKUP(B419,INSUMOS!$B$2:$D$562,3,0)</f>
        <v>4125</v>
      </c>
      <c r="G419" s="67">
        <f t="shared" ref="G419:G420" si="17">+ROUND((1+D419)*E419*F419,0)</f>
        <v>6188</v>
      </c>
    </row>
    <row r="420" spans="1:7" x14ac:dyDescent="0.3">
      <c r="A420" s="1"/>
      <c r="B420" s="65" t="s">
        <v>354</v>
      </c>
      <c r="C420" s="54" t="str">
        <f>VLOOKUP(B420,INSUMOS!$B$2:$D$562,2,0)</f>
        <v>gal</v>
      </c>
      <c r="D420" s="11"/>
      <c r="E420" s="12">
        <v>0.33</v>
      </c>
      <c r="F420" s="54">
        <f>VLOOKUP(B420,INSUMOS!$B$2:$D$562,3,0)</f>
        <v>78000</v>
      </c>
      <c r="G420" s="67">
        <f t="shared" si="17"/>
        <v>25740</v>
      </c>
    </row>
    <row r="421" spans="1:7" ht="17.25" thickBot="1" x14ac:dyDescent="0.35">
      <c r="A421" s="1"/>
      <c r="B421" s="55" t="s">
        <v>281</v>
      </c>
      <c r="C421" s="56"/>
      <c r="D421" s="56"/>
      <c r="E421" s="57"/>
      <c r="F421" s="58" t="s">
        <v>288</v>
      </c>
      <c r="G421" s="59"/>
    </row>
    <row r="422" spans="1:7" ht="17.25" thickBot="1" x14ac:dyDescent="0.35">
      <c r="A422" s="1"/>
      <c r="B422" s="15" t="s">
        <v>366</v>
      </c>
      <c r="C422" s="16" t="s">
        <v>342</v>
      </c>
      <c r="D422" s="60"/>
      <c r="E422" s="61">
        <v>0.05</v>
      </c>
      <c r="F422" s="16">
        <f>+'FACTOR PRESTACIONAL'!K9+'FACTOR PRESTACIONAL'!K10</f>
        <v>272406.29732663167</v>
      </c>
      <c r="G422" s="17">
        <f>+F422*E422</f>
        <v>13620.314866331584</v>
      </c>
    </row>
    <row r="423" spans="1:7" ht="17.25" thickBot="1" x14ac:dyDescent="0.35">
      <c r="A423" s="1"/>
      <c r="B423" s="55" t="s">
        <v>283</v>
      </c>
      <c r="C423" s="56"/>
      <c r="D423" s="56"/>
      <c r="E423" s="57"/>
      <c r="F423" s="58"/>
      <c r="G423" s="59"/>
    </row>
    <row r="424" spans="1:7" ht="17.25" thickBot="1" x14ac:dyDescent="0.35">
      <c r="A424" s="1"/>
      <c r="B424" s="15" t="s">
        <v>310</v>
      </c>
      <c r="C424" s="16" t="s">
        <v>169</v>
      </c>
      <c r="D424" s="60"/>
      <c r="E424" s="61">
        <v>1</v>
      </c>
      <c r="F424" s="16">
        <v>9000</v>
      </c>
      <c r="G424" s="17">
        <f>+ROUND((1+D424)*E424*F424,0)</f>
        <v>9000</v>
      </c>
    </row>
    <row r="425" spans="1:7" ht="17.25" thickBot="1" x14ac:dyDescent="0.35">
      <c r="A425" s="1"/>
      <c r="B425" s="62" t="s">
        <v>286</v>
      </c>
      <c r="C425" s="5"/>
      <c r="D425" s="5"/>
      <c r="E425" s="6"/>
      <c r="F425" s="63"/>
      <c r="G425" s="64"/>
    </row>
    <row r="426" spans="1:7" ht="17.25" thickBot="1" x14ac:dyDescent="0.35">
      <c r="A426" s="1"/>
      <c r="B426" s="38" t="s">
        <v>286</v>
      </c>
      <c r="C426" s="47" t="s">
        <v>124</v>
      </c>
      <c r="D426" s="45"/>
      <c r="E426" s="46">
        <v>0.05</v>
      </c>
      <c r="F426" s="41">
        <f>G422</f>
        <v>13620.314866331584</v>
      </c>
      <c r="G426" s="40">
        <f>+ROUND(E426*F426,0)</f>
        <v>681</v>
      </c>
    </row>
    <row r="427" spans="1:7" ht="17.25" thickBot="1" x14ac:dyDescent="0.35">
      <c r="A427" s="1"/>
      <c r="B427" s="2"/>
      <c r="C427" s="39"/>
      <c r="D427" s="18" t="s">
        <v>287</v>
      </c>
      <c r="E427" s="19"/>
      <c r="F427" s="20"/>
      <c r="G427" s="17">
        <f>SUM(G415:G426)</f>
        <v>103072.31486633158</v>
      </c>
    </row>
    <row r="428" spans="1:7" hidden="1" x14ac:dyDescent="0.3">
      <c r="A428" s="1"/>
      <c r="B428" s="2"/>
      <c r="C428" s="3"/>
      <c r="D428" s="21" t="s">
        <v>289</v>
      </c>
      <c r="E428" s="22"/>
      <c r="F428" s="23">
        <f>+F408</f>
        <v>0.25</v>
      </c>
      <c r="G428" s="24">
        <f>+ROUND(G427*F428,0)</f>
        <v>25768</v>
      </c>
    </row>
    <row r="429" spans="1:7" hidden="1" x14ac:dyDescent="0.3">
      <c r="A429" s="1"/>
      <c r="B429" s="2"/>
      <c r="C429" s="3"/>
      <c r="D429" s="25" t="s">
        <v>290</v>
      </c>
      <c r="E429" s="26"/>
      <c r="F429" s="23">
        <f t="shared" ref="F429:F430" si="18">+F409</f>
        <v>0</v>
      </c>
      <c r="G429" s="14">
        <f>+ROUND(G427*F429,0)</f>
        <v>0</v>
      </c>
    </row>
    <row r="430" spans="1:7" ht="17.25" hidden="1" thickBot="1" x14ac:dyDescent="0.35">
      <c r="A430" s="1"/>
      <c r="B430" s="2"/>
      <c r="C430" s="3"/>
      <c r="D430" s="25" t="s">
        <v>291</v>
      </c>
      <c r="E430" s="26"/>
      <c r="F430" s="23">
        <f t="shared" si="18"/>
        <v>0.05</v>
      </c>
      <c r="G430" s="14">
        <f>+ROUND(G427*F430,0)</f>
        <v>5154</v>
      </c>
    </row>
    <row r="431" spans="1:7" ht="17.25" hidden="1" thickBot="1" x14ac:dyDescent="0.35">
      <c r="A431" s="1"/>
      <c r="B431" s="2"/>
      <c r="C431" s="3"/>
      <c r="D431" s="18" t="s">
        <v>10</v>
      </c>
      <c r="E431" s="29"/>
      <c r="F431" s="20"/>
      <c r="G431" s="17">
        <f>SUM(G427:G430)</f>
        <v>133994.31486633158</v>
      </c>
    </row>
    <row r="432" spans="1:7" ht="17.25" thickBot="1" x14ac:dyDescent="0.35">
      <c r="A432" s="1"/>
      <c r="B432" s="2"/>
      <c r="C432" s="3"/>
      <c r="D432" s="121"/>
      <c r="E432" s="122"/>
      <c r="F432" s="39"/>
      <c r="G432" s="39"/>
    </row>
    <row r="433" spans="1:7" ht="50.25" thickBot="1" x14ac:dyDescent="0.35">
      <c r="A433" s="358">
        <v>5.4</v>
      </c>
      <c r="B433" s="359" t="str">
        <f>VLOOKUP(A433,PPTO!$B$8:$D$94,2,0)</f>
        <v xml:space="preserve">Suministro transporte e instalación de guarda escoba o zocalo en piso en baldosa del mismo color de la baldosa , incluye pega lechada y demás elementos necesarios para su correcta instalación. </v>
      </c>
      <c r="C433" s="360" t="s">
        <v>85</v>
      </c>
      <c r="D433" s="361" t="s">
        <v>274</v>
      </c>
      <c r="E433" s="362" t="s">
        <v>275</v>
      </c>
      <c r="F433" s="360" t="s">
        <v>276</v>
      </c>
      <c r="G433" s="363" t="s">
        <v>277</v>
      </c>
    </row>
    <row r="434" spans="1:7" x14ac:dyDescent="0.3">
      <c r="A434" s="1"/>
      <c r="B434" s="51" t="s">
        <v>278</v>
      </c>
      <c r="C434" s="43"/>
      <c r="D434" s="43"/>
      <c r="E434" s="44"/>
      <c r="F434" s="52"/>
      <c r="G434" s="7"/>
    </row>
    <row r="435" spans="1:7" x14ac:dyDescent="0.3">
      <c r="A435" s="1"/>
      <c r="B435" s="65" t="s">
        <v>350</v>
      </c>
      <c r="C435" s="54" t="str">
        <f>VLOOKUP(B435,INSUMOS!$B$2:$D$562,2,0)</f>
        <v>M3</v>
      </c>
      <c r="D435" s="11"/>
      <c r="E435" s="12">
        <v>0.01</v>
      </c>
      <c r="F435" s="54">
        <f>VLOOKUP(B435,INSUMOS!$B$2:$D$562,3,0)</f>
        <v>523982.5</v>
      </c>
      <c r="G435" s="67">
        <f>+ROUND((1+D435)*E435*F435,0)</f>
        <v>5240</v>
      </c>
    </row>
    <row r="436" spans="1:7" x14ac:dyDescent="0.3">
      <c r="A436" s="1"/>
      <c r="B436" s="65" t="s">
        <v>355</v>
      </c>
      <c r="C436" s="54" t="str">
        <f>VLOOKUP(B436,INSUMOS!$B$2:$D$562,2,0)</f>
        <v>kg</v>
      </c>
      <c r="D436" s="11"/>
      <c r="E436" s="12">
        <v>1</v>
      </c>
      <c r="F436" s="54">
        <f>VLOOKUP(B436,INSUMOS!$B$2:$D$562,3,0)</f>
        <v>720</v>
      </c>
      <c r="G436" s="67">
        <f>+ROUND((1+D436)*E436*F436,0)</f>
        <v>720</v>
      </c>
    </row>
    <row r="437" spans="1:7" x14ac:dyDescent="0.3">
      <c r="A437" s="1"/>
      <c r="B437" s="65" t="s">
        <v>360</v>
      </c>
      <c r="C437" s="54" t="str">
        <f>VLOOKUP(B437,INSUMOS!$B$2:$D$562,2,0)</f>
        <v>m2</v>
      </c>
      <c r="D437" s="11">
        <v>0.1</v>
      </c>
      <c r="E437" s="12">
        <f>0.5*0.5</f>
        <v>0.25</v>
      </c>
      <c r="F437" s="54">
        <f>VLOOKUP(B437,INSUMOS!$B$2:$D$562,3,0)</f>
        <v>38500</v>
      </c>
      <c r="G437" s="67">
        <f>+ROUND((1+D437)*E437*F437,0)</f>
        <v>10588</v>
      </c>
    </row>
    <row r="438" spans="1:7" x14ac:dyDescent="0.3">
      <c r="A438" s="1"/>
      <c r="B438" s="65" t="s">
        <v>357</v>
      </c>
      <c r="C438" s="54" t="str">
        <f>VLOOKUP(B438,INSUMOS!$B$2:$D$562,2,0)</f>
        <v>kg</v>
      </c>
      <c r="D438" s="11"/>
      <c r="E438" s="12">
        <v>0.1</v>
      </c>
      <c r="F438" s="54">
        <f>VLOOKUP(B438,INSUMOS!$B$2:$D$562,3,0)</f>
        <v>9500</v>
      </c>
      <c r="G438" s="67">
        <f>+ROUND((1+D438)*E438*F438,0)</f>
        <v>950</v>
      </c>
    </row>
    <row r="439" spans="1:7" x14ac:dyDescent="0.3">
      <c r="A439" s="1"/>
      <c r="B439" s="456" t="s">
        <v>358</v>
      </c>
      <c r="C439" s="54" t="str">
        <f>VLOOKUP(B439,INSUMOS!$B$2:$D$562,2,0)</f>
        <v>kg</v>
      </c>
      <c r="D439" s="426"/>
      <c r="E439" s="427">
        <v>0.05</v>
      </c>
      <c r="F439" s="54">
        <f>VLOOKUP(B439,INSUMOS!$B$2:$D$562,3,0)</f>
        <v>32250</v>
      </c>
      <c r="G439" s="67">
        <f>+ROUND((1+D439)*E439*F439,0)</f>
        <v>1613</v>
      </c>
    </row>
    <row r="440" spans="1:7" ht="17.25" thickBot="1" x14ac:dyDescent="0.35">
      <c r="A440" s="1"/>
      <c r="B440" s="55" t="s">
        <v>281</v>
      </c>
      <c r="C440" s="56"/>
      <c r="D440" s="56"/>
      <c r="E440" s="57"/>
      <c r="F440" s="58" t="s">
        <v>288</v>
      </c>
      <c r="G440" s="59"/>
    </row>
    <row r="441" spans="1:7" ht="17.25" thickBot="1" x14ac:dyDescent="0.35">
      <c r="A441" s="1"/>
      <c r="B441" s="15" t="s">
        <v>359</v>
      </c>
      <c r="C441" s="16" t="s">
        <v>342</v>
      </c>
      <c r="D441" s="60"/>
      <c r="E441" s="61">
        <v>0.05</v>
      </c>
      <c r="F441" s="16">
        <f>+'FACTOR PRESTACIONAL'!K9+'FACTOR PRESTACIONAL'!K10</f>
        <v>272406.29732663167</v>
      </c>
      <c r="G441" s="17">
        <f>+F441*E441</f>
        <v>13620.314866331584</v>
      </c>
    </row>
    <row r="442" spans="1:7" ht="17.25" thickBot="1" x14ac:dyDescent="0.35">
      <c r="A442" s="1"/>
      <c r="B442" s="55" t="s">
        <v>283</v>
      </c>
      <c r="C442" s="56"/>
      <c r="D442" s="56"/>
      <c r="E442" s="57"/>
      <c r="F442" s="58"/>
      <c r="G442" s="59"/>
    </row>
    <row r="443" spans="1:7" ht="17.25" thickBot="1" x14ac:dyDescent="0.35">
      <c r="A443" s="1"/>
      <c r="B443" s="15" t="s">
        <v>310</v>
      </c>
      <c r="C443" s="16" t="s">
        <v>315</v>
      </c>
      <c r="D443" s="60"/>
      <c r="E443" s="61">
        <v>1</v>
      </c>
      <c r="F443" s="16">
        <v>3500</v>
      </c>
      <c r="G443" s="17">
        <f>+ROUND((1+D443)*E443*F443,0)</f>
        <v>3500</v>
      </c>
    </row>
    <row r="444" spans="1:7" ht="17.25" thickBot="1" x14ac:dyDescent="0.35">
      <c r="A444" s="1"/>
      <c r="B444" s="62" t="s">
        <v>286</v>
      </c>
      <c r="C444" s="5"/>
      <c r="D444" s="5"/>
      <c r="E444" s="6"/>
      <c r="F444" s="63"/>
      <c r="G444" s="64"/>
    </row>
    <row r="445" spans="1:7" ht="17.25" thickBot="1" x14ac:dyDescent="0.35">
      <c r="A445" s="1"/>
      <c r="B445" s="38" t="s">
        <v>286</v>
      </c>
      <c r="C445" s="47" t="s">
        <v>124</v>
      </c>
      <c r="D445" s="45"/>
      <c r="E445" s="46">
        <v>0.05</v>
      </c>
      <c r="F445" s="41">
        <f>G441</f>
        <v>13620.314866331584</v>
      </c>
      <c r="G445" s="40">
        <f>+ROUND(E445*F445,0)</f>
        <v>681</v>
      </c>
    </row>
    <row r="446" spans="1:7" ht="17.25" thickBot="1" x14ac:dyDescent="0.35">
      <c r="A446" s="1"/>
      <c r="B446" s="2"/>
      <c r="C446" s="39"/>
      <c r="D446" s="18" t="s">
        <v>287</v>
      </c>
      <c r="E446" s="19"/>
      <c r="F446" s="20"/>
      <c r="G446" s="17">
        <f>SUM(G435:G445)</f>
        <v>36912.314866331581</v>
      </c>
    </row>
    <row r="447" spans="1:7" hidden="1" x14ac:dyDescent="0.3">
      <c r="A447" s="1"/>
      <c r="B447" s="2"/>
      <c r="C447" s="3"/>
      <c r="D447" s="21" t="s">
        <v>289</v>
      </c>
      <c r="E447" s="22"/>
      <c r="F447" s="23">
        <f>+F428</f>
        <v>0.25</v>
      </c>
      <c r="G447" s="24">
        <f>+ROUND(G446*F447,0)</f>
        <v>9228</v>
      </c>
    </row>
    <row r="448" spans="1:7" hidden="1" x14ac:dyDescent="0.3">
      <c r="A448" s="1"/>
      <c r="B448" s="2"/>
      <c r="C448" s="3"/>
      <c r="D448" s="25" t="s">
        <v>290</v>
      </c>
      <c r="E448" s="26"/>
      <c r="F448" s="23">
        <f>+F429</f>
        <v>0</v>
      </c>
      <c r="G448" s="14">
        <f>+ROUND(G446*F448,0)</f>
        <v>0</v>
      </c>
    </row>
    <row r="449" spans="1:7" ht="17.25" hidden="1" thickBot="1" x14ac:dyDescent="0.35">
      <c r="A449" s="1"/>
      <c r="B449" s="2"/>
      <c r="C449" s="3"/>
      <c r="D449" s="25" t="s">
        <v>291</v>
      </c>
      <c r="E449" s="26"/>
      <c r="F449" s="23">
        <f>+F430</f>
        <v>0.05</v>
      </c>
      <c r="G449" s="14">
        <f>+ROUND(G446*F449,0)</f>
        <v>1846</v>
      </c>
    </row>
    <row r="450" spans="1:7" ht="17.25" hidden="1" thickBot="1" x14ac:dyDescent="0.35">
      <c r="A450" s="1"/>
      <c r="B450" s="2"/>
      <c r="C450" s="3"/>
      <c r="D450" s="18" t="s">
        <v>10</v>
      </c>
      <c r="E450" s="29"/>
      <c r="F450" s="20"/>
      <c r="G450" s="17">
        <f>SUM(G446:G449)</f>
        <v>47986.314866331581</v>
      </c>
    </row>
    <row r="451" spans="1:7" x14ac:dyDescent="0.3">
      <c r="A451" s="1"/>
      <c r="B451" s="2"/>
      <c r="C451" s="3"/>
      <c r="D451" s="121"/>
      <c r="E451" s="122"/>
      <c r="F451" s="39"/>
      <c r="G451" s="39"/>
    </row>
    <row r="452" spans="1:7" ht="17.25" thickBot="1" x14ac:dyDescent="0.35">
      <c r="A452" s="1"/>
      <c r="B452" s="2"/>
      <c r="C452" s="3"/>
      <c r="D452" s="121"/>
      <c r="E452" s="122"/>
      <c r="F452" s="39"/>
      <c r="G452" s="39"/>
    </row>
    <row r="453" spans="1:7" ht="66.75" thickBot="1" x14ac:dyDescent="0.35">
      <c r="A453" s="358">
        <f>PPTO!B43</f>
        <v>6.1</v>
      </c>
      <c r="B453" s="359" t="str">
        <f>VLOOKUP(A453,PPTO!$B$8:$D$94,2,0)</f>
        <v>Suministro, transporte e instalación de salida para toma doble p/t. Incluye en tubería IMC, accesorios, alambre de cobre THHN-AWG- LS#12,  según cuadro de cargas y notas en planos, elementos para el correcto funcionamiento y aparato línea Génesis.</v>
      </c>
      <c r="C453" s="360" t="s">
        <v>85</v>
      </c>
      <c r="D453" s="361" t="s">
        <v>274</v>
      </c>
      <c r="E453" s="362" t="s">
        <v>275</v>
      </c>
      <c r="F453" s="360" t="s">
        <v>276</v>
      </c>
      <c r="G453" s="363" t="s">
        <v>277</v>
      </c>
    </row>
    <row r="454" spans="1:7" x14ac:dyDescent="0.3">
      <c r="A454" s="1" t="s">
        <v>288</v>
      </c>
      <c r="B454" s="51" t="s">
        <v>278</v>
      </c>
      <c r="C454" s="43"/>
      <c r="D454" s="43"/>
      <c r="E454" s="44"/>
      <c r="F454" s="52"/>
      <c r="G454" s="7"/>
    </row>
    <row r="455" spans="1:7" x14ac:dyDescent="0.3">
      <c r="A455" s="1"/>
      <c r="B455" s="68" t="s">
        <v>367</v>
      </c>
      <c r="C455" s="54" t="str">
        <f>VLOOKUP(B455,INSUMOS!$B$2:$D$562,2,0)</f>
        <v>m</v>
      </c>
      <c r="D455" s="11"/>
      <c r="E455" s="12">
        <v>3.6</v>
      </c>
      <c r="F455" s="54">
        <f>VLOOKUP(B455,INSUMOS!$B$2:$D$562,3,0)</f>
        <v>2833.3333333333335</v>
      </c>
      <c r="G455" s="13">
        <f>+ROUND((1+D455)*E455*F455,0)</f>
        <v>10200</v>
      </c>
    </row>
    <row r="456" spans="1:7" x14ac:dyDescent="0.3">
      <c r="A456" s="1"/>
      <c r="B456" s="68" t="s">
        <v>368</v>
      </c>
      <c r="C456" s="54" t="str">
        <f>VLOOKUP(B456,INSUMOS!$B$2:$D$562,2,0)</f>
        <v>m</v>
      </c>
      <c r="D456" s="11"/>
      <c r="E456" s="12">
        <v>12</v>
      </c>
      <c r="F456" s="54">
        <f>VLOOKUP(B456,INSUMOS!$B$2:$D$562,3,0)</f>
        <v>3200</v>
      </c>
      <c r="G456" s="13">
        <f>+ROUND((1+D456)*E456*F456,0)</f>
        <v>38400</v>
      </c>
    </row>
    <row r="457" spans="1:7" x14ac:dyDescent="0.3">
      <c r="A457" s="1"/>
      <c r="B457" s="68" t="s">
        <v>369</v>
      </c>
      <c r="C457" s="54" t="str">
        <f>VLOOKUP(B457,INSUMOS!$B$2:$D$562,2,0)</f>
        <v>un</v>
      </c>
      <c r="D457" s="11"/>
      <c r="E457" s="12">
        <v>2</v>
      </c>
      <c r="F457" s="54">
        <f>VLOOKUP(B457,INSUMOS!$B$2:$D$562,3,0)</f>
        <v>2000</v>
      </c>
      <c r="G457" s="13">
        <f t="shared" ref="G457:G458" si="19">+ROUND((1+D457)*E457*F457,0)</f>
        <v>4000</v>
      </c>
    </row>
    <row r="458" spans="1:7" x14ac:dyDescent="0.3">
      <c r="A458" s="1"/>
      <c r="B458" s="68" t="s">
        <v>370</v>
      </c>
      <c r="C458" s="54" t="str">
        <f>VLOOKUP(B458,INSUMOS!$B$2:$D$562,2,0)</f>
        <v>un</v>
      </c>
      <c r="D458" s="11"/>
      <c r="E458" s="12">
        <v>1</v>
      </c>
      <c r="F458" s="54">
        <f>VLOOKUP(B458,INSUMOS!$B$2:$D$562,3,0)</f>
        <v>18900</v>
      </c>
      <c r="G458" s="13">
        <f t="shared" si="19"/>
        <v>18900</v>
      </c>
    </row>
    <row r="459" spans="1:7" x14ac:dyDescent="0.3">
      <c r="A459" s="1"/>
      <c r="B459" s="68" t="s">
        <v>371</v>
      </c>
      <c r="C459" s="54" t="str">
        <f>VLOOKUP(B459,INSUMOS!$B$2:$D$562,2,0)</f>
        <v>un</v>
      </c>
      <c r="D459" s="11"/>
      <c r="E459" s="12">
        <v>2</v>
      </c>
      <c r="F459" s="54">
        <f>VLOOKUP(B459,INSUMOS!$B$2:$D$562,3,0)</f>
        <v>500</v>
      </c>
      <c r="G459" s="13">
        <f t="shared" ref="G459:G460" si="20">+ROUND((1+D459)*E459*F459,0)</f>
        <v>1000</v>
      </c>
    </row>
    <row r="460" spans="1:7" x14ac:dyDescent="0.3">
      <c r="A460" s="1"/>
      <c r="B460" s="71" t="s">
        <v>372</v>
      </c>
      <c r="C460" s="54" t="str">
        <f>VLOOKUP(B460,INSUMOS!$B$2:$D$562,2,0)</f>
        <v>galon</v>
      </c>
      <c r="D460" s="426"/>
      <c r="E460" s="12">
        <v>0.02</v>
      </c>
      <c r="F460" s="54">
        <f>VLOOKUP(B460,INSUMOS!$B$2:$D$562,3,0)</f>
        <v>80000</v>
      </c>
      <c r="G460" s="13">
        <f t="shared" si="20"/>
        <v>1600</v>
      </c>
    </row>
    <row r="461" spans="1:7" x14ac:dyDescent="0.3">
      <c r="A461" s="1"/>
      <c r="B461" s="71"/>
      <c r="C461" s="54"/>
      <c r="D461" s="426"/>
      <c r="E461" s="12"/>
      <c r="F461" s="54"/>
      <c r="G461" s="13"/>
    </row>
    <row r="462" spans="1:7" ht="17.25" thickBot="1" x14ac:dyDescent="0.35">
      <c r="A462" s="1"/>
      <c r="B462" s="55" t="s">
        <v>281</v>
      </c>
      <c r="C462" s="56"/>
      <c r="D462" s="56"/>
      <c r="E462" s="57"/>
      <c r="F462" s="58" t="s">
        <v>288</v>
      </c>
      <c r="G462" s="59"/>
    </row>
    <row r="463" spans="1:7" ht="17.25" thickBot="1" x14ac:dyDescent="0.35">
      <c r="A463" s="1"/>
      <c r="B463" s="15" t="s">
        <v>373</v>
      </c>
      <c r="C463" s="16" t="s">
        <v>374</v>
      </c>
      <c r="D463" s="60"/>
      <c r="E463" s="61">
        <v>1</v>
      </c>
      <c r="F463" s="16">
        <f>+'FACTOR PRESTACIONAL'!L9</f>
        <v>21501.663682495626</v>
      </c>
      <c r="G463" s="17">
        <f>F463*E463</f>
        <v>21501.663682495626</v>
      </c>
    </row>
    <row r="464" spans="1:7" ht="17.25" thickBot="1" x14ac:dyDescent="0.35">
      <c r="A464" s="1"/>
      <c r="B464" s="55" t="s">
        <v>283</v>
      </c>
      <c r="C464" s="56"/>
      <c r="D464" s="56"/>
      <c r="E464" s="57"/>
      <c r="F464" s="58"/>
      <c r="G464" s="59"/>
    </row>
    <row r="465" spans="1:7" ht="17.25" thickBot="1" x14ac:dyDescent="0.35">
      <c r="A465" s="1"/>
      <c r="B465" s="15" t="s">
        <v>310</v>
      </c>
      <c r="C465" s="16" t="s">
        <v>169</v>
      </c>
      <c r="D465" s="60"/>
      <c r="E465" s="61">
        <v>1</v>
      </c>
      <c r="F465" s="16">
        <v>150</v>
      </c>
      <c r="G465" s="17">
        <f>+ROUND((1+D465)*E465*F465,0)</f>
        <v>150</v>
      </c>
    </row>
    <row r="466" spans="1:7" ht="17.25" thickBot="1" x14ac:dyDescent="0.35">
      <c r="A466" s="1"/>
      <c r="B466" s="62" t="s">
        <v>286</v>
      </c>
      <c r="C466" s="5"/>
      <c r="D466" s="5"/>
      <c r="E466" s="6"/>
      <c r="F466" s="63"/>
      <c r="G466" s="64"/>
    </row>
    <row r="467" spans="1:7" ht="17.25" thickBot="1" x14ac:dyDescent="0.35">
      <c r="A467" s="1"/>
      <c r="B467" s="38" t="s">
        <v>286</v>
      </c>
      <c r="C467" s="47" t="s">
        <v>124</v>
      </c>
      <c r="D467" s="45"/>
      <c r="E467" s="46">
        <v>0.05</v>
      </c>
      <c r="F467" s="41">
        <f>G463</f>
        <v>21501.663682495626</v>
      </c>
      <c r="G467" s="40">
        <f>+ROUND(E467*F467,0)</f>
        <v>1075</v>
      </c>
    </row>
    <row r="468" spans="1:7" ht="17.25" thickBot="1" x14ac:dyDescent="0.35">
      <c r="A468" s="1"/>
      <c r="B468" s="2"/>
      <c r="C468" s="39"/>
      <c r="D468" s="18" t="s">
        <v>287</v>
      </c>
      <c r="E468" s="19"/>
      <c r="F468" s="20"/>
      <c r="G468" s="17">
        <f>SUM(G455:G467)</f>
        <v>96826.663682495622</v>
      </c>
    </row>
    <row r="469" spans="1:7" hidden="1" x14ac:dyDescent="0.3">
      <c r="A469" s="1"/>
      <c r="B469" s="2"/>
      <c r="C469" s="3"/>
      <c r="D469" s="21" t="s">
        <v>289</v>
      </c>
      <c r="E469" s="22"/>
      <c r="F469" s="23">
        <f>+F428</f>
        <v>0.25</v>
      </c>
      <c r="G469" s="24">
        <f>+ROUND(G468*F469,0)</f>
        <v>24207</v>
      </c>
    </row>
    <row r="470" spans="1:7" hidden="1" x14ac:dyDescent="0.3">
      <c r="A470" s="1"/>
      <c r="B470" s="2"/>
      <c r="C470" s="3"/>
      <c r="D470" s="25" t="s">
        <v>290</v>
      </c>
      <c r="E470" s="26"/>
      <c r="F470" s="23">
        <f>+F429</f>
        <v>0</v>
      </c>
      <c r="G470" s="14">
        <f>+ROUND(G468*F470,0)</f>
        <v>0</v>
      </c>
    </row>
    <row r="471" spans="1:7" ht="17.25" hidden="1" thickBot="1" x14ac:dyDescent="0.35">
      <c r="A471" s="1"/>
      <c r="B471" s="2"/>
      <c r="C471" s="3"/>
      <c r="D471" s="25" t="s">
        <v>291</v>
      </c>
      <c r="E471" s="26"/>
      <c r="F471" s="23">
        <f>+F430</f>
        <v>0.05</v>
      </c>
      <c r="G471" s="14">
        <f>+ROUND(G468*F471,0)</f>
        <v>4841</v>
      </c>
    </row>
    <row r="472" spans="1:7" ht="17.25" hidden="1" thickBot="1" x14ac:dyDescent="0.35">
      <c r="A472" s="1"/>
      <c r="B472" s="2"/>
      <c r="C472" s="3"/>
      <c r="D472" s="18" t="s">
        <v>10</v>
      </c>
      <c r="E472" s="29"/>
      <c r="F472" s="20"/>
      <c r="G472" s="17">
        <f>SUM(G468:G471)</f>
        <v>125874.66368249562</v>
      </c>
    </row>
    <row r="473" spans="1:7" ht="17.25" thickBot="1" x14ac:dyDescent="0.35">
      <c r="A473" s="1"/>
      <c r="B473" s="2"/>
      <c r="C473" s="3"/>
      <c r="D473" s="121"/>
      <c r="E473" s="122"/>
      <c r="F473" s="39"/>
      <c r="G473" s="39"/>
    </row>
    <row r="474" spans="1:7" ht="50.25" thickBot="1" x14ac:dyDescent="0.35">
      <c r="A474" s="358">
        <f>PPTO!B44</f>
        <v>6.2</v>
      </c>
      <c r="B474" s="359" t="str">
        <f>VLOOKUP(A474,PPTO!$B$8:$D$94,2,0)</f>
        <v>Suministro, transporte e instalación de salida eléctrica para toma GFCI. en  IMC 3/4", caja y accesorios, alambre de cobre THHN-AWG-LS #12, según cuadro de cargas y notas en planos, aparato línea Génesis.</v>
      </c>
      <c r="C474" s="360" t="s">
        <v>85</v>
      </c>
      <c r="D474" s="361" t="s">
        <v>274</v>
      </c>
      <c r="E474" s="362" t="s">
        <v>275</v>
      </c>
      <c r="F474" s="360" t="s">
        <v>276</v>
      </c>
      <c r="G474" s="363" t="s">
        <v>277</v>
      </c>
    </row>
    <row r="475" spans="1:7" x14ac:dyDescent="0.3">
      <c r="A475" s="1" t="s">
        <v>288</v>
      </c>
      <c r="B475" s="51" t="s">
        <v>278</v>
      </c>
      <c r="C475" s="43"/>
      <c r="D475" s="43"/>
      <c r="E475" s="44"/>
      <c r="F475" s="52"/>
      <c r="G475" s="7"/>
    </row>
    <row r="476" spans="1:7" x14ac:dyDescent="0.3">
      <c r="A476" s="1"/>
      <c r="B476" s="68" t="s">
        <v>375</v>
      </c>
      <c r="C476" s="54" t="str">
        <f>VLOOKUP(B476,INSUMOS!$B$2:$D$562,2,0)</f>
        <v>un</v>
      </c>
      <c r="D476" s="11"/>
      <c r="E476" s="12">
        <v>1</v>
      </c>
      <c r="F476" s="54">
        <f>VLOOKUP(B476,INSUMOS!$B$2:$D$562,3,0)</f>
        <v>44900</v>
      </c>
      <c r="G476" s="13">
        <f>+ROUND((1+D476)*E476*F476,0)</f>
        <v>44900</v>
      </c>
    </row>
    <row r="477" spans="1:7" x14ac:dyDescent="0.3">
      <c r="A477" s="1"/>
      <c r="B477" s="68" t="s">
        <v>367</v>
      </c>
      <c r="C477" s="54" t="str">
        <f>VLOOKUP(B477,INSUMOS!$B$2:$D$562,2,0)</f>
        <v>m</v>
      </c>
      <c r="D477" s="11"/>
      <c r="E477" s="12">
        <v>3.6</v>
      </c>
      <c r="F477" s="54">
        <f>VLOOKUP(B477,INSUMOS!$B$2:$D$562,3,0)</f>
        <v>2833.3333333333335</v>
      </c>
      <c r="G477" s="13">
        <f>+ROUND((1+D477)*E477*F477,0)</f>
        <v>10200</v>
      </c>
    </row>
    <row r="478" spans="1:7" x14ac:dyDescent="0.3">
      <c r="A478" s="1"/>
      <c r="B478" s="68" t="s">
        <v>368</v>
      </c>
      <c r="C478" s="54" t="str">
        <f>VLOOKUP(B478,INSUMOS!$B$2:$D$562,2,0)</f>
        <v>m</v>
      </c>
      <c r="D478" s="11"/>
      <c r="E478" s="12">
        <v>12</v>
      </c>
      <c r="F478" s="54">
        <f>VLOOKUP(B478,INSUMOS!$B$2:$D$562,3,0)</f>
        <v>3200</v>
      </c>
      <c r="G478" s="13">
        <f>+ROUND((1+D478)*E478*F478,0)</f>
        <v>38400</v>
      </c>
    </row>
    <row r="479" spans="1:7" x14ac:dyDescent="0.3">
      <c r="A479" s="1"/>
      <c r="B479" s="68" t="s">
        <v>369</v>
      </c>
      <c r="C479" s="54" t="str">
        <f>VLOOKUP(B479,INSUMOS!$B$2:$D$562,2,0)</f>
        <v>un</v>
      </c>
      <c r="D479" s="11"/>
      <c r="E479" s="12">
        <v>2</v>
      </c>
      <c r="F479" s="54">
        <f>VLOOKUP(B479,INSUMOS!$B$2:$D$562,3,0)</f>
        <v>2000</v>
      </c>
      <c r="G479" s="13">
        <f t="shared" ref="G479:G481" si="21">+ROUND((1+D479)*E479*F479,0)</f>
        <v>4000</v>
      </c>
    </row>
    <row r="480" spans="1:7" x14ac:dyDescent="0.3">
      <c r="A480" s="1"/>
      <c r="B480" s="68" t="s">
        <v>371</v>
      </c>
      <c r="C480" s="54" t="str">
        <f>VLOOKUP(B480,INSUMOS!$B$2:$D$562,2,0)</f>
        <v>un</v>
      </c>
      <c r="D480" s="11"/>
      <c r="E480" s="12">
        <v>2</v>
      </c>
      <c r="F480" s="54">
        <f>VLOOKUP(B480,INSUMOS!$B$2:$D$562,3,0)</f>
        <v>500</v>
      </c>
      <c r="G480" s="13">
        <f t="shared" si="21"/>
        <v>1000</v>
      </c>
    </row>
    <row r="481" spans="1:7" x14ac:dyDescent="0.3">
      <c r="A481" s="1"/>
      <c r="B481" s="71" t="s">
        <v>372</v>
      </c>
      <c r="C481" s="54" t="str">
        <f>VLOOKUP(B481,INSUMOS!$B$2:$D$562,2,0)</f>
        <v>galon</v>
      </c>
      <c r="D481" s="426"/>
      <c r="E481" s="12">
        <v>0.02</v>
      </c>
      <c r="F481" s="54">
        <f>VLOOKUP(B481,INSUMOS!$B$2:$D$562,3,0)</f>
        <v>80000</v>
      </c>
      <c r="G481" s="13">
        <f t="shared" si="21"/>
        <v>1600</v>
      </c>
    </row>
    <row r="482" spans="1:7" x14ac:dyDescent="0.3">
      <c r="A482" s="1"/>
      <c r="B482" s="71"/>
      <c r="C482" s="54"/>
      <c r="D482" s="426"/>
      <c r="E482" s="12"/>
      <c r="F482" s="54"/>
      <c r="G482" s="13"/>
    </row>
    <row r="483" spans="1:7" ht="17.25" thickBot="1" x14ac:dyDescent="0.35">
      <c r="A483" s="1"/>
      <c r="B483" s="55" t="s">
        <v>281</v>
      </c>
      <c r="C483" s="56"/>
      <c r="D483" s="56"/>
      <c r="E483" s="57"/>
      <c r="F483" s="58" t="s">
        <v>288</v>
      </c>
      <c r="G483" s="59"/>
    </row>
    <row r="484" spans="1:7" ht="17.25" thickBot="1" x14ac:dyDescent="0.35">
      <c r="A484" s="1"/>
      <c r="B484" s="15" t="s">
        <v>373</v>
      </c>
      <c r="C484" s="16" t="s">
        <v>374</v>
      </c>
      <c r="D484" s="60"/>
      <c r="E484" s="61">
        <v>1</v>
      </c>
      <c r="F484" s="16">
        <f>+F463</f>
        <v>21501.663682495626</v>
      </c>
      <c r="G484" s="17">
        <f>F484*E484</f>
        <v>21501.663682495626</v>
      </c>
    </row>
    <row r="485" spans="1:7" ht="17.25" thickBot="1" x14ac:dyDescent="0.35">
      <c r="A485" s="1"/>
      <c r="B485" s="55" t="s">
        <v>283</v>
      </c>
      <c r="C485" s="56"/>
      <c r="D485" s="56"/>
      <c r="E485" s="57"/>
      <c r="F485" s="58"/>
      <c r="G485" s="59"/>
    </row>
    <row r="486" spans="1:7" ht="17.25" thickBot="1" x14ac:dyDescent="0.35">
      <c r="A486" s="1"/>
      <c r="B486" s="15" t="s">
        <v>310</v>
      </c>
      <c r="C486" s="16" t="s">
        <v>169</v>
      </c>
      <c r="D486" s="60"/>
      <c r="E486" s="61">
        <v>1</v>
      </c>
      <c r="F486" s="16">
        <v>150</v>
      </c>
      <c r="G486" s="17">
        <f>+ROUND((1+D486)*E486*F486,0)</f>
        <v>150</v>
      </c>
    </row>
    <row r="487" spans="1:7" ht="17.25" thickBot="1" x14ac:dyDescent="0.35">
      <c r="A487" s="1"/>
      <c r="B487" s="62" t="s">
        <v>286</v>
      </c>
      <c r="C487" s="5"/>
      <c r="D487" s="5"/>
      <c r="E487" s="6"/>
      <c r="F487" s="63"/>
      <c r="G487" s="64"/>
    </row>
    <row r="488" spans="1:7" ht="17.25" thickBot="1" x14ac:dyDescent="0.35">
      <c r="A488" s="1"/>
      <c r="B488" s="38" t="s">
        <v>286</v>
      </c>
      <c r="C488" s="47" t="s">
        <v>124</v>
      </c>
      <c r="D488" s="45"/>
      <c r="E488" s="46">
        <v>0.05</v>
      </c>
      <c r="F488" s="41">
        <f>F484</f>
        <v>21501.663682495626</v>
      </c>
      <c r="G488" s="40">
        <f>+ROUND(E488*F488,0)</f>
        <v>1075</v>
      </c>
    </row>
    <row r="489" spans="1:7" ht="15.6" customHeight="1" thickBot="1" x14ac:dyDescent="0.35">
      <c r="A489" s="1"/>
      <c r="B489" s="2"/>
      <c r="C489" s="39"/>
      <c r="D489" s="18" t="s">
        <v>287</v>
      </c>
      <c r="E489" s="19"/>
      <c r="F489" s="20"/>
      <c r="G489" s="17">
        <f>SUM(G476:G488)</f>
        <v>122826.66368249562</v>
      </c>
    </row>
    <row r="490" spans="1:7" hidden="1" x14ac:dyDescent="0.3">
      <c r="A490" s="1"/>
      <c r="B490" s="2"/>
      <c r="C490" s="3"/>
      <c r="D490" s="21" t="s">
        <v>289</v>
      </c>
      <c r="E490" s="22"/>
      <c r="F490" s="23">
        <f>+F469</f>
        <v>0.25</v>
      </c>
      <c r="G490" s="24">
        <f>+ROUND(G489*F490,0)</f>
        <v>30707</v>
      </c>
    </row>
    <row r="491" spans="1:7" hidden="1" x14ac:dyDescent="0.3">
      <c r="A491" s="1"/>
      <c r="B491" s="2"/>
      <c r="C491" s="3"/>
      <c r="D491" s="25" t="s">
        <v>290</v>
      </c>
      <c r="E491" s="26"/>
      <c r="F491" s="23">
        <f>+F470</f>
        <v>0</v>
      </c>
      <c r="G491" s="14">
        <f>+ROUND(G489*F491,0)</f>
        <v>0</v>
      </c>
    </row>
    <row r="492" spans="1:7" ht="17.25" hidden="1" thickBot="1" x14ac:dyDescent="0.35">
      <c r="A492" s="1"/>
      <c r="B492" s="2"/>
      <c r="C492" s="3"/>
      <c r="D492" s="25" t="s">
        <v>291</v>
      </c>
      <c r="E492" s="26"/>
      <c r="F492" s="23">
        <f>+F471</f>
        <v>0.05</v>
      </c>
      <c r="G492" s="14">
        <f>+ROUND(G489*F492,0)</f>
        <v>6141</v>
      </c>
    </row>
    <row r="493" spans="1:7" ht="17.25" hidden="1" thickBot="1" x14ac:dyDescent="0.35">
      <c r="A493" s="1"/>
      <c r="B493" s="2"/>
      <c r="C493" s="3"/>
      <c r="D493" s="18" t="s">
        <v>10</v>
      </c>
      <c r="E493" s="29"/>
      <c r="F493" s="20"/>
      <c r="G493" s="17">
        <f>SUM(G489:G492)</f>
        <v>159674.66368249562</v>
      </c>
    </row>
    <row r="494" spans="1:7" ht="17.25" thickBot="1" x14ac:dyDescent="0.35">
      <c r="A494" s="1"/>
      <c r="B494" s="2"/>
      <c r="C494" s="3"/>
      <c r="D494" s="121"/>
      <c r="E494" s="122"/>
      <c r="F494" s="39"/>
      <c r="G494" s="39"/>
    </row>
    <row r="495" spans="1:7" ht="50.25" thickBot="1" x14ac:dyDescent="0.35">
      <c r="A495" s="358">
        <f>PPTO!B45</f>
        <v>6.3</v>
      </c>
      <c r="B495" s="359" t="str">
        <f>VLOOKUP(A495,PPTO!$B$8:$D$94,2,0)</f>
        <v>Suministro, transporte e instalación de salida para toma doble  especial p/t, en  PVC 1/2", caja y accesorios, alambre de cobre THHN-AWG- LS #12,  según cuadro de cargas y notas en planos. Toma para equipos especiales</v>
      </c>
      <c r="C495" s="360" t="s">
        <v>85</v>
      </c>
      <c r="D495" s="361" t="s">
        <v>274</v>
      </c>
      <c r="E495" s="362" t="s">
        <v>275</v>
      </c>
      <c r="F495" s="360" t="s">
        <v>276</v>
      </c>
      <c r="G495" s="363" t="s">
        <v>277</v>
      </c>
    </row>
    <row r="496" spans="1:7" x14ac:dyDescent="0.3">
      <c r="A496" s="1" t="s">
        <v>288</v>
      </c>
      <c r="B496" s="51" t="s">
        <v>278</v>
      </c>
      <c r="C496" s="43"/>
      <c r="D496" s="43"/>
      <c r="E496" s="44"/>
      <c r="F496" s="52"/>
      <c r="G496" s="7"/>
    </row>
    <row r="497" spans="1:7" x14ac:dyDescent="0.3">
      <c r="A497" s="1"/>
      <c r="B497" s="68" t="s">
        <v>376</v>
      </c>
      <c r="C497" s="54" t="str">
        <f>VLOOKUP(B497,INSUMOS!$B$2:$D$562,2,0)</f>
        <v>un</v>
      </c>
      <c r="D497" s="11"/>
      <c r="E497" s="12">
        <v>1</v>
      </c>
      <c r="F497" s="54">
        <f>VLOOKUP(B497,INSUMOS!$B$2:$D$562,3,0)</f>
        <v>24900</v>
      </c>
      <c r="G497" s="13">
        <f>+ROUND((1+D497)*E497*F497,0)</f>
        <v>24900</v>
      </c>
    </row>
    <row r="498" spans="1:7" x14ac:dyDescent="0.3">
      <c r="A498" s="1"/>
      <c r="B498" s="68" t="s">
        <v>367</v>
      </c>
      <c r="C498" s="54" t="str">
        <f>VLOOKUP(B498,INSUMOS!$B$2:$D$562,2,0)</f>
        <v>m</v>
      </c>
      <c r="D498" s="11"/>
      <c r="E498" s="12">
        <v>3.6</v>
      </c>
      <c r="F498" s="54">
        <f>VLOOKUP(B498,INSUMOS!$B$2:$D$562,3,0)</f>
        <v>2833.3333333333335</v>
      </c>
      <c r="G498" s="13">
        <f>+ROUND((1+D498)*E498*F498,0)</f>
        <v>10200</v>
      </c>
    </row>
    <row r="499" spans="1:7" x14ac:dyDescent="0.3">
      <c r="A499" s="1"/>
      <c r="B499" s="68" t="s">
        <v>368</v>
      </c>
      <c r="C499" s="54" t="str">
        <f>VLOOKUP(B499,INSUMOS!$B$2:$D$562,2,0)</f>
        <v>m</v>
      </c>
      <c r="D499" s="11"/>
      <c r="E499" s="12">
        <v>12</v>
      </c>
      <c r="F499" s="54">
        <f>VLOOKUP(B499,INSUMOS!$B$2:$D$562,3,0)</f>
        <v>3200</v>
      </c>
      <c r="G499" s="13">
        <f>+ROUND((1+D499)*E499*F499,0)</f>
        <v>38400</v>
      </c>
    </row>
    <row r="500" spans="1:7" x14ac:dyDescent="0.3">
      <c r="A500" s="1"/>
      <c r="B500" s="68" t="s">
        <v>369</v>
      </c>
      <c r="C500" s="54" t="str">
        <f>VLOOKUP(B500,INSUMOS!$B$2:$D$562,2,0)</f>
        <v>un</v>
      </c>
      <c r="D500" s="11"/>
      <c r="E500" s="12">
        <v>1</v>
      </c>
      <c r="F500" s="54">
        <f>VLOOKUP(B500,INSUMOS!$B$2:$D$562,3,0)</f>
        <v>2000</v>
      </c>
      <c r="G500" s="13">
        <f t="shared" ref="G500:G502" si="22">+ROUND((1+D500)*E500*F500,0)</f>
        <v>2000</v>
      </c>
    </row>
    <row r="501" spans="1:7" x14ac:dyDescent="0.3">
      <c r="A501" s="1"/>
      <c r="B501" s="68" t="s">
        <v>371</v>
      </c>
      <c r="C501" s="54" t="str">
        <f>VLOOKUP(B501,INSUMOS!$B$2:$D$562,2,0)</f>
        <v>un</v>
      </c>
      <c r="D501" s="11"/>
      <c r="E501" s="12">
        <v>2</v>
      </c>
      <c r="F501" s="54">
        <f>VLOOKUP(B501,INSUMOS!$B$2:$D$562,3,0)</f>
        <v>500</v>
      </c>
      <c r="G501" s="13">
        <f t="shared" si="22"/>
        <v>1000</v>
      </c>
    </row>
    <row r="502" spans="1:7" x14ac:dyDescent="0.3">
      <c r="A502" s="1"/>
      <c r="B502" s="71" t="s">
        <v>372</v>
      </c>
      <c r="C502" s="54" t="str">
        <f>VLOOKUP(B502,INSUMOS!$B$2:$D$562,2,0)</f>
        <v>galon</v>
      </c>
      <c r="D502" s="426"/>
      <c r="E502" s="12">
        <v>0.02</v>
      </c>
      <c r="F502" s="54">
        <f>VLOOKUP(B502,INSUMOS!$B$2:$D$562,3,0)</f>
        <v>80000</v>
      </c>
      <c r="G502" s="13">
        <f t="shared" si="22"/>
        <v>1600</v>
      </c>
    </row>
    <row r="503" spans="1:7" x14ac:dyDescent="0.3">
      <c r="A503" s="1"/>
      <c r="B503" s="71"/>
      <c r="C503" s="54"/>
      <c r="D503" s="426"/>
      <c r="E503" s="12"/>
      <c r="F503" s="54"/>
      <c r="G503" s="13"/>
    </row>
    <row r="504" spans="1:7" ht="17.25" thickBot="1" x14ac:dyDescent="0.35">
      <c r="A504" s="1"/>
      <c r="B504" s="55" t="s">
        <v>281</v>
      </c>
      <c r="C504" s="56"/>
      <c r="D504" s="56"/>
      <c r="E504" s="57"/>
      <c r="F504" s="58" t="s">
        <v>288</v>
      </c>
      <c r="G504" s="59"/>
    </row>
    <row r="505" spans="1:7" ht="17.25" thickBot="1" x14ac:dyDescent="0.35">
      <c r="A505" s="1"/>
      <c r="B505" s="15" t="s">
        <v>373</v>
      </c>
      <c r="C505" s="16" t="s">
        <v>374</v>
      </c>
      <c r="D505" s="60"/>
      <c r="E505" s="61">
        <v>1</v>
      </c>
      <c r="F505" s="16">
        <f>+F484</f>
        <v>21501.663682495626</v>
      </c>
      <c r="G505" s="17">
        <f>F505*E505</f>
        <v>21501.663682495626</v>
      </c>
    </row>
    <row r="506" spans="1:7" ht="17.25" thickBot="1" x14ac:dyDescent="0.35">
      <c r="A506" s="1"/>
      <c r="B506" s="55" t="s">
        <v>283</v>
      </c>
      <c r="C506" s="56"/>
      <c r="D506" s="56"/>
      <c r="E506" s="57"/>
      <c r="F506" s="58"/>
      <c r="G506" s="59"/>
    </row>
    <row r="507" spans="1:7" ht="17.25" thickBot="1" x14ac:dyDescent="0.35">
      <c r="A507" s="1"/>
      <c r="B507" s="15" t="s">
        <v>310</v>
      </c>
      <c r="C507" s="16" t="s">
        <v>169</v>
      </c>
      <c r="D507" s="60"/>
      <c r="E507" s="61">
        <v>1</v>
      </c>
      <c r="F507" s="16">
        <v>150</v>
      </c>
      <c r="G507" s="17">
        <f>+ROUND((1+D507)*E507*F507,0)</f>
        <v>150</v>
      </c>
    </row>
    <row r="508" spans="1:7" ht="17.25" thickBot="1" x14ac:dyDescent="0.35">
      <c r="A508" s="1"/>
      <c r="B508" s="62" t="s">
        <v>286</v>
      </c>
      <c r="C508" s="5"/>
      <c r="D508" s="5"/>
      <c r="E508" s="6"/>
      <c r="F508" s="63"/>
      <c r="G508" s="64"/>
    </row>
    <row r="509" spans="1:7" ht="17.25" thickBot="1" x14ac:dyDescent="0.35">
      <c r="A509" s="1"/>
      <c r="B509" s="38" t="s">
        <v>286</v>
      </c>
      <c r="C509" s="47" t="s">
        <v>124</v>
      </c>
      <c r="D509" s="45"/>
      <c r="E509" s="46">
        <v>0.05</v>
      </c>
      <c r="F509" s="41">
        <f>F505</f>
        <v>21501.663682495626</v>
      </c>
      <c r="G509" s="40">
        <f>+ROUND(E509*F509,0)</f>
        <v>1075</v>
      </c>
    </row>
    <row r="510" spans="1:7" ht="17.25" thickBot="1" x14ac:dyDescent="0.35">
      <c r="A510" s="1"/>
      <c r="B510" s="2"/>
      <c r="C510" s="39"/>
      <c r="D510" s="18" t="s">
        <v>287</v>
      </c>
      <c r="E510" s="19"/>
      <c r="F510" s="20"/>
      <c r="G510" s="17">
        <f>SUM(G497:G509)</f>
        <v>100826.66368249562</v>
      </c>
    </row>
    <row r="511" spans="1:7" hidden="1" x14ac:dyDescent="0.3">
      <c r="A511" s="1"/>
      <c r="B511" s="2"/>
      <c r="C511" s="3"/>
      <c r="D511" s="21" t="s">
        <v>289</v>
      </c>
      <c r="E511" s="22"/>
      <c r="F511" s="23">
        <f>+F490</f>
        <v>0.25</v>
      </c>
      <c r="G511" s="24">
        <f>+ROUND(G510*F511,0)</f>
        <v>25207</v>
      </c>
    </row>
    <row r="512" spans="1:7" hidden="1" x14ac:dyDescent="0.3">
      <c r="A512" s="1"/>
      <c r="B512" s="2"/>
      <c r="C512" s="3"/>
      <c r="D512" s="25" t="s">
        <v>290</v>
      </c>
      <c r="E512" s="26"/>
      <c r="F512" s="23">
        <f>+F491</f>
        <v>0</v>
      </c>
      <c r="G512" s="14">
        <f>+ROUND(G510*F512,0)</f>
        <v>0</v>
      </c>
    </row>
    <row r="513" spans="1:7" ht="17.25" hidden="1" thickBot="1" x14ac:dyDescent="0.35">
      <c r="A513" s="1"/>
      <c r="B513" s="2"/>
      <c r="C513" s="3"/>
      <c r="D513" s="25" t="s">
        <v>291</v>
      </c>
      <c r="E513" s="26"/>
      <c r="F513" s="23">
        <f>+F492</f>
        <v>0.05</v>
      </c>
      <c r="G513" s="14">
        <f>+ROUND(G510*F513,0)</f>
        <v>5041</v>
      </c>
    </row>
    <row r="514" spans="1:7" ht="17.25" hidden="1" thickBot="1" x14ac:dyDescent="0.35">
      <c r="A514" s="1"/>
      <c r="B514" s="2"/>
      <c r="C514" s="3"/>
      <c r="D514" s="18" t="s">
        <v>10</v>
      </c>
      <c r="E514" s="29"/>
      <c r="F514" s="20"/>
      <c r="G514" s="17">
        <f>SUM(G510:G513)</f>
        <v>131074.66368249562</v>
      </c>
    </row>
    <row r="515" spans="1:7" ht="17.25" thickBot="1" x14ac:dyDescent="0.35">
      <c r="A515" s="1"/>
      <c r="B515" s="2"/>
      <c r="C515" s="3"/>
      <c r="D515" s="121"/>
      <c r="E515" s="122"/>
      <c r="F515" s="39"/>
      <c r="G515" s="39"/>
    </row>
    <row r="516" spans="1:7" ht="50.25" thickBot="1" x14ac:dyDescent="0.35">
      <c r="A516" s="358">
        <f>PPTO!B46</f>
        <v>6.4</v>
      </c>
      <c r="B516" s="359" t="str">
        <f>VLOOKUP(A516,PPTO!$B$8:$D$94,2,0)</f>
        <v>Suministro, transporte e instalación de salida eléctrica para toma 3x30A p/t. en  PVC 3/4", caja y accesorios, alambre de cobre THHN-AWG #10+12,  según cuadro de cargas y notas en planos. Toma levinton.</v>
      </c>
      <c r="C516" s="360" t="s">
        <v>85</v>
      </c>
      <c r="D516" s="361" t="s">
        <v>274</v>
      </c>
      <c r="E516" s="362" t="s">
        <v>275</v>
      </c>
      <c r="F516" s="360" t="s">
        <v>276</v>
      </c>
      <c r="G516" s="363" t="s">
        <v>277</v>
      </c>
    </row>
    <row r="517" spans="1:7" x14ac:dyDescent="0.3">
      <c r="A517" s="1" t="s">
        <v>288</v>
      </c>
      <c r="B517" s="51" t="s">
        <v>278</v>
      </c>
      <c r="C517" s="43"/>
      <c r="D517" s="43"/>
      <c r="E517" s="44"/>
      <c r="F517" s="52"/>
      <c r="G517" s="7"/>
    </row>
    <row r="518" spans="1:7" x14ac:dyDescent="0.3">
      <c r="A518" s="1"/>
      <c r="B518" s="65" t="s">
        <v>377</v>
      </c>
      <c r="C518" s="54" t="str">
        <f>VLOOKUP(B518,INSUMOS!$B$2:$D$562,2,0)</f>
        <v>un</v>
      </c>
      <c r="D518" s="11"/>
      <c r="E518" s="12">
        <v>1</v>
      </c>
      <c r="F518" s="54">
        <f>VLOOKUP(B518,INSUMOS!$B$2:$D$562,3,0)</f>
        <v>37125</v>
      </c>
      <c r="G518" s="67">
        <f>+ROUND((1+D518)*E518*F518,0)</f>
        <v>37125</v>
      </c>
    </row>
    <row r="519" spans="1:7" x14ac:dyDescent="0.3">
      <c r="A519" s="1"/>
      <c r="B519" s="65" t="s">
        <v>367</v>
      </c>
      <c r="C519" s="54" t="str">
        <f>VLOOKUP(B519,INSUMOS!$B$2:$D$562,2,0)</f>
        <v>m</v>
      </c>
      <c r="D519" s="11"/>
      <c r="E519" s="12">
        <v>3.6</v>
      </c>
      <c r="F519" s="54">
        <f>VLOOKUP(B519,INSUMOS!$B$2:$D$562,3,0)</f>
        <v>2833.3333333333335</v>
      </c>
      <c r="G519" s="67">
        <f>+ROUND((1+D519)*E519*F519,0)</f>
        <v>10200</v>
      </c>
    </row>
    <row r="520" spans="1:7" x14ac:dyDescent="0.3">
      <c r="A520" s="1"/>
      <c r="B520" s="65" t="s">
        <v>368</v>
      </c>
      <c r="C520" s="54" t="str">
        <f>VLOOKUP(B520,INSUMOS!$B$2:$D$562,2,0)</f>
        <v>m</v>
      </c>
      <c r="D520" s="11"/>
      <c r="E520" s="12">
        <v>12</v>
      </c>
      <c r="F520" s="54">
        <f>VLOOKUP(B520,INSUMOS!$B$2:$D$562,3,0)</f>
        <v>3200</v>
      </c>
      <c r="G520" s="67">
        <f>+ROUND((1+D520)*E520*F520,0)</f>
        <v>38400</v>
      </c>
    </row>
    <row r="521" spans="1:7" x14ac:dyDescent="0.3">
      <c r="A521" s="1"/>
      <c r="B521" s="65" t="s">
        <v>369</v>
      </c>
      <c r="C521" s="54" t="str">
        <f>VLOOKUP(B521,INSUMOS!$B$2:$D$562,2,0)</f>
        <v>un</v>
      </c>
      <c r="D521" s="11"/>
      <c r="E521" s="12">
        <v>2</v>
      </c>
      <c r="F521" s="54">
        <f>VLOOKUP(B521,INSUMOS!$B$2:$D$562,3,0)</f>
        <v>2000</v>
      </c>
      <c r="G521" s="67">
        <f>+ROUND((1+D521)*E521*F521,0)</f>
        <v>4000</v>
      </c>
    </row>
    <row r="522" spans="1:7" x14ac:dyDescent="0.3">
      <c r="A522" s="1"/>
      <c r="B522" s="65" t="s">
        <v>371</v>
      </c>
      <c r="C522" s="54" t="str">
        <f>VLOOKUP(B522,INSUMOS!$B$2:$D$562,2,0)</f>
        <v>un</v>
      </c>
      <c r="D522" s="11"/>
      <c r="E522" s="12">
        <v>2</v>
      </c>
      <c r="F522" s="54">
        <f>VLOOKUP(B522,INSUMOS!$B$2:$D$562,3,0)</f>
        <v>500</v>
      </c>
      <c r="G522" s="67">
        <f t="shared" ref="G522:G523" si="23">+ROUND((1+D522)*E522*F522,0)</f>
        <v>1000</v>
      </c>
    </row>
    <row r="523" spans="1:7" x14ac:dyDescent="0.3">
      <c r="A523" s="1"/>
      <c r="B523" s="71" t="s">
        <v>372</v>
      </c>
      <c r="C523" s="54" t="str">
        <f>VLOOKUP(B523,INSUMOS!$B$2:$D$562,2,0)</f>
        <v>galon</v>
      </c>
      <c r="D523" s="426"/>
      <c r="E523" s="12">
        <v>0.02</v>
      </c>
      <c r="F523" s="54">
        <f>VLOOKUP(B523,INSUMOS!$B$2:$D$562,3,0)</f>
        <v>80000</v>
      </c>
      <c r="G523" s="13">
        <f t="shared" si="23"/>
        <v>1600</v>
      </c>
    </row>
    <row r="524" spans="1:7" x14ac:dyDescent="0.3">
      <c r="A524" s="1"/>
      <c r="B524" s="71"/>
      <c r="C524" s="54"/>
      <c r="D524" s="426"/>
      <c r="E524" s="12"/>
      <c r="F524" s="54"/>
      <c r="G524" s="13"/>
    </row>
    <row r="525" spans="1:7" ht="17.25" thickBot="1" x14ac:dyDescent="0.35">
      <c r="A525" s="1"/>
      <c r="B525" s="55" t="s">
        <v>281</v>
      </c>
      <c r="C525" s="56"/>
      <c r="D525" s="56"/>
      <c r="E525" s="57"/>
      <c r="F525" s="58" t="s">
        <v>288</v>
      </c>
      <c r="G525" s="59"/>
    </row>
    <row r="526" spans="1:7" ht="17.25" thickBot="1" x14ac:dyDescent="0.35">
      <c r="A526" s="1"/>
      <c r="B526" s="15" t="s">
        <v>373</v>
      </c>
      <c r="C526" s="16" t="s">
        <v>374</v>
      </c>
      <c r="D526" s="60"/>
      <c r="E526" s="61">
        <v>1</v>
      </c>
      <c r="F526" s="16">
        <f>+F505</f>
        <v>21501.663682495626</v>
      </c>
      <c r="G526" s="17">
        <f>F526*E526</f>
        <v>21501.663682495626</v>
      </c>
    </row>
    <row r="527" spans="1:7" ht="17.25" thickBot="1" x14ac:dyDescent="0.35">
      <c r="A527" s="1"/>
      <c r="B527" s="55" t="s">
        <v>283</v>
      </c>
      <c r="C527" s="56"/>
      <c r="D527" s="56"/>
      <c r="E527" s="57"/>
      <c r="F527" s="58"/>
      <c r="G527" s="59"/>
    </row>
    <row r="528" spans="1:7" ht="17.25" thickBot="1" x14ac:dyDescent="0.35">
      <c r="A528" s="1"/>
      <c r="B528" s="15" t="s">
        <v>310</v>
      </c>
      <c r="C528" s="16" t="s">
        <v>169</v>
      </c>
      <c r="D528" s="60"/>
      <c r="E528" s="61">
        <v>1</v>
      </c>
      <c r="F528" s="16">
        <v>150</v>
      </c>
      <c r="G528" s="17">
        <f>+ROUND((1+D528)*E528*F528,0)</f>
        <v>150</v>
      </c>
    </row>
    <row r="529" spans="1:7" ht="17.25" thickBot="1" x14ac:dyDescent="0.35">
      <c r="A529" s="1"/>
      <c r="B529" s="62" t="s">
        <v>286</v>
      </c>
      <c r="C529" s="5"/>
      <c r="D529" s="5"/>
      <c r="E529" s="6"/>
      <c r="F529" s="63"/>
      <c r="G529" s="64"/>
    </row>
    <row r="530" spans="1:7" ht="17.25" thickBot="1" x14ac:dyDescent="0.35">
      <c r="A530" s="1"/>
      <c r="B530" s="38" t="s">
        <v>286</v>
      </c>
      <c r="C530" s="47" t="s">
        <v>124</v>
      </c>
      <c r="D530" s="45"/>
      <c r="E530" s="46">
        <v>0.05</v>
      </c>
      <c r="F530" s="41">
        <f>F526</f>
        <v>21501.663682495626</v>
      </c>
      <c r="G530" s="40">
        <f>+ROUND(E530*F530,0)</f>
        <v>1075</v>
      </c>
    </row>
    <row r="531" spans="1:7" ht="17.25" thickBot="1" x14ac:dyDescent="0.35">
      <c r="A531" s="1"/>
      <c r="B531" s="2"/>
      <c r="C531" s="39"/>
      <c r="D531" s="18" t="s">
        <v>287</v>
      </c>
      <c r="E531" s="19"/>
      <c r="F531" s="20"/>
      <c r="G531" s="17">
        <f>SUM(G518:G530)</f>
        <v>115051.66368249562</v>
      </c>
    </row>
    <row r="532" spans="1:7" hidden="1" x14ac:dyDescent="0.3">
      <c r="A532" s="1"/>
      <c r="B532" s="2"/>
      <c r="C532" s="3"/>
      <c r="D532" s="21" t="s">
        <v>289</v>
      </c>
      <c r="E532" s="22"/>
      <c r="F532" s="23">
        <f>+F511</f>
        <v>0.25</v>
      </c>
      <c r="G532" s="24">
        <f>+ROUND(G531*F532,0)</f>
        <v>28763</v>
      </c>
    </row>
    <row r="533" spans="1:7" hidden="1" x14ac:dyDescent="0.3">
      <c r="A533" s="1"/>
      <c r="B533" s="2"/>
      <c r="C533" s="3"/>
      <c r="D533" s="25" t="s">
        <v>290</v>
      </c>
      <c r="E533" s="26"/>
      <c r="F533" s="23">
        <f>+F512</f>
        <v>0</v>
      </c>
      <c r="G533" s="14">
        <f>+ROUND(G531*F533,0)</f>
        <v>0</v>
      </c>
    </row>
    <row r="534" spans="1:7" ht="17.25" hidden="1" thickBot="1" x14ac:dyDescent="0.35">
      <c r="A534" s="1"/>
      <c r="B534" s="2"/>
      <c r="C534" s="3"/>
      <c r="D534" s="25" t="s">
        <v>291</v>
      </c>
      <c r="E534" s="26"/>
      <c r="F534" s="23">
        <f>+F513</f>
        <v>0.05</v>
      </c>
      <c r="G534" s="14">
        <f>+ROUND(G531*F534,0)</f>
        <v>5753</v>
      </c>
    </row>
    <row r="535" spans="1:7" ht="17.25" hidden="1" thickBot="1" x14ac:dyDescent="0.35">
      <c r="A535" s="1"/>
      <c r="B535" s="2"/>
      <c r="C535" s="3"/>
      <c r="D535" s="18" t="s">
        <v>10</v>
      </c>
      <c r="E535" s="29"/>
      <c r="F535" s="20"/>
      <c r="G535" s="17">
        <f>SUM(G531:G534)</f>
        <v>149567.66368249562</v>
      </c>
    </row>
    <row r="536" spans="1:7" ht="17.25" thickBot="1" x14ac:dyDescent="0.35">
      <c r="A536" s="1"/>
      <c r="B536" s="2"/>
      <c r="C536" s="3"/>
      <c r="D536" s="121"/>
      <c r="E536" s="122"/>
      <c r="F536" s="39"/>
      <c r="G536" s="39"/>
    </row>
    <row r="537" spans="1:7" ht="50.25" thickBot="1" x14ac:dyDescent="0.35">
      <c r="A537" s="358">
        <f>PPTO!B47</f>
        <v>6.5</v>
      </c>
      <c r="B537" s="359" t="str">
        <f>VLOOKUP(A537,PPTO!$B$8:$D$94,2,0)</f>
        <v xml:space="preserve">Suministro, transporte e instalación de salida para luminaria panel tipo LED de 24,2W, de cielo, con tubería EMT 1/2", según planos, alambre de cobre THHN-AWG #12 y todos los elementos para el correcto funcionamiento. </v>
      </c>
      <c r="C537" s="360" t="s">
        <v>85</v>
      </c>
      <c r="D537" s="361" t="s">
        <v>274</v>
      </c>
      <c r="E537" s="362" t="s">
        <v>275</v>
      </c>
      <c r="F537" s="360" t="s">
        <v>276</v>
      </c>
      <c r="G537" s="363" t="s">
        <v>277</v>
      </c>
    </row>
    <row r="538" spans="1:7" x14ac:dyDescent="0.3">
      <c r="A538" s="1" t="s">
        <v>288</v>
      </c>
      <c r="B538" s="51" t="s">
        <v>278</v>
      </c>
      <c r="C538" s="43"/>
      <c r="D538" s="43"/>
      <c r="E538" s="44"/>
      <c r="F538" s="52"/>
      <c r="G538" s="7"/>
    </row>
    <row r="539" spans="1:7" x14ac:dyDescent="0.3">
      <c r="A539" s="1"/>
      <c r="B539" s="68" t="s">
        <v>378</v>
      </c>
      <c r="C539" s="54" t="str">
        <f>VLOOKUP(B539,INSUMOS!$B$2:$D$562,2,0)</f>
        <v>m</v>
      </c>
      <c r="D539" s="11"/>
      <c r="E539" s="12">
        <v>3.8</v>
      </c>
      <c r="F539" s="54">
        <f>VLOOKUP(B539,INSUMOS!$B$2:$D$562,3,0)</f>
        <v>17000</v>
      </c>
      <c r="G539" s="13">
        <f>+ROUND((1+D539)*E539*F539,0)</f>
        <v>64600</v>
      </c>
    </row>
    <row r="540" spans="1:7" x14ac:dyDescent="0.3">
      <c r="A540" s="1"/>
      <c r="B540" s="68" t="s">
        <v>368</v>
      </c>
      <c r="C540" s="54" t="str">
        <f>VLOOKUP(B540,INSUMOS!$B$2:$D$562,2,0)</f>
        <v>m</v>
      </c>
      <c r="D540" s="11"/>
      <c r="E540" s="12">
        <v>12</v>
      </c>
      <c r="F540" s="54">
        <f>VLOOKUP(B540,INSUMOS!$B$2:$D$562,3,0)</f>
        <v>3200</v>
      </c>
      <c r="G540" s="13">
        <f>+ROUND((1+D540)*E540*F540,0)</f>
        <v>38400</v>
      </c>
    </row>
    <row r="541" spans="1:7" x14ac:dyDescent="0.3">
      <c r="A541" s="1"/>
      <c r="B541" s="68" t="s">
        <v>369</v>
      </c>
      <c r="C541" s="54" t="str">
        <f>VLOOKUP(B541,INSUMOS!$B$2:$D$562,2,0)</f>
        <v>un</v>
      </c>
      <c r="D541" s="11"/>
      <c r="E541" s="12">
        <v>2</v>
      </c>
      <c r="F541" s="54">
        <f>VLOOKUP(B541,INSUMOS!$B$2:$D$562,3,0)</f>
        <v>2000</v>
      </c>
      <c r="G541" s="13">
        <f>+ROUND((1+D541)*E541*F541,0)</f>
        <v>4000</v>
      </c>
    </row>
    <row r="542" spans="1:7" x14ac:dyDescent="0.3">
      <c r="A542" s="1"/>
      <c r="B542" s="68" t="s">
        <v>379</v>
      </c>
      <c r="C542" s="54" t="str">
        <f>VLOOKUP(B542,INSUMOS!$B$2:$D$562,2,0)</f>
        <v>und</v>
      </c>
      <c r="D542" s="11"/>
      <c r="E542" s="12">
        <v>1</v>
      </c>
      <c r="F542" s="54">
        <f>VLOOKUP(B542,INSUMOS!$B$2:$D$562,3,0)</f>
        <v>25000</v>
      </c>
      <c r="G542" s="13">
        <f t="shared" ref="G542:G543" si="24">+ROUND((1+D542)*E542*F542,0)</f>
        <v>25000</v>
      </c>
    </row>
    <row r="543" spans="1:7" x14ac:dyDescent="0.3">
      <c r="A543" s="1"/>
      <c r="B543" s="71" t="s">
        <v>324</v>
      </c>
      <c r="C543" s="54" t="str">
        <f>VLOOKUP(B543,INSUMOS!$B$2:$D$562,2,0)</f>
        <v>día</v>
      </c>
      <c r="D543" s="426"/>
      <c r="E543" s="427">
        <v>0.25</v>
      </c>
      <c r="F543" s="54">
        <f>VLOOKUP(B543,INSUMOS!$B$2:$D$562,3,0)</f>
        <v>3500</v>
      </c>
      <c r="G543" s="465">
        <f t="shared" si="24"/>
        <v>875</v>
      </c>
    </row>
    <row r="544" spans="1:7" ht="17.25" thickBot="1" x14ac:dyDescent="0.35">
      <c r="A544" s="1"/>
      <c r="B544" s="55" t="s">
        <v>281</v>
      </c>
      <c r="C544" s="56"/>
      <c r="D544" s="56"/>
      <c r="E544" s="57"/>
      <c r="F544" s="58" t="s">
        <v>288</v>
      </c>
      <c r="G544" s="59"/>
    </row>
    <row r="545" spans="1:7" ht="17.25" thickBot="1" x14ac:dyDescent="0.35">
      <c r="A545" s="1"/>
      <c r="B545" s="15" t="s">
        <v>373</v>
      </c>
      <c r="C545" s="16" t="s">
        <v>374</v>
      </c>
      <c r="D545" s="60"/>
      <c r="E545" s="61">
        <v>1</v>
      </c>
      <c r="F545" s="16">
        <f>+'FACTOR PRESTACIONAL'!L9+'FACTOR PRESTACIONAL'!L10</f>
        <v>34050.787165828959</v>
      </c>
      <c r="G545" s="17">
        <f>F545*E545</f>
        <v>34050.787165828959</v>
      </c>
    </row>
    <row r="546" spans="1:7" ht="17.25" thickBot="1" x14ac:dyDescent="0.35">
      <c r="A546" s="1"/>
      <c r="B546" s="55" t="s">
        <v>283</v>
      </c>
      <c r="C546" s="56"/>
      <c r="D546" s="56"/>
      <c r="E546" s="57"/>
      <c r="F546" s="58"/>
      <c r="G546" s="59"/>
    </row>
    <row r="547" spans="1:7" ht="17.25" thickBot="1" x14ac:dyDescent="0.35">
      <c r="A547" s="1"/>
      <c r="B547" s="15" t="s">
        <v>310</v>
      </c>
      <c r="C547" s="16" t="s">
        <v>169</v>
      </c>
      <c r="D547" s="60"/>
      <c r="E547" s="61">
        <v>1</v>
      </c>
      <c r="F547" s="16">
        <v>150</v>
      </c>
      <c r="G547" s="17">
        <f>+ROUND((1+D547)*E547*F547,0)</f>
        <v>150</v>
      </c>
    </row>
    <row r="548" spans="1:7" ht="17.25" thickBot="1" x14ac:dyDescent="0.35">
      <c r="A548" s="1"/>
      <c r="B548" s="62" t="s">
        <v>286</v>
      </c>
      <c r="C548" s="5"/>
      <c r="D548" s="5"/>
      <c r="E548" s="6"/>
      <c r="F548" s="63"/>
      <c r="G548" s="64"/>
    </row>
    <row r="549" spans="1:7" ht="17.25" thickBot="1" x14ac:dyDescent="0.35">
      <c r="A549" s="1"/>
      <c r="B549" s="38" t="s">
        <v>286</v>
      </c>
      <c r="C549" s="47" t="s">
        <v>124</v>
      </c>
      <c r="D549" s="45"/>
      <c r="E549" s="46">
        <v>0.05</v>
      </c>
      <c r="F549" s="41">
        <f>F545</f>
        <v>34050.787165828959</v>
      </c>
      <c r="G549" s="40">
        <f>+ROUND(E549*F549,0)</f>
        <v>1703</v>
      </c>
    </row>
    <row r="550" spans="1:7" ht="17.25" thickBot="1" x14ac:dyDescent="0.35">
      <c r="A550" s="1"/>
      <c r="B550" s="2"/>
      <c r="C550" s="39"/>
      <c r="D550" s="18" t="s">
        <v>287</v>
      </c>
      <c r="E550" s="19"/>
      <c r="F550" s="20"/>
      <c r="G550" s="17">
        <f>SUM(G539:G549)</f>
        <v>168778.78716582895</v>
      </c>
    </row>
    <row r="551" spans="1:7" hidden="1" x14ac:dyDescent="0.3">
      <c r="A551" s="1"/>
      <c r="B551" s="2"/>
      <c r="C551" s="3"/>
      <c r="D551" s="21" t="s">
        <v>289</v>
      </c>
      <c r="E551" s="22"/>
      <c r="F551" s="23">
        <f>+F532</f>
        <v>0.25</v>
      </c>
      <c r="G551" s="24">
        <f>+ROUND(G550*F551,0)</f>
        <v>42195</v>
      </c>
    </row>
    <row r="552" spans="1:7" hidden="1" x14ac:dyDescent="0.3">
      <c r="A552" s="1"/>
      <c r="B552" s="2"/>
      <c r="C552" s="3"/>
      <c r="D552" s="25" t="s">
        <v>290</v>
      </c>
      <c r="E552" s="26"/>
      <c r="F552" s="23">
        <f>+F533</f>
        <v>0</v>
      </c>
      <c r="G552" s="14">
        <f>+ROUND(G550*F552,0)</f>
        <v>0</v>
      </c>
    </row>
    <row r="553" spans="1:7" ht="17.25" hidden="1" thickBot="1" x14ac:dyDescent="0.35">
      <c r="A553" s="1"/>
      <c r="B553" s="2"/>
      <c r="C553" s="3"/>
      <c r="D553" s="25" t="s">
        <v>291</v>
      </c>
      <c r="E553" s="26"/>
      <c r="F553" s="23">
        <f>+F534</f>
        <v>0.05</v>
      </c>
      <c r="G553" s="14">
        <f>+ROUND(G550*F553,0)</f>
        <v>8439</v>
      </c>
    </row>
    <row r="554" spans="1:7" ht="17.25" hidden="1" thickBot="1" x14ac:dyDescent="0.35">
      <c r="A554" s="1"/>
      <c r="B554" s="2"/>
      <c r="C554" s="3"/>
      <c r="D554" s="18" t="s">
        <v>10</v>
      </c>
      <c r="E554" s="29"/>
      <c r="F554" s="20"/>
      <c r="G554" s="17">
        <f>SUM(G550:G553)</f>
        <v>219412.78716582895</v>
      </c>
    </row>
    <row r="555" spans="1:7" ht="17.25" thickBot="1" x14ac:dyDescent="0.35">
      <c r="A555" s="1"/>
      <c r="B555" s="2"/>
      <c r="C555" s="3"/>
      <c r="D555" s="121"/>
      <c r="E555" s="122"/>
      <c r="F555" s="39"/>
      <c r="G555" s="39"/>
    </row>
    <row r="556" spans="1:7" ht="66.75" thickBot="1" x14ac:dyDescent="0.35">
      <c r="A556" s="358">
        <f>PPTO!B48</f>
        <v>6.6</v>
      </c>
      <c r="B556" s="359" t="str">
        <f>VLOOKUP(A556,PPTO!$B$8:$D$94,2,0)</f>
        <v xml:space="preserve">Suministro, transporte e instalación de salida para luminaria OJO BUEY TIPO INTERIOR (Panel led redondo 120V 12W), incrustada en losa, pared o mampostería.  Incluye  tubería PVC 1/2", según planos, accesorios, alambre de cobre THHN-AWG-LS #12, y todos los elementos para el correcto funcionamiento. </v>
      </c>
      <c r="C556" s="360" t="s">
        <v>85</v>
      </c>
      <c r="D556" s="361" t="s">
        <v>274</v>
      </c>
      <c r="E556" s="362" t="s">
        <v>275</v>
      </c>
      <c r="F556" s="360" t="s">
        <v>276</v>
      </c>
      <c r="G556" s="363" t="s">
        <v>277</v>
      </c>
    </row>
    <row r="557" spans="1:7" x14ac:dyDescent="0.3">
      <c r="A557" s="1" t="s">
        <v>288</v>
      </c>
      <c r="B557" s="51" t="s">
        <v>278</v>
      </c>
      <c r="C557" s="43"/>
      <c r="D557" s="43"/>
      <c r="E557" s="44"/>
      <c r="F557" s="52"/>
      <c r="G557" s="7"/>
    </row>
    <row r="558" spans="1:7" x14ac:dyDescent="0.3">
      <c r="A558" s="1"/>
      <c r="B558" s="65" t="s">
        <v>367</v>
      </c>
      <c r="C558" s="54" t="str">
        <f>VLOOKUP(B558,INSUMOS!$B$2:$D$562,2,0)</f>
        <v>m</v>
      </c>
      <c r="D558" s="11"/>
      <c r="E558" s="12">
        <v>3.8</v>
      </c>
      <c r="F558" s="54">
        <f>VLOOKUP(B558,INSUMOS!$B$2:$D$562,3,0)</f>
        <v>2833.3333333333335</v>
      </c>
      <c r="G558" s="67">
        <f>+ROUND((1+D558)*E558*F558,0)</f>
        <v>10767</v>
      </c>
    </row>
    <row r="559" spans="1:7" x14ac:dyDescent="0.3">
      <c r="A559" s="1"/>
      <c r="B559" s="65" t="s">
        <v>368</v>
      </c>
      <c r="C559" s="54" t="str">
        <f>VLOOKUP(B559,INSUMOS!$B$2:$D$562,2,0)</f>
        <v>m</v>
      </c>
      <c r="D559" s="11"/>
      <c r="E559" s="12">
        <v>12</v>
      </c>
      <c r="F559" s="54">
        <f>VLOOKUP(B559,INSUMOS!$B$2:$D$562,3,0)</f>
        <v>3200</v>
      </c>
      <c r="G559" s="67">
        <f>+ROUND((1+D559)*E559*F559,0)</f>
        <v>38400</v>
      </c>
    </row>
    <row r="560" spans="1:7" x14ac:dyDescent="0.3">
      <c r="A560" s="1"/>
      <c r="B560" s="65" t="s">
        <v>369</v>
      </c>
      <c r="C560" s="54" t="str">
        <f>VLOOKUP(B560,INSUMOS!$B$2:$D$562,2,0)</f>
        <v>un</v>
      </c>
      <c r="D560" s="11"/>
      <c r="E560" s="12">
        <v>2</v>
      </c>
      <c r="F560" s="54">
        <f>VLOOKUP(B560,INSUMOS!$B$2:$D$562,3,0)</f>
        <v>2000</v>
      </c>
      <c r="G560" s="67">
        <f>+ROUND((1+D560)*E560*F560,0)</f>
        <v>4000</v>
      </c>
    </row>
    <row r="561" spans="1:7" x14ac:dyDescent="0.3">
      <c r="A561" s="1"/>
      <c r="B561" s="65" t="s">
        <v>380</v>
      </c>
      <c r="C561" s="54" t="str">
        <f>VLOOKUP(B561,INSUMOS!$B$2:$D$562,2,0)</f>
        <v>un</v>
      </c>
      <c r="D561" s="11"/>
      <c r="E561" s="12">
        <v>1</v>
      </c>
      <c r="F561" s="54">
        <f>VLOOKUP(B561,INSUMOS!$B$2:$D$562,3,0)</f>
        <v>14500</v>
      </c>
      <c r="G561" s="67">
        <f t="shared" ref="G561:G562" si="25">+ROUND((1+D561)*E561*F561,0)</f>
        <v>14500</v>
      </c>
    </row>
    <row r="562" spans="1:7" x14ac:dyDescent="0.3">
      <c r="A562" s="1"/>
      <c r="B562" s="71" t="s">
        <v>324</v>
      </c>
      <c r="C562" s="54" t="str">
        <f>VLOOKUP(B562,INSUMOS!$B$2:$D$562,2,0)</f>
        <v>día</v>
      </c>
      <c r="D562" s="426"/>
      <c r="E562" s="427">
        <v>0.25</v>
      </c>
      <c r="F562" s="54">
        <f>VLOOKUP(B562,INSUMOS!$B$2:$D$562,3,0)</f>
        <v>3500</v>
      </c>
      <c r="G562" s="465">
        <f t="shared" si="25"/>
        <v>875</v>
      </c>
    </row>
    <row r="563" spans="1:7" ht="17.25" thickBot="1" x14ac:dyDescent="0.35">
      <c r="A563" s="1"/>
      <c r="B563" s="55" t="s">
        <v>281</v>
      </c>
      <c r="C563" s="56"/>
      <c r="D563" s="56"/>
      <c r="E563" s="57"/>
      <c r="F563" s="58" t="s">
        <v>288</v>
      </c>
      <c r="G563" s="59"/>
    </row>
    <row r="564" spans="1:7" ht="17.25" thickBot="1" x14ac:dyDescent="0.35">
      <c r="A564" s="1"/>
      <c r="B564" s="15" t="s">
        <v>373</v>
      </c>
      <c r="C564" s="16" t="s">
        <v>381</v>
      </c>
      <c r="D564" s="60"/>
      <c r="E564" s="61">
        <v>1</v>
      </c>
      <c r="F564" s="16">
        <f>+F526</f>
        <v>21501.663682495626</v>
      </c>
      <c r="G564" s="17">
        <f>F564*E564</f>
        <v>21501.663682495626</v>
      </c>
    </row>
    <row r="565" spans="1:7" ht="17.25" thickBot="1" x14ac:dyDescent="0.35">
      <c r="A565" s="1"/>
      <c r="B565" s="55" t="s">
        <v>283</v>
      </c>
      <c r="C565" s="56"/>
      <c r="D565" s="56"/>
      <c r="E565" s="57"/>
      <c r="F565" s="58"/>
      <c r="G565" s="59"/>
    </row>
    <row r="566" spans="1:7" ht="17.25" thickBot="1" x14ac:dyDescent="0.35">
      <c r="A566" s="1"/>
      <c r="B566" s="15" t="s">
        <v>310</v>
      </c>
      <c r="C566" s="16" t="s">
        <v>169</v>
      </c>
      <c r="D566" s="60"/>
      <c r="E566" s="61">
        <v>1</v>
      </c>
      <c r="F566" s="16">
        <v>150</v>
      </c>
      <c r="G566" s="17">
        <f>+ROUND((1+D566)*E566*F566,0)</f>
        <v>150</v>
      </c>
    </row>
    <row r="567" spans="1:7" ht="17.25" thickBot="1" x14ac:dyDescent="0.35">
      <c r="A567" s="1"/>
      <c r="B567" s="62" t="s">
        <v>286</v>
      </c>
      <c r="C567" s="5"/>
      <c r="D567" s="5"/>
      <c r="E567" s="6"/>
      <c r="F567" s="63"/>
      <c r="G567" s="64"/>
    </row>
    <row r="568" spans="1:7" ht="17.25" thickBot="1" x14ac:dyDescent="0.35">
      <c r="A568" s="1"/>
      <c r="B568" s="38" t="s">
        <v>286</v>
      </c>
      <c r="C568" s="47" t="s">
        <v>124</v>
      </c>
      <c r="D568" s="45"/>
      <c r="E568" s="46">
        <v>0.05</v>
      </c>
      <c r="F568" s="41">
        <f>F564</f>
        <v>21501.663682495626</v>
      </c>
      <c r="G568" s="40">
        <f>+ROUND(E568*F568,0)</f>
        <v>1075</v>
      </c>
    </row>
    <row r="569" spans="1:7" ht="17.25" thickBot="1" x14ac:dyDescent="0.35">
      <c r="A569" s="1"/>
      <c r="B569" s="2"/>
      <c r="C569" s="39"/>
      <c r="D569" s="18" t="s">
        <v>287</v>
      </c>
      <c r="E569" s="19"/>
      <c r="F569" s="20"/>
      <c r="G569" s="17">
        <f>SUM(G558:G568)</f>
        <v>91268.663682495622</v>
      </c>
    </row>
    <row r="570" spans="1:7" hidden="1" x14ac:dyDescent="0.3">
      <c r="A570" s="1"/>
      <c r="B570" s="2"/>
      <c r="C570" s="3"/>
      <c r="D570" s="21" t="s">
        <v>289</v>
      </c>
      <c r="E570" s="22"/>
      <c r="F570" s="23">
        <f>+F551</f>
        <v>0.25</v>
      </c>
      <c r="G570" s="24">
        <f>+ROUND(G569*F570,0)</f>
        <v>22817</v>
      </c>
    </row>
    <row r="571" spans="1:7" hidden="1" x14ac:dyDescent="0.3">
      <c r="A571" s="1"/>
      <c r="B571" s="2"/>
      <c r="C571" s="3"/>
      <c r="D571" s="25" t="s">
        <v>290</v>
      </c>
      <c r="E571" s="26"/>
      <c r="F571" s="23">
        <f>+F552</f>
        <v>0</v>
      </c>
      <c r="G571" s="14">
        <f>+ROUND(G569*F571,0)</f>
        <v>0</v>
      </c>
    </row>
    <row r="572" spans="1:7" ht="17.25" hidden="1" thickBot="1" x14ac:dyDescent="0.35">
      <c r="A572" s="1"/>
      <c r="B572" s="2"/>
      <c r="C572" s="3"/>
      <c r="D572" s="25" t="s">
        <v>291</v>
      </c>
      <c r="E572" s="26"/>
      <c r="F572" s="23">
        <f>+F553</f>
        <v>0.05</v>
      </c>
      <c r="G572" s="14">
        <f>+ROUND(G569*F572,0)</f>
        <v>4563</v>
      </c>
    </row>
    <row r="573" spans="1:7" ht="17.25" hidden="1" thickBot="1" x14ac:dyDescent="0.35">
      <c r="A573" s="1"/>
      <c r="B573" s="2"/>
      <c r="C573" s="3"/>
      <c r="D573" s="18" t="s">
        <v>10</v>
      </c>
      <c r="E573" s="29"/>
      <c r="F573" s="20"/>
      <c r="G573" s="17">
        <f>SUM(G569:G572)</f>
        <v>118648.66368249562</v>
      </c>
    </row>
    <row r="574" spans="1:7" ht="17.25" thickBot="1" x14ac:dyDescent="0.35">
      <c r="A574" s="1"/>
      <c r="B574" s="2"/>
      <c r="C574" s="3"/>
      <c r="D574" s="121"/>
      <c r="E574" s="122"/>
      <c r="F574" s="39"/>
      <c r="G574" s="39"/>
    </row>
    <row r="575" spans="1:7" ht="66.75" thickBot="1" x14ac:dyDescent="0.35">
      <c r="A575" s="358">
        <f>PPTO!B49</f>
        <v>6.7</v>
      </c>
      <c r="B575" s="359" t="str">
        <f>VLOOKUP(A575,PPTO!$B$8:$D$94,2,0)</f>
        <v xml:space="preserve">Suministro, transporte e instalación de salida para luminaria OJO BUEY TIPO INTERIOR Panel led redondo 120V 16W), incrustada en losa, pared o mampostería.  Incluye  tubería PVC 1/2", según planos, accesorios, alambre de cobre THHN-AWG-LS #12, y todos los elementos para el correcto funcionamiento. </v>
      </c>
      <c r="C575" s="360" t="s">
        <v>85</v>
      </c>
      <c r="D575" s="361" t="s">
        <v>274</v>
      </c>
      <c r="E575" s="362" t="s">
        <v>275</v>
      </c>
      <c r="F575" s="360" t="s">
        <v>276</v>
      </c>
      <c r="G575" s="363" t="s">
        <v>277</v>
      </c>
    </row>
    <row r="576" spans="1:7" x14ac:dyDescent="0.3">
      <c r="A576" s="1" t="s">
        <v>288</v>
      </c>
      <c r="B576" s="51" t="s">
        <v>278</v>
      </c>
      <c r="C576" s="43"/>
      <c r="D576" s="43"/>
      <c r="E576" s="44"/>
      <c r="F576" s="52"/>
      <c r="G576" s="7"/>
    </row>
    <row r="577" spans="1:7" x14ac:dyDescent="0.3">
      <c r="A577" s="1"/>
      <c r="B577" s="65" t="s">
        <v>367</v>
      </c>
      <c r="C577" s="54" t="str">
        <f>VLOOKUP(B577,INSUMOS!$B$2:$D$562,2,0)</f>
        <v>m</v>
      </c>
      <c r="D577" s="11"/>
      <c r="E577" s="12">
        <v>3.8</v>
      </c>
      <c r="F577" s="54">
        <f>VLOOKUP(B577,INSUMOS!$B$2:$D$562,3,0)</f>
        <v>2833.3333333333335</v>
      </c>
      <c r="G577" s="67">
        <f>+ROUND((1+D577)*E577*F577,0)</f>
        <v>10767</v>
      </c>
    </row>
    <row r="578" spans="1:7" x14ac:dyDescent="0.3">
      <c r="A578" s="1"/>
      <c r="B578" s="65" t="s">
        <v>368</v>
      </c>
      <c r="C578" s="54" t="str">
        <f>VLOOKUP(B578,INSUMOS!$B$2:$D$562,2,0)</f>
        <v>m</v>
      </c>
      <c r="D578" s="11"/>
      <c r="E578" s="12">
        <v>12</v>
      </c>
      <c r="F578" s="54">
        <f>VLOOKUP(B578,INSUMOS!$B$2:$D$562,3,0)</f>
        <v>3200</v>
      </c>
      <c r="G578" s="67">
        <f>+ROUND((1+D578)*E578*F578,0)</f>
        <v>38400</v>
      </c>
    </row>
    <row r="579" spans="1:7" x14ac:dyDescent="0.3">
      <c r="A579" s="1"/>
      <c r="B579" s="65" t="s">
        <v>369</v>
      </c>
      <c r="C579" s="54" t="str">
        <f>VLOOKUP(B579,INSUMOS!$B$2:$D$562,2,0)</f>
        <v>un</v>
      </c>
      <c r="D579" s="11"/>
      <c r="E579" s="12">
        <v>2</v>
      </c>
      <c r="F579" s="54">
        <f>VLOOKUP(B579,INSUMOS!$B$2:$D$562,3,0)</f>
        <v>2000</v>
      </c>
      <c r="G579" s="67">
        <f>+ROUND((1+D579)*E579*F579,0)</f>
        <v>4000</v>
      </c>
    </row>
    <row r="580" spans="1:7" x14ac:dyDescent="0.3">
      <c r="A580" s="1"/>
      <c r="B580" s="65" t="s">
        <v>382</v>
      </c>
      <c r="C580" s="54" t="str">
        <f>VLOOKUP(B580,INSUMOS!$B$2:$D$562,2,0)</f>
        <v>un</v>
      </c>
      <c r="D580" s="11"/>
      <c r="E580" s="12">
        <v>1</v>
      </c>
      <c r="F580" s="54">
        <f>VLOOKUP(B580,INSUMOS!$B$2:$D$562,3,0)</f>
        <v>19500</v>
      </c>
      <c r="G580" s="67">
        <f t="shared" ref="G580:G581" si="26">+ROUND((1+D580)*E580*F580,0)</f>
        <v>19500</v>
      </c>
    </row>
    <row r="581" spans="1:7" x14ac:dyDescent="0.3">
      <c r="A581" s="1"/>
      <c r="B581" s="71" t="s">
        <v>324</v>
      </c>
      <c r="C581" s="54" t="str">
        <f>VLOOKUP(B581,INSUMOS!$B$2:$D$562,2,0)</f>
        <v>día</v>
      </c>
      <c r="D581" s="426"/>
      <c r="E581" s="427">
        <v>0.25</v>
      </c>
      <c r="F581" s="54">
        <f>VLOOKUP(B581,INSUMOS!$B$2:$D$562,3,0)</f>
        <v>3500</v>
      </c>
      <c r="G581" s="465">
        <f t="shared" si="26"/>
        <v>875</v>
      </c>
    </row>
    <row r="582" spans="1:7" ht="17.25" thickBot="1" x14ac:dyDescent="0.35">
      <c r="A582" s="1"/>
      <c r="B582" s="55" t="s">
        <v>281</v>
      </c>
      <c r="C582" s="56"/>
      <c r="D582" s="56"/>
      <c r="E582" s="57"/>
      <c r="F582" s="58" t="s">
        <v>288</v>
      </c>
      <c r="G582" s="59"/>
    </row>
    <row r="583" spans="1:7" ht="17.25" thickBot="1" x14ac:dyDescent="0.35">
      <c r="A583" s="1"/>
      <c r="B583" s="15" t="s">
        <v>373</v>
      </c>
      <c r="C583" s="16" t="s">
        <v>383</v>
      </c>
      <c r="D583" s="60"/>
      <c r="E583" s="61">
        <v>1</v>
      </c>
      <c r="F583" s="16">
        <f>+F564</f>
        <v>21501.663682495626</v>
      </c>
      <c r="G583" s="17">
        <f>F583*E583</f>
        <v>21501.663682495626</v>
      </c>
    </row>
    <row r="584" spans="1:7" ht="17.25" thickBot="1" x14ac:dyDescent="0.35">
      <c r="A584" s="1"/>
      <c r="B584" s="55" t="s">
        <v>283</v>
      </c>
      <c r="C584" s="56"/>
      <c r="D584" s="56"/>
      <c r="E584" s="57"/>
      <c r="F584" s="58"/>
      <c r="G584" s="59"/>
    </row>
    <row r="585" spans="1:7" ht="17.25" thickBot="1" x14ac:dyDescent="0.35">
      <c r="A585" s="1"/>
      <c r="B585" s="15" t="s">
        <v>310</v>
      </c>
      <c r="C585" s="16" t="s">
        <v>169</v>
      </c>
      <c r="D585" s="60"/>
      <c r="E585" s="61">
        <v>1</v>
      </c>
      <c r="F585" s="16">
        <v>150</v>
      </c>
      <c r="G585" s="17">
        <f>+F585</f>
        <v>150</v>
      </c>
    </row>
    <row r="586" spans="1:7" ht="17.25" thickBot="1" x14ac:dyDescent="0.35">
      <c r="A586" s="1"/>
      <c r="B586" s="62" t="s">
        <v>286</v>
      </c>
      <c r="C586" s="5"/>
      <c r="D586" s="5"/>
      <c r="E586" s="6"/>
      <c r="F586" s="63"/>
      <c r="G586" s="64"/>
    </row>
    <row r="587" spans="1:7" ht="17.25" thickBot="1" x14ac:dyDescent="0.35">
      <c r="A587" s="1"/>
      <c r="B587" s="38" t="s">
        <v>286</v>
      </c>
      <c r="C587" s="47" t="s">
        <v>124</v>
      </c>
      <c r="D587" s="45"/>
      <c r="E587" s="46">
        <v>0.05</v>
      </c>
      <c r="F587" s="41">
        <f>F583</f>
        <v>21501.663682495626</v>
      </c>
      <c r="G587" s="40">
        <f>+ROUND(E587*F587,0)</f>
        <v>1075</v>
      </c>
    </row>
    <row r="588" spans="1:7" ht="17.25" thickBot="1" x14ac:dyDescent="0.35">
      <c r="A588" s="1"/>
      <c r="B588" s="2"/>
      <c r="C588" s="39"/>
      <c r="D588" s="18" t="s">
        <v>287</v>
      </c>
      <c r="E588" s="19"/>
      <c r="F588" s="20"/>
      <c r="G588" s="17">
        <f>SUM(G577:G587)</f>
        <v>96268.663682495622</v>
      </c>
    </row>
    <row r="589" spans="1:7" hidden="1" x14ac:dyDescent="0.3">
      <c r="A589" s="1"/>
      <c r="B589" s="2"/>
      <c r="C589" s="3"/>
      <c r="D589" s="21" t="s">
        <v>289</v>
      </c>
      <c r="E589" s="22"/>
      <c r="F589" s="23">
        <f>+F570</f>
        <v>0.25</v>
      </c>
      <c r="G589" s="24">
        <f>+ROUND(G588*F589,0)</f>
        <v>24067</v>
      </c>
    </row>
    <row r="590" spans="1:7" hidden="1" x14ac:dyDescent="0.3">
      <c r="A590" s="1"/>
      <c r="B590" s="2"/>
      <c r="C590" s="3"/>
      <c r="D590" s="25" t="s">
        <v>290</v>
      </c>
      <c r="E590" s="26"/>
      <c r="F590" s="23">
        <f>+F571</f>
        <v>0</v>
      </c>
      <c r="G590" s="14">
        <f>+ROUND(G588*F590,0)</f>
        <v>0</v>
      </c>
    </row>
    <row r="591" spans="1:7" ht="17.25" hidden="1" thickBot="1" x14ac:dyDescent="0.35">
      <c r="A591" s="1"/>
      <c r="B591" s="2"/>
      <c r="C591" s="3"/>
      <c r="D591" s="25" t="s">
        <v>291</v>
      </c>
      <c r="E591" s="26"/>
      <c r="F591" s="23">
        <f>+F572</f>
        <v>0.05</v>
      </c>
      <c r="G591" s="14">
        <f>+ROUND(G588*F591,0)</f>
        <v>4813</v>
      </c>
    </row>
    <row r="592" spans="1:7" ht="17.25" hidden="1" thickBot="1" x14ac:dyDescent="0.35">
      <c r="A592" s="1"/>
      <c r="B592" s="2"/>
      <c r="C592" s="3"/>
      <c r="D592" s="18" t="s">
        <v>10</v>
      </c>
      <c r="E592" s="29"/>
      <c r="F592" s="20"/>
      <c r="G592" s="17">
        <f>SUM(G588:G591)</f>
        <v>125148.66368249562</v>
      </c>
    </row>
    <row r="593" spans="1:7" ht="17.25" thickBot="1" x14ac:dyDescent="0.35">
      <c r="A593" s="1"/>
    </row>
    <row r="594" spans="1:7" ht="33.75" thickBot="1" x14ac:dyDescent="0.35">
      <c r="A594" s="358">
        <f>PPTO!B50</f>
        <v>6.8</v>
      </c>
      <c r="B594" s="359" t="str">
        <f>VLOOKUP(A594,PPTO!$B$8:$D$94,2,0)</f>
        <v>Suministro, transporte e instalación de Tubería PVC de 1" para alimentación de circuitos, incluye  elementos para el correcto funcionamiento.</v>
      </c>
      <c r="C594" s="360" t="s">
        <v>85</v>
      </c>
      <c r="D594" s="361" t="s">
        <v>274</v>
      </c>
      <c r="E594" s="362" t="s">
        <v>275</v>
      </c>
      <c r="F594" s="360" t="s">
        <v>276</v>
      </c>
      <c r="G594" s="363" t="s">
        <v>277</v>
      </c>
    </row>
    <row r="595" spans="1:7" x14ac:dyDescent="0.3">
      <c r="A595" s="1" t="s">
        <v>288</v>
      </c>
      <c r="B595" s="51" t="s">
        <v>278</v>
      </c>
      <c r="C595" s="43"/>
      <c r="D595" s="43"/>
      <c r="E595" s="44"/>
      <c r="F595" s="52"/>
      <c r="G595" s="7"/>
    </row>
    <row r="596" spans="1:7" x14ac:dyDescent="0.3">
      <c r="A596" s="1"/>
      <c r="B596" s="68" t="s">
        <v>384</v>
      </c>
      <c r="C596" s="54" t="str">
        <f>VLOOKUP(B596,INSUMOS!$B$2:$D$562,2,0)</f>
        <v>ml</v>
      </c>
      <c r="D596" s="11"/>
      <c r="E596" s="12">
        <v>1</v>
      </c>
      <c r="F596" s="54">
        <f>VLOOKUP(B596,INSUMOS!$B$2:$D$562,3,0)</f>
        <v>5166.666666666667</v>
      </c>
      <c r="G596" s="13">
        <f>+ROUND((1+D596)*E596*F596,0)</f>
        <v>5167</v>
      </c>
    </row>
    <row r="597" spans="1:7" x14ac:dyDescent="0.3">
      <c r="A597" s="1"/>
      <c r="B597" s="68" t="s">
        <v>385</v>
      </c>
      <c r="C597" s="54" t="str">
        <f>VLOOKUP(B597,INSUMOS!$B$2:$D$562,2,0)</f>
        <v>un</v>
      </c>
      <c r="D597" s="11"/>
      <c r="E597" s="12">
        <v>2</v>
      </c>
      <c r="F597" s="54">
        <f>VLOOKUP(B597,INSUMOS!$B$2:$D$562,3,0)</f>
        <v>687.5</v>
      </c>
      <c r="G597" s="13">
        <f>+ROUND((1+D597)*E597*F597,0)</f>
        <v>1375</v>
      </c>
    </row>
    <row r="598" spans="1:7" x14ac:dyDescent="0.3">
      <c r="A598" s="1"/>
      <c r="B598" s="71" t="s">
        <v>324</v>
      </c>
      <c r="C598" s="54" t="str">
        <f>VLOOKUP(B598,INSUMOS!$B$2:$D$562,2,0)</f>
        <v>día</v>
      </c>
      <c r="D598" s="426"/>
      <c r="E598" s="427">
        <v>0.25</v>
      </c>
      <c r="F598" s="54">
        <f>VLOOKUP(B598,INSUMOS!$B$2:$D$562,3,0)</f>
        <v>3500</v>
      </c>
      <c r="G598" s="465">
        <f t="shared" ref="G598" si="27">+ROUND((1+D598)*E598*F598,0)</f>
        <v>875</v>
      </c>
    </row>
    <row r="599" spans="1:7" x14ac:dyDescent="0.3">
      <c r="A599" s="1"/>
      <c r="B599" s="68" t="s">
        <v>368</v>
      </c>
      <c r="C599" s="54" t="str">
        <f>VLOOKUP(B599,INSUMOS!$B$2:$D$562,2,0)</f>
        <v>m</v>
      </c>
      <c r="D599" s="11"/>
      <c r="E599" s="12">
        <v>12</v>
      </c>
      <c r="F599" s="54">
        <f>VLOOKUP(B599,INSUMOS!$B$2:$D$562,3,0)</f>
        <v>3200</v>
      </c>
      <c r="G599" s="13">
        <f>+ROUND((1+D599)*E599*F599,0)</f>
        <v>38400</v>
      </c>
    </row>
    <row r="600" spans="1:7" x14ac:dyDescent="0.3">
      <c r="A600" s="1"/>
      <c r="B600" s="71" t="s">
        <v>372</v>
      </c>
      <c r="C600" s="54" t="str">
        <f>VLOOKUP(B600,INSUMOS!$B$2:$D$562,2,0)</f>
        <v>galon</v>
      </c>
      <c r="D600" s="426"/>
      <c r="E600" s="12">
        <v>0.02</v>
      </c>
      <c r="F600" s="54">
        <f>VLOOKUP(B600,INSUMOS!$B$2:$D$562,3,0)</f>
        <v>80000</v>
      </c>
      <c r="G600" s="13">
        <f t="shared" ref="G600" si="28">+ROUND((1+D600)*E600*F600,0)</f>
        <v>1600</v>
      </c>
    </row>
    <row r="601" spans="1:7" ht="17.25" thickBot="1" x14ac:dyDescent="0.35">
      <c r="A601" s="1"/>
      <c r="B601" s="55" t="s">
        <v>281</v>
      </c>
      <c r="C601" s="56"/>
      <c r="D601" s="56"/>
      <c r="E601" s="57"/>
      <c r="F601" s="58" t="s">
        <v>288</v>
      </c>
      <c r="G601" s="59"/>
    </row>
    <row r="602" spans="1:7" ht="17.25" thickBot="1" x14ac:dyDescent="0.35">
      <c r="A602" s="1"/>
      <c r="B602" s="15" t="s">
        <v>373</v>
      </c>
      <c r="C602" s="16" t="s">
        <v>374</v>
      </c>
      <c r="D602" s="60"/>
      <c r="E602" s="61">
        <v>0.15</v>
      </c>
      <c r="F602" s="16">
        <f>+F583</f>
        <v>21501.663682495626</v>
      </c>
      <c r="G602" s="17">
        <f>F602*E602</f>
        <v>3225.2495523743437</v>
      </c>
    </row>
    <row r="603" spans="1:7" ht="17.25" thickBot="1" x14ac:dyDescent="0.35">
      <c r="A603" s="1"/>
      <c r="B603" s="55" t="s">
        <v>283</v>
      </c>
      <c r="C603" s="56"/>
      <c r="D603" s="56"/>
      <c r="E603" s="57"/>
      <c r="F603" s="58"/>
      <c r="G603" s="59"/>
    </row>
    <row r="604" spans="1:7" ht="17.25" thickBot="1" x14ac:dyDescent="0.35">
      <c r="A604" s="1"/>
      <c r="B604" s="15" t="s">
        <v>310</v>
      </c>
      <c r="C604" s="16" t="s">
        <v>169</v>
      </c>
      <c r="D604" s="60"/>
      <c r="E604" s="61">
        <v>5</v>
      </c>
      <c r="F604" s="16">
        <v>150</v>
      </c>
      <c r="G604" s="17">
        <f>+ROUND((1+D604)*E604*F604,0)</f>
        <v>750</v>
      </c>
    </row>
    <row r="605" spans="1:7" ht="17.25" thickBot="1" x14ac:dyDescent="0.35">
      <c r="A605" s="1"/>
      <c r="B605" s="62" t="s">
        <v>286</v>
      </c>
      <c r="C605" s="5"/>
      <c r="D605" s="5"/>
      <c r="E605" s="6"/>
      <c r="F605" s="63"/>
      <c r="G605" s="64"/>
    </row>
    <row r="606" spans="1:7" ht="17.25" thickBot="1" x14ac:dyDescent="0.35">
      <c r="A606" s="1"/>
      <c r="B606" s="38" t="s">
        <v>286</v>
      </c>
      <c r="C606" s="47" t="s">
        <v>124</v>
      </c>
      <c r="D606" s="45"/>
      <c r="E606" s="46">
        <v>0.05</v>
      </c>
      <c r="F606" s="41">
        <f>F602</f>
        <v>21501.663682495626</v>
      </c>
      <c r="G606" s="40">
        <f>+ROUND(E606*F606,0)</f>
        <v>1075</v>
      </c>
    </row>
    <row r="607" spans="1:7" ht="17.25" thickBot="1" x14ac:dyDescent="0.35">
      <c r="A607" s="1"/>
      <c r="B607" s="2"/>
      <c r="C607" s="39"/>
      <c r="D607" s="18" t="s">
        <v>287</v>
      </c>
      <c r="E607" s="19"/>
      <c r="F607" s="20"/>
      <c r="G607" s="17">
        <f>SUM(G596:G606)</f>
        <v>52467.249552374342</v>
      </c>
    </row>
    <row r="608" spans="1:7" hidden="1" x14ac:dyDescent="0.3">
      <c r="A608" s="1"/>
      <c r="B608" s="2"/>
      <c r="C608" s="3"/>
      <c r="D608" s="21" t="s">
        <v>289</v>
      </c>
      <c r="E608" s="22"/>
      <c r="F608" s="23">
        <f>+F589</f>
        <v>0.25</v>
      </c>
      <c r="G608" s="24">
        <f>+ROUND(G607*F608,0)</f>
        <v>13117</v>
      </c>
    </row>
    <row r="609" spans="1:7" hidden="1" x14ac:dyDescent="0.3">
      <c r="A609" s="1"/>
      <c r="B609" s="2"/>
      <c r="C609" s="3"/>
      <c r="D609" s="25" t="s">
        <v>290</v>
      </c>
      <c r="E609" s="26"/>
      <c r="F609" s="23">
        <f>+F590</f>
        <v>0</v>
      </c>
      <c r="G609" s="14">
        <f>+ROUND(G607*F609,0)</f>
        <v>0</v>
      </c>
    </row>
    <row r="610" spans="1:7" ht="17.25" hidden="1" thickBot="1" x14ac:dyDescent="0.35">
      <c r="A610" s="1"/>
      <c r="B610" s="2"/>
      <c r="C610" s="3"/>
      <c r="D610" s="25" t="s">
        <v>291</v>
      </c>
      <c r="E610" s="26"/>
      <c r="F610" s="23">
        <f>+F591</f>
        <v>0.05</v>
      </c>
      <c r="G610" s="14">
        <f>+ROUND(G607*F610,0)</f>
        <v>2623</v>
      </c>
    </row>
    <row r="611" spans="1:7" ht="17.25" hidden="1" thickBot="1" x14ac:dyDescent="0.35">
      <c r="A611" s="1"/>
      <c r="B611" s="2"/>
      <c r="C611" s="3"/>
      <c r="D611" s="18" t="s">
        <v>10</v>
      </c>
      <c r="E611" s="29"/>
      <c r="F611" s="20"/>
      <c r="G611" s="17">
        <f>SUM(G607:G610)</f>
        <v>68207.249552374342</v>
      </c>
    </row>
    <row r="612" spans="1:7" ht="17.25" thickBot="1" x14ac:dyDescent="0.35">
      <c r="A612" s="1"/>
    </row>
    <row r="613" spans="1:7" ht="66.75" thickBot="1" x14ac:dyDescent="0.35">
      <c r="A613" s="358">
        <f>PPTO!B51</f>
        <v>6.9</v>
      </c>
      <c r="B613" s="359" t="str">
        <f>VLOOKUP(A613,PPTO!$B$8:$D$94,2,0)</f>
        <v>Suministro, transporte e instalación de tablero de distribución especial, tablero de distribución final y tabler de distribución final regulado, con espacio para totalizador y breackers. Incluye marcación elementos para el correcto funcionamiento.</v>
      </c>
      <c r="C613" s="360" t="s">
        <v>85</v>
      </c>
      <c r="D613" s="361" t="s">
        <v>274</v>
      </c>
      <c r="E613" s="362" t="s">
        <v>275</v>
      </c>
      <c r="F613" s="360" t="s">
        <v>276</v>
      </c>
      <c r="G613" s="363" t="s">
        <v>277</v>
      </c>
    </row>
    <row r="614" spans="1:7" x14ac:dyDescent="0.3">
      <c r="A614" s="1" t="s">
        <v>288</v>
      </c>
      <c r="B614" s="51" t="s">
        <v>278</v>
      </c>
      <c r="C614" s="43"/>
      <c r="D614" s="43"/>
      <c r="E614" s="44"/>
      <c r="F614" s="52"/>
      <c r="G614" s="7"/>
    </row>
    <row r="615" spans="1:7" x14ac:dyDescent="0.3">
      <c r="A615" s="1"/>
      <c r="B615" s="65" t="s">
        <v>386</v>
      </c>
      <c r="C615" s="54" t="str">
        <f>VLOOKUP(B615,INSUMOS!$B$2:$D$562,2,0)</f>
        <v>un</v>
      </c>
      <c r="D615" s="11"/>
      <c r="E615" s="12">
        <v>1</v>
      </c>
      <c r="F615" s="54">
        <f>VLOOKUP(B615,INSUMOS!$B$2:$D$562,3,0)</f>
        <v>1050000</v>
      </c>
      <c r="G615" s="67">
        <f>+ROUND((1+D615)*E615*F615,0)</f>
        <v>1050000</v>
      </c>
    </row>
    <row r="616" spans="1:7" x14ac:dyDescent="0.3">
      <c r="A616" s="1"/>
      <c r="B616" s="65" t="s">
        <v>387</v>
      </c>
      <c r="C616" s="54" t="str">
        <f>VLOOKUP(B616,INSUMOS!$B$2:$D$562,2,0)</f>
        <v>m</v>
      </c>
      <c r="D616" s="11"/>
      <c r="E616" s="12">
        <v>8</v>
      </c>
      <c r="F616" s="54">
        <f>VLOOKUP(B616,INSUMOS!$B$2:$D$562,3,0)</f>
        <v>2800</v>
      </c>
      <c r="G616" s="67">
        <f>+ROUND((1+D616)*E616*F616,0)</f>
        <v>22400</v>
      </c>
    </row>
    <row r="617" spans="1:7" x14ac:dyDescent="0.3">
      <c r="A617" s="1"/>
      <c r="B617" s="65" t="s">
        <v>388</v>
      </c>
      <c r="C617" s="54" t="str">
        <f>VLOOKUP(B617,INSUMOS!$B$2:$D$562,2,0)</f>
        <v>un</v>
      </c>
      <c r="D617" s="11"/>
      <c r="E617" s="12">
        <v>1</v>
      </c>
      <c r="F617" s="54">
        <f>VLOOKUP(B617,INSUMOS!$B$2:$D$562,3,0)</f>
        <v>40000</v>
      </c>
      <c r="G617" s="67">
        <f>+ROUND((1+D617)*E617*F617,0)</f>
        <v>40000</v>
      </c>
    </row>
    <row r="618" spans="1:7" x14ac:dyDescent="0.3">
      <c r="A618" s="1"/>
      <c r="B618" s="65" t="s">
        <v>389</v>
      </c>
      <c r="C618" s="54" t="str">
        <f>VLOOKUP(B618,INSUMOS!$B$2:$D$562,2,0)</f>
        <v>m</v>
      </c>
      <c r="D618" s="11"/>
      <c r="E618" s="12">
        <v>1</v>
      </c>
      <c r="F618" s="54">
        <f>VLOOKUP(B618,INSUMOS!$B$2:$D$562,3,0)</f>
        <v>4812.5</v>
      </c>
      <c r="G618" s="67">
        <f>+ROUND((1+D618)*E618*F618,0)</f>
        <v>4813</v>
      </c>
    </row>
    <row r="619" spans="1:7" x14ac:dyDescent="0.3">
      <c r="A619" s="1"/>
      <c r="B619" s="65" t="s">
        <v>367</v>
      </c>
      <c r="C619" s="54" t="str">
        <f>VLOOKUP(B619,INSUMOS!$B$2:$D$562,2,0)</f>
        <v>m</v>
      </c>
      <c r="D619" s="11"/>
      <c r="E619" s="12">
        <v>1</v>
      </c>
      <c r="F619" s="54">
        <f>VLOOKUP(B619,INSUMOS!$B$2:$D$562,3,0)</f>
        <v>2833.3333333333335</v>
      </c>
      <c r="G619" s="67">
        <f>+ROUND((1+D619)*E619*F619,0)</f>
        <v>2833</v>
      </c>
    </row>
    <row r="620" spans="1:7" x14ac:dyDescent="0.3">
      <c r="A620" s="1"/>
      <c r="B620" s="65" t="s">
        <v>390</v>
      </c>
      <c r="C620" s="54" t="str">
        <f>VLOOKUP(B620,INSUMOS!$B$2:$D$562,2,0)</f>
        <v>un</v>
      </c>
      <c r="D620" s="11"/>
      <c r="E620" s="12">
        <v>1</v>
      </c>
      <c r="F620" s="54">
        <f>VLOOKUP(B620,INSUMOS!$B$2:$D$562,3,0)</f>
        <v>23000</v>
      </c>
      <c r="G620" s="67">
        <f t="shared" ref="G620:G621" si="29">+ROUND((1+D620)*E620*F620,0)</f>
        <v>23000</v>
      </c>
    </row>
    <row r="621" spans="1:7" x14ac:dyDescent="0.3">
      <c r="A621" s="1"/>
      <c r="B621" s="65" t="s">
        <v>391</v>
      </c>
      <c r="C621" s="54" t="str">
        <f>VLOOKUP(B621,INSUMOS!$B$2:$D$562,2,0)</f>
        <v>un</v>
      </c>
      <c r="D621" s="11"/>
      <c r="E621" s="12">
        <v>1</v>
      </c>
      <c r="F621" s="54">
        <f>VLOOKUP(B621,INSUMOS!$B$2:$D$562,3,0)</f>
        <v>18562.5</v>
      </c>
      <c r="G621" s="67">
        <f t="shared" si="29"/>
        <v>18563</v>
      </c>
    </row>
    <row r="622" spans="1:7" ht="17.25" thickBot="1" x14ac:dyDescent="0.35">
      <c r="A622" s="1"/>
      <c r="B622" s="55" t="s">
        <v>281</v>
      </c>
      <c r="C622" s="56"/>
      <c r="D622" s="56"/>
      <c r="E622" s="57"/>
      <c r="F622" s="58" t="s">
        <v>288</v>
      </c>
      <c r="G622" s="59"/>
    </row>
    <row r="623" spans="1:7" ht="17.25" thickBot="1" x14ac:dyDescent="0.35">
      <c r="A623" s="1"/>
      <c r="B623" s="15" t="s">
        <v>373</v>
      </c>
      <c r="C623" s="16" t="s">
        <v>374</v>
      </c>
      <c r="D623" s="60"/>
      <c r="E623" s="61">
        <v>1</v>
      </c>
      <c r="F623" s="16">
        <f>+'FACTOR PRESTACIONAL'!L9+'FACTOR PRESTACIONAL'!L10+'FACTOR PRESTACIONAL'!L11</f>
        <v>51252.118111825461</v>
      </c>
      <c r="G623" s="17">
        <f>F623*E623</f>
        <v>51252.118111825461</v>
      </c>
    </row>
    <row r="624" spans="1:7" ht="17.25" thickBot="1" x14ac:dyDescent="0.35">
      <c r="A624" s="1"/>
      <c r="B624" s="55" t="s">
        <v>283</v>
      </c>
      <c r="C624" s="56"/>
      <c r="D624" s="56"/>
      <c r="E624" s="57"/>
      <c r="F624" s="58"/>
      <c r="G624" s="59"/>
    </row>
    <row r="625" spans="1:7" ht="17.25" thickBot="1" x14ac:dyDescent="0.35">
      <c r="A625" s="1"/>
      <c r="B625" s="15" t="s">
        <v>310</v>
      </c>
      <c r="C625" s="16" t="s">
        <v>169</v>
      </c>
      <c r="D625" s="60"/>
      <c r="E625" s="61">
        <v>5</v>
      </c>
      <c r="F625" s="16">
        <v>150</v>
      </c>
      <c r="G625" s="17">
        <f>+ROUND((1+D625)*E625*F625,0)</f>
        <v>750</v>
      </c>
    </row>
    <row r="626" spans="1:7" ht="17.25" thickBot="1" x14ac:dyDescent="0.35">
      <c r="A626" s="1"/>
      <c r="B626" s="62" t="s">
        <v>286</v>
      </c>
      <c r="C626" s="5"/>
      <c r="D626" s="5"/>
      <c r="E626" s="6"/>
      <c r="F626" s="63"/>
      <c r="G626" s="64"/>
    </row>
    <row r="627" spans="1:7" ht="17.25" thickBot="1" x14ac:dyDescent="0.35">
      <c r="A627" s="1"/>
      <c r="B627" s="38" t="s">
        <v>286</v>
      </c>
      <c r="C627" s="47" t="s">
        <v>124</v>
      </c>
      <c r="D627" s="45"/>
      <c r="E627" s="46">
        <v>0.05</v>
      </c>
      <c r="F627" s="41">
        <f>G623</f>
        <v>51252.118111825461</v>
      </c>
      <c r="G627" s="40">
        <f>+ROUND(E627*F627,0)</f>
        <v>2563</v>
      </c>
    </row>
    <row r="628" spans="1:7" ht="17.25" thickBot="1" x14ac:dyDescent="0.35">
      <c r="A628" s="1"/>
      <c r="B628" s="2"/>
      <c r="C628" s="39"/>
      <c r="D628" s="18" t="s">
        <v>287</v>
      </c>
      <c r="E628" s="19"/>
      <c r="F628" s="20"/>
      <c r="G628" s="17">
        <f>SUM(G615:G627)</f>
        <v>1216174.1181118255</v>
      </c>
    </row>
    <row r="629" spans="1:7" hidden="1" x14ac:dyDescent="0.3">
      <c r="A629" s="1"/>
      <c r="B629" s="2"/>
      <c r="C629" s="3"/>
      <c r="D629" s="21" t="s">
        <v>289</v>
      </c>
      <c r="E629" s="22"/>
      <c r="F629" s="23">
        <f>+F608</f>
        <v>0.25</v>
      </c>
      <c r="G629" s="24">
        <f>+ROUND(G628*F629,0)</f>
        <v>304044</v>
      </c>
    </row>
    <row r="630" spans="1:7" hidden="1" x14ac:dyDescent="0.3">
      <c r="A630" s="1"/>
      <c r="B630" s="2"/>
      <c r="C630" s="3"/>
      <c r="D630" s="25" t="s">
        <v>290</v>
      </c>
      <c r="E630" s="26"/>
      <c r="F630" s="23">
        <f t="shared" ref="F630:F631" si="30">+F609</f>
        <v>0</v>
      </c>
      <c r="G630" s="14">
        <f>+ROUND(G628*F630,0)</f>
        <v>0</v>
      </c>
    </row>
    <row r="631" spans="1:7" ht="17.25" hidden="1" thickBot="1" x14ac:dyDescent="0.35">
      <c r="A631" s="1"/>
      <c r="B631" s="2"/>
      <c r="C631" s="3"/>
      <c r="D631" s="25" t="s">
        <v>291</v>
      </c>
      <c r="E631" s="26"/>
      <c r="F631" s="23">
        <f t="shared" si="30"/>
        <v>0.05</v>
      </c>
      <c r="G631" s="14">
        <f>+ROUND(G628*F631,0)</f>
        <v>60809</v>
      </c>
    </row>
    <row r="632" spans="1:7" ht="17.25" hidden="1" thickBot="1" x14ac:dyDescent="0.35">
      <c r="A632" s="1"/>
      <c r="B632" s="2"/>
      <c r="C632" s="3"/>
      <c r="D632" s="18" t="s">
        <v>10</v>
      </c>
      <c r="E632" s="29"/>
      <c r="F632" s="20"/>
      <c r="G632" s="17">
        <f>SUM(G628:G631)</f>
        <v>1581027.1181118255</v>
      </c>
    </row>
    <row r="633" spans="1:7" ht="17.25" thickBot="1" x14ac:dyDescent="0.35">
      <c r="A633" s="1"/>
    </row>
    <row r="634" spans="1:7" ht="66.75" thickBot="1" x14ac:dyDescent="0.35">
      <c r="A634" s="471">
        <f>PPTO!B52</f>
        <v>6.1</v>
      </c>
      <c r="B634" s="359" t="str">
        <f>VLOOKUP(A634,PPTO!$B$8:$D$94,2,0)</f>
        <v>Suministro, transporte e instalación de salida para toma doble p/t. Incluye en tubería IMC, accesorios, alambre de cobre THHN-AWG- LS#12,  según cuadro de cargas y notas en planos, elementos para el correcto funcionamiento y aparato línea Génesis.</v>
      </c>
      <c r="C634" s="360" t="s">
        <v>85</v>
      </c>
      <c r="D634" s="361" t="s">
        <v>274</v>
      </c>
      <c r="E634" s="362" t="s">
        <v>275</v>
      </c>
      <c r="F634" s="360" t="s">
        <v>276</v>
      </c>
      <c r="G634" s="363" t="s">
        <v>277</v>
      </c>
    </row>
    <row r="635" spans="1:7" x14ac:dyDescent="0.3">
      <c r="A635" s="1" t="s">
        <v>288</v>
      </c>
      <c r="B635" s="51" t="s">
        <v>278</v>
      </c>
      <c r="C635" s="43"/>
      <c r="D635" s="43"/>
      <c r="E635" s="44"/>
      <c r="F635" s="52"/>
      <c r="G635" s="7"/>
    </row>
    <row r="636" spans="1:7" x14ac:dyDescent="0.3">
      <c r="A636" s="1"/>
      <c r="B636" s="65" t="s">
        <v>392</v>
      </c>
      <c r="C636" s="54" t="str">
        <f>VLOOKUP(B636,INSUMOS!$B$2:$D$562,2,0)</f>
        <v>un</v>
      </c>
      <c r="D636" s="11"/>
      <c r="E636" s="12">
        <v>1</v>
      </c>
      <c r="F636" s="54">
        <f>VLOOKUP(B636,INSUMOS!$B$2:$D$562,3,0)</f>
        <v>7900</v>
      </c>
      <c r="G636" s="67">
        <f>+ROUND((1+D636)*E636*F636,0)</f>
        <v>7900</v>
      </c>
    </row>
    <row r="637" spans="1:7" x14ac:dyDescent="0.3">
      <c r="A637" s="1"/>
      <c r="B637" s="65" t="s">
        <v>393</v>
      </c>
      <c r="C637" s="54" t="str">
        <f>VLOOKUP(B637,INSUMOS!$B$2:$D$562,2,0)</f>
        <v>m</v>
      </c>
      <c r="D637" s="11"/>
      <c r="E637" s="12">
        <v>1.2</v>
      </c>
      <c r="F637" s="54">
        <f>VLOOKUP(B637,INSUMOS!$B$2:$D$562,3,0)</f>
        <v>1800</v>
      </c>
      <c r="G637" s="67">
        <f>+ROUND((1+D637)*E637*F637,0)</f>
        <v>2160</v>
      </c>
    </row>
    <row r="638" spans="1:7" x14ac:dyDescent="0.3">
      <c r="A638" s="1"/>
      <c r="B638" s="65" t="s">
        <v>394</v>
      </c>
      <c r="C638" s="54" t="str">
        <f>VLOOKUP(B638,INSUMOS!$B$2:$D$562,2,0)</f>
        <v>un</v>
      </c>
      <c r="D638" s="11"/>
      <c r="E638" s="12">
        <v>1.5</v>
      </c>
      <c r="F638" s="54">
        <f>VLOOKUP(B638,INSUMOS!$B$2:$D$562,3,0)</f>
        <v>800</v>
      </c>
      <c r="G638" s="67">
        <f>+ROUND((1+D638)*E638*F638,0)</f>
        <v>1200</v>
      </c>
    </row>
    <row r="639" spans="1:7" x14ac:dyDescent="0.3">
      <c r="A639" s="1"/>
      <c r="B639" s="65" t="s">
        <v>369</v>
      </c>
      <c r="C639" s="54" t="str">
        <f>VLOOKUP(B639,INSUMOS!$B$2:$D$562,2,0)</f>
        <v>un</v>
      </c>
      <c r="D639" s="11"/>
      <c r="E639" s="12">
        <v>1</v>
      </c>
      <c r="F639" s="54">
        <f>VLOOKUP(B639,INSUMOS!$B$2:$D$562,3,0)</f>
        <v>2000</v>
      </c>
      <c r="G639" s="67">
        <f>+ROUND((1+D639)*E639*F639,0)</f>
        <v>2000</v>
      </c>
    </row>
    <row r="640" spans="1:7" x14ac:dyDescent="0.3">
      <c r="A640" s="1"/>
      <c r="B640" s="65" t="s">
        <v>387</v>
      </c>
      <c r="C640" s="54" t="str">
        <f>VLOOKUP(B640,INSUMOS!$B$2:$D$562,2,0)</f>
        <v>m</v>
      </c>
      <c r="D640" s="11"/>
      <c r="E640" s="12">
        <v>4.2</v>
      </c>
      <c r="F640" s="54">
        <f>VLOOKUP(B640,INSUMOS!$B$2:$D$562,3,0)</f>
        <v>2800</v>
      </c>
      <c r="G640" s="67">
        <f t="shared" ref="G640:G642" si="31">+ROUND((1+D640)*E640*F640,0)</f>
        <v>11760</v>
      </c>
    </row>
    <row r="641" spans="1:7" x14ac:dyDescent="0.3">
      <c r="A641" s="1"/>
      <c r="B641" s="65" t="s">
        <v>372</v>
      </c>
      <c r="C641" s="54" t="str">
        <f>VLOOKUP(B641,INSUMOS!$B$2:$D$562,2,0)</f>
        <v>galon</v>
      </c>
      <c r="D641" s="11"/>
      <c r="E641" s="12">
        <v>0.02</v>
      </c>
      <c r="F641" s="54">
        <f>VLOOKUP(B641,INSUMOS!$B$2:$D$562,3,0)</f>
        <v>80000</v>
      </c>
      <c r="G641" s="67">
        <f t="shared" si="31"/>
        <v>1600</v>
      </c>
    </row>
    <row r="642" spans="1:7" x14ac:dyDescent="0.3">
      <c r="A642" s="1"/>
      <c r="B642" s="65"/>
      <c r="C642" s="54"/>
      <c r="D642" s="11"/>
      <c r="E642" s="12"/>
      <c r="F642" s="54"/>
      <c r="G642" s="67">
        <f t="shared" si="31"/>
        <v>0</v>
      </c>
    </row>
    <row r="643" spans="1:7" ht="17.25" thickBot="1" x14ac:dyDescent="0.35">
      <c r="A643" s="1"/>
      <c r="B643" s="55" t="s">
        <v>281</v>
      </c>
      <c r="C643" s="56"/>
      <c r="D643" s="56"/>
      <c r="E643" s="57"/>
      <c r="F643" s="58" t="s">
        <v>288</v>
      </c>
      <c r="G643" s="59"/>
    </row>
    <row r="644" spans="1:7" ht="17.25" thickBot="1" x14ac:dyDescent="0.35">
      <c r="A644" s="1"/>
      <c r="B644" s="15" t="s">
        <v>373</v>
      </c>
      <c r="C644" s="16" t="s">
        <v>374</v>
      </c>
      <c r="D644" s="60"/>
      <c r="E644" s="61">
        <v>0.5</v>
      </c>
      <c r="F644" s="16">
        <f>+'FACTOR PRESTACIONAL'!L9</f>
        <v>21501.663682495626</v>
      </c>
      <c r="G644" s="17">
        <f>F644*E644</f>
        <v>10750.831841247813</v>
      </c>
    </row>
    <row r="645" spans="1:7" ht="17.25" thickBot="1" x14ac:dyDescent="0.35">
      <c r="A645" s="1"/>
      <c r="B645" s="55" t="s">
        <v>283</v>
      </c>
      <c r="C645" s="56"/>
      <c r="D645" s="56"/>
      <c r="E645" s="57"/>
      <c r="F645" s="58"/>
      <c r="G645" s="59"/>
    </row>
    <row r="646" spans="1:7" ht="17.25" thickBot="1" x14ac:dyDescent="0.35">
      <c r="A646" s="1"/>
      <c r="B646" s="15" t="s">
        <v>310</v>
      </c>
      <c r="C646" s="16" t="s">
        <v>169</v>
      </c>
      <c r="D646" s="60"/>
      <c r="E646" s="61">
        <v>5</v>
      </c>
      <c r="F646" s="16">
        <v>150</v>
      </c>
      <c r="G646" s="17">
        <f>+ROUND((1+D646)*E646*F646,0)</f>
        <v>750</v>
      </c>
    </row>
    <row r="647" spans="1:7" ht="17.25" thickBot="1" x14ac:dyDescent="0.35">
      <c r="A647" s="1"/>
      <c r="B647" s="62" t="s">
        <v>286</v>
      </c>
      <c r="C647" s="5"/>
      <c r="D647" s="5"/>
      <c r="E647" s="6"/>
      <c r="F647" s="63"/>
      <c r="G647" s="64"/>
    </row>
    <row r="648" spans="1:7" ht="17.25" thickBot="1" x14ac:dyDescent="0.35">
      <c r="A648" s="1"/>
      <c r="B648" s="38" t="s">
        <v>286</v>
      </c>
      <c r="C648" s="47" t="s">
        <v>124</v>
      </c>
      <c r="D648" s="45"/>
      <c r="E648" s="46">
        <v>0.05</v>
      </c>
      <c r="F648" s="41">
        <f>G644</f>
        <v>10750.831841247813</v>
      </c>
      <c r="G648" s="40">
        <f>+ROUND(E648*F648,0)</f>
        <v>538</v>
      </c>
    </row>
    <row r="649" spans="1:7" ht="17.25" thickBot="1" x14ac:dyDescent="0.35">
      <c r="A649" s="1"/>
      <c r="B649" s="2"/>
      <c r="C649" s="39"/>
      <c r="D649" s="18" t="s">
        <v>287</v>
      </c>
      <c r="E649" s="19"/>
      <c r="F649" s="20"/>
      <c r="G649" s="17">
        <f>SUM(G636:G648)</f>
        <v>38658.831841247811</v>
      </c>
    </row>
    <row r="650" spans="1:7" hidden="1" x14ac:dyDescent="0.3">
      <c r="A650" s="1"/>
      <c r="B650" s="2"/>
      <c r="C650" s="3"/>
      <c r="D650" s="21" t="s">
        <v>289</v>
      </c>
      <c r="E650" s="22"/>
      <c r="F650" s="23">
        <f>+F629</f>
        <v>0.25</v>
      </c>
      <c r="G650" s="24">
        <f>+ROUND(G649*F650,0)</f>
        <v>9665</v>
      </c>
    </row>
    <row r="651" spans="1:7" hidden="1" x14ac:dyDescent="0.3">
      <c r="A651" s="1"/>
      <c r="B651" s="2"/>
      <c r="C651" s="3"/>
      <c r="D651" s="25" t="s">
        <v>290</v>
      </c>
      <c r="E651" s="26"/>
      <c r="F651" s="23">
        <f t="shared" ref="F651:F652" si="32">+F630</f>
        <v>0</v>
      </c>
      <c r="G651" s="14">
        <f>+ROUND(G649*F651,0)</f>
        <v>0</v>
      </c>
    </row>
    <row r="652" spans="1:7" ht="17.25" hidden="1" thickBot="1" x14ac:dyDescent="0.35">
      <c r="A652" s="1"/>
      <c r="B652" s="2"/>
      <c r="C652" s="3"/>
      <c r="D652" s="25" t="s">
        <v>291</v>
      </c>
      <c r="E652" s="26"/>
      <c r="F652" s="23">
        <f t="shared" si="32"/>
        <v>0.05</v>
      </c>
      <c r="G652" s="14">
        <f>+ROUND(G649*F652,0)</f>
        <v>1933</v>
      </c>
    </row>
    <row r="653" spans="1:7" ht="17.25" hidden="1" thickBot="1" x14ac:dyDescent="0.35">
      <c r="A653" s="1"/>
      <c r="B653" s="2"/>
      <c r="C653" s="3"/>
      <c r="D653" s="18" t="s">
        <v>10</v>
      </c>
      <c r="E653" s="29"/>
      <c r="F653" s="20"/>
      <c r="G653" s="17">
        <f>SUM(G649:G652)</f>
        <v>50256.831841247811</v>
      </c>
    </row>
    <row r="654" spans="1:7" ht="17.25" thickBot="1" x14ac:dyDescent="0.35">
      <c r="A654" s="1"/>
    </row>
    <row r="655" spans="1:7" ht="116.25" thickBot="1" x14ac:dyDescent="0.35">
      <c r="A655" s="358">
        <f>PPTO!B53</f>
        <v>6.11</v>
      </c>
      <c r="B655" s="359" t="str">
        <f>VLOOKUP(A655,PPTO!$B$8:$D$94,2,0)</f>
        <v xml:space="preserve">Suministro, transporte e instalación de materiales para salida interruptor doble (switche) eléctrico  mono polar de alumbrado 15 A. TIPO LEV referencia 1451, 10A, 125 V, según certificación RETIE y pruebas de conformidad UL. Incluye el interruptor, tapa, tubo pvc, cajas 4"x4" met. Galv. Con tapa suplemento, adaptadores, curvas, pega pvc, conductores 12 AWG-CU-THHN/THWN-90ºC, conectores de conexión y empalme, tornillos, obra civil y demás elementos y accesorios para su correcta instalación y funcionamiento. </v>
      </c>
      <c r="C655" s="360" t="s">
        <v>85</v>
      </c>
      <c r="D655" s="361" t="s">
        <v>274</v>
      </c>
      <c r="E655" s="362" t="s">
        <v>275</v>
      </c>
      <c r="F655" s="360" t="s">
        <v>276</v>
      </c>
      <c r="G655" s="363" t="s">
        <v>277</v>
      </c>
    </row>
    <row r="656" spans="1:7" x14ac:dyDescent="0.3">
      <c r="A656" s="1" t="s">
        <v>288</v>
      </c>
      <c r="B656" s="51" t="s">
        <v>278</v>
      </c>
      <c r="C656" s="43"/>
      <c r="D656" s="43"/>
      <c r="E656" s="44"/>
      <c r="F656" s="52"/>
      <c r="G656" s="7"/>
    </row>
    <row r="657" spans="1:7" x14ac:dyDescent="0.3">
      <c r="A657" s="1"/>
      <c r="B657" s="65" t="s">
        <v>395</v>
      </c>
      <c r="C657" s="54" t="str">
        <f>VLOOKUP(B657,INSUMOS!$B$2:$D$562,2,0)</f>
        <v>un</v>
      </c>
      <c r="D657" s="11"/>
      <c r="E657" s="12">
        <v>1</v>
      </c>
      <c r="F657" s="54">
        <f>VLOOKUP(B657,INSUMOS!$B$2:$D$562,3,0)</f>
        <v>18906.250000000007</v>
      </c>
      <c r="G657" s="67">
        <f>+ROUND((1+D657)*E657*F657,0)</f>
        <v>18906</v>
      </c>
    </row>
    <row r="658" spans="1:7" x14ac:dyDescent="0.3">
      <c r="A658" s="1"/>
      <c r="B658" s="65" t="s">
        <v>393</v>
      </c>
      <c r="C658" s="54" t="str">
        <f>VLOOKUP(B658,INSUMOS!$B$2:$D$562,2,0)</f>
        <v>m</v>
      </c>
      <c r="D658" s="11"/>
      <c r="E658" s="12">
        <v>1.2</v>
      </c>
      <c r="F658" s="54">
        <f>VLOOKUP(B658,INSUMOS!$B$2:$D$562,3,0)</f>
        <v>1800</v>
      </c>
      <c r="G658" s="67">
        <f>+ROUND((1+D658)*E658*F658,0)</f>
        <v>2160</v>
      </c>
    </row>
    <row r="659" spans="1:7" x14ac:dyDescent="0.3">
      <c r="A659" s="1"/>
      <c r="B659" s="65" t="s">
        <v>394</v>
      </c>
      <c r="C659" s="54" t="str">
        <f>VLOOKUP(B659,INSUMOS!$B$2:$D$562,2,0)</f>
        <v>un</v>
      </c>
      <c r="D659" s="11"/>
      <c r="E659" s="12">
        <v>1.5</v>
      </c>
      <c r="F659" s="54">
        <f>VLOOKUP(B659,INSUMOS!$B$2:$D$562,3,0)</f>
        <v>800</v>
      </c>
      <c r="G659" s="67">
        <f>+ROUND((1+D659)*E659*F659,0)</f>
        <v>1200</v>
      </c>
    </row>
    <row r="660" spans="1:7" x14ac:dyDescent="0.3">
      <c r="A660" s="1"/>
      <c r="B660" s="65" t="s">
        <v>369</v>
      </c>
      <c r="C660" s="54" t="str">
        <f>VLOOKUP(B660,INSUMOS!$B$2:$D$562,2,0)</f>
        <v>un</v>
      </c>
      <c r="D660" s="11"/>
      <c r="E660" s="12">
        <v>1</v>
      </c>
      <c r="F660" s="54">
        <f>VLOOKUP(B660,INSUMOS!$B$2:$D$562,3,0)</f>
        <v>2000</v>
      </c>
      <c r="G660" s="67">
        <f>+ROUND((1+D660)*E660*F660,0)</f>
        <v>2000</v>
      </c>
    </row>
    <row r="661" spans="1:7" x14ac:dyDescent="0.3">
      <c r="A661" s="1"/>
      <c r="B661" s="65" t="s">
        <v>387</v>
      </c>
      <c r="C661" s="54" t="str">
        <f>VLOOKUP(B661,INSUMOS!$B$2:$D$562,2,0)</f>
        <v>m</v>
      </c>
      <c r="D661" s="11"/>
      <c r="E661" s="12">
        <v>4.2</v>
      </c>
      <c r="F661" s="54">
        <f>VLOOKUP(B661,INSUMOS!$B$2:$D$562,3,0)</f>
        <v>2800</v>
      </c>
      <c r="G661" s="67">
        <f t="shared" ref="G661:G662" si="33">+ROUND((1+D661)*E661*F661,0)</f>
        <v>11760</v>
      </c>
    </row>
    <row r="662" spans="1:7" ht="17.45" customHeight="1" x14ac:dyDescent="0.3">
      <c r="A662" s="1"/>
      <c r="B662" s="65" t="s">
        <v>372</v>
      </c>
      <c r="C662" s="54" t="str">
        <f>VLOOKUP(B662,INSUMOS!$B$2:$D$562,2,0)</f>
        <v>galon</v>
      </c>
      <c r="D662" s="11"/>
      <c r="E662" s="12">
        <v>0.02</v>
      </c>
      <c r="F662" s="54">
        <f>VLOOKUP(B662,INSUMOS!$B$2:$D$562,3,0)</f>
        <v>80000</v>
      </c>
      <c r="G662" s="67">
        <f t="shared" si="33"/>
        <v>1600</v>
      </c>
    </row>
    <row r="663" spans="1:7" ht="17.25" thickBot="1" x14ac:dyDescent="0.35">
      <c r="A663" s="1"/>
      <c r="B663" s="55" t="s">
        <v>281</v>
      </c>
      <c r="C663" s="56"/>
      <c r="D663" s="56"/>
      <c r="E663" s="57"/>
      <c r="F663" s="58" t="s">
        <v>288</v>
      </c>
      <c r="G663" s="59"/>
    </row>
    <row r="664" spans="1:7" ht="17.25" thickBot="1" x14ac:dyDescent="0.35">
      <c r="A664" s="1"/>
      <c r="B664" s="15" t="s">
        <v>373</v>
      </c>
      <c r="C664" s="16" t="s">
        <v>374</v>
      </c>
      <c r="D664" s="60"/>
      <c r="E664" s="61">
        <v>0.5</v>
      </c>
      <c r="F664" s="16">
        <f>+F644</f>
        <v>21501.663682495626</v>
      </c>
      <c r="G664" s="17">
        <f>F664*E664</f>
        <v>10750.831841247813</v>
      </c>
    </row>
    <row r="665" spans="1:7" ht="17.25" thickBot="1" x14ac:dyDescent="0.35">
      <c r="A665" s="1"/>
      <c r="B665" s="55" t="s">
        <v>283</v>
      </c>
      <c r="C665" s="56"/>
      <c r="D665" s="56"/>
      <c r="E665" s="57"/>
      <c r="F665" s="58"/>
      <c r="G665" s="59"/>
    </row>
    <row r="666" spans="1:7" ht="17.25" thickBot="1" x14ac:dyDescent="0.35">
      <c r="A666" s="1"/>
      <c r="B666" s="15" t="s">
        <v>310</v>
      </c>
      <c r="C666" s="16" t="s">
        <v>169</v>
      </c>
      <c r="D666" s="60"/>
      <c r="E666" s="61">
        <v>5</v>
      </c>
      <c r="F666" s="16">
        <v>150</v>
      </c>
      <c r="G666" s="17">
        <f>+ROUND((1+D666)*E666*F666,0)</f>
        <v>750</v>
      </c>
    </row>
    <row r="667" spans="1:7" ht="17.25" thickBot="1" x14ac:dyDescent="0.35">
      <c r="A667" s="1"/>
      <c r="B667" s="62" t="s">
        <v>286</v>
      </c>
      <c r="C667" s="5"/>
      <c r="D667" s="5"/>
      <c r="E667" s="6"/>
      <c r="F667" s="63"/>
      <c r="G667" s="64"/>
    </row>
    <row r="668" spans="1:7" ht="17.25" thickBot="1" x14ac:dyDescent="0.35">
      <c r="A668" s="1"/>
      <c r="B668" s="38" t="s">
        <v>286</v>
      </c>
      <c r="C668" s="47" t="s">
        <v>124</v>
      </c>
      <c r="D668" s="45"/>
      <c r="E668" s="46">
        <v>0.05</v>
      </c>
      <c r="F668" s="41">
        <f>G664</f>
        <v>10750.831841247813</v>
      </c>
      <c r="G668" s="40">
        <f>+ROUND(E668*F668,0)</f>
        <v>538</v>
      </c>
    </row>
    <row r="669" spans="1:7" ht="17.25" thickBot="1" x14ac:dyDescent="0.35">
      <c r="A669" s="1"/>
      <c r="B669" s="2"/>
      <c r="C669" s="39"/>
      <c r="D669" s="18" t="s">
        <v>287</v>
      </c>
      <c r="E669" s="19"/>
      <c r="F669" s="20"/>
      <c r="G669" s="17">
        <f>SUM(G657:G668)</f>
        <v>49664.831841247811</v>
      </c>
    </row>
    <row r="670" spans="1:7" hidden="1" x14ac:dyDescent="0.3">
      <c r="A670" s="1"/>
      <c r="B670" s="2"/>
      <c r="C670" s="3"/>
      <c r="D670" s="21" t="s">
        <v>289</v>
      </c>
      <c r="E670" s="22"/>
      <c r="F670" s="23">
        <f>+F650</f>
        <v>0.25</v>
      </c>
      <c r="G670" s="24">
        <f>+ROUND(G669*F670,0)</f>
        <v>12416</v>
      </c>
    </row>
    <row r="671" spans="1:7" hidden="1" x14ac:dyDescent="0.3">
      <c r="A671" s="1"/>
      <c r="B671" s="2"/>
      <c r="C671" s="3"/>
      <c r="D671" s="25" t="s">
        <v>290</v>
      </c>
      <c r="E671" s="26"/>
      <c r="F671" s="23">
        <f>+F651</f>
        <v>0</v>
      </c>
      <c r="G671" s="14">
        <f>+ROUND(G669*F671,0)</f>
        <v>0</v>
      </c>
    </row>
    <row r="672" spans="1:7" ht="17.25" hidden="1" thickBot="1" x14ac:dyDescent="0.35">
      <c r="A672" s="1"/>
      <c r="B672" s="2"/>
      <c r="C672" s="3"/>
      <c r="D672" s="25" t="s">
        <v>291</v>
      </c>
      <c r="E672" s="26"/>
      <c r="F672" s="23">
        <f>+F652</f>
        <v>0.05</v>
      </c>
      <c r="G672" s="14">
        <f>+ROUND(G669*F672,0)</f>
        <v>2483</v>
      </c>
    </row>
    <row r="673" spans="1:7" ht="17.25" hidden="1" thickBot="1" x14ac:dyDescent="0.35">
      <c r="A673" s="1"/>
      <c r="B673" s="2"/>
      <c r="C673" s="3"/>
      <c r="D673" s="18" t="s">
        <v>10</v>
      </c>
      <c r="E673" s="29"/>
      <c r="F673" s="20"/>
      <c r="G673" s="17">
        <f>SUM(G669:G672)</f>
        <v>64563.831841247811</v>
      </c>
    </row>
    <row r="674" spans="1:7" ht="17.25" thickBot="1" x14ac:dyDescent="0.35">
      <c r="A674" s="1"/>
    </row>
    <row r="675" spans="1:7" ht="116.25" thickBot="1" x14ac:dyDescent="0.35">
      <c r="A675" s="358">
        <f>PPTO!B54</f>
        <v>6.12</v>
      </c>
      <c r="B675" s="359" t="str">
        <f>VLOOKUP(A675,PPTO!$B$8:$D$94,2,0)</f>
        <v xml:space="preserve">Suministro, transporte e instalación de materiales para salida interruptor triple (switche) eléctrico  mono polar de alumbrado 15 A. TIPO LEV referencia 1451, 10A, 125 V, según certificación RETIE y pruebas de conformidad UL. Incluye el interruptor, tapa, tubo pvc, cajas 4"x4" met. Galv. Con tapa suplemento, adaptadores, curvas, pega pvc, conductores 12 AWG-CU-THHN/THWN-90ºC, conectores de conexión y empalme, tornillos, obra civil y demás elementos y accesorios para su correcta instalación y funcionamiento. </v>
      </c>
      <c r="C675" s="360" t="s">
        <v>85</v>
      </c>
      <c r="D675" s="361" t="s">
        <v>274</v>
      </c>
      <c r="E675" s="362" t="s">
        <v>275</v>
      </c>
      <c r="F675" s="360" t="s">
        <v>276</v>
      </c>
      <c r="G675" s="363" t="s">
        <v>277</v>
      </c>
    </row>
    <row r="676" spans="1:7" x14ac:dyDescent="0.3">
      <c r="A676" s="1" t="s">
        <v>288</v>
      </c>
      <c r="B676" s="51" t="s">
        <v>278</v>
      </c>
      <c r="C676" s="43"/>
      <c r="D676" s="43"/>
      <c r="E676" s="44"/>
      <c r="F676" s="52"/>
      <c r="G676" s="7"/>
    </row>
    <row r="677" spans="1:7" x14ac:dyDescent="0.3">
      <c r="A677" s="1"/>
      <c r="B677" s="65" t="s">
        <v>396</v>
      </c>
      <c r="C677" s="54" t="str">
        <f>VLOOKUP(B677,INSUMOS!$B$2:$D$562,2,0)</f>
        <v>und</v>
      </c>
      <c r="D677" s="11"/>
      <c r="E677" s="12">
        <v>1</v>
      </c>
      <c r="F677" s="54">
        <f>VLOOKUP(B677,INSUMOS!$B$2:$D$562,3,0)</f>
        <v>24900</v>
      </c>
      <c r="G677" s="67">
        <f>+ROUND((1+D677)*E677*F677,0)</f>
        <v>24900</v>
      </c>
    </row>
    <row r="678" spans="1:7" x14ac:dyDescent="0.3">
      <c r="A678" s="1"/>
      <c r="B678" s="65" t="s">
        <v>394</v>
      </c>
      <c r="C678" s="54" t="str">
        <f>VLOOKUP(B678,INSUMOS!$B$2:$D$562,2,0)</f>
        <v>un</v>
      </c>
      <c r="D678" s="11"/>
      <c r="E678" s="12">
        <v>1.5</v>
      </c>
      <c r="F678" s="54">
        <f>VLOOKUP(B678,INSUMOS!$B$2:$D$562,3,0)</f>
        <v>800</v>
      </c>
      <c r="G678" s="67">
        <f>+ROUND((1+D678)*E678*F678,0)</f>
        <v>1200</v>
      </c>
    </row>
    <row r="679" spans="1:7" x14ac:dyDescent="0.3">
      <c r="A679" s="1"/>
      <c r="B679" s="65" t="s">
        <v>369</v>
      </c>
      <c r="C679" s="54" t="str">
        <f>VLOOKUP(B679,INSUMOS!$B$2:$D$562,2,0)</f>
        <v>un</v>
      </c>
      <c r="D679" s="11"/>
      <c r="E679" s="12">
        <v>1</v>
      </c>
      <c r="F679" s="54">
        <f>VLOOKUP(B679,INSUMOS!$B$2:$D$562,3,0)</f>
        <v>2000</v>
      </c>
      <c r="G679" s="67">
        <f>+ROUND((1+D679)*E679*F679,0)</f>
        <v>2000</v>
      </c>
    </row>
    <row r="680" spans="1:7" x14ac:dyDescent="0.3">
      <c r="A680" s="1"/>
      <c r="B680" s="65" t="s">
        <v>387</v>
      </c>
      <c r="C680" s="54" t="str">
        <f>VLOOKUP(B680,INSUMOS!$B$2:$D$562,2,0)</f>
        <v>m</v>
      </c>
      <c r="D680" s="11"/>
      <c r="E680" s="12">
        <v>4.2</v>
      </c>
      <c r="F680" s="54">
        <f>VLOOKUP(B680,INSUMOS!$B$2:$D$562,3,0)</f>
        <v>2800</v>
      </c>
      <c r="G680" s="67">
        <f t="shared" ref="G680:G681" si="34">+ROUND((1+D680)*E680*F680,0)</f>
        <v>11760</v>
      </c>
    </row>
    <row r="681" spans="1:7" x14ac:dyDescent="0.3">
      <c r="A681" s="1"/>
      <c r="B681" s="65" t="s">
        <v>372</v>
      </c>
      <c r="C681" s="54" t="str">
        <f>VLOOKUP(B681,INSUMOS!$B$2:$D$562,2,0)</f>
        <v>galon</v>
      </c>
      <c r="D681" s="11"/>
      <c r="E681" s="12">
        <v>0.02</v>
      </c>
      <c r="F681" s="54">
        <f>VLOOKUP(B681,INSUMOS!$B$2:$D$562,3,0)</f>
        <v>80000</v>
      </c>
      <c r="G681" s="67">
        <f t="shared" si="34"/>
        <v>1600</v>
      </c>
    </row>
    <row r="682" spans="1:7" x14ac:dyDescent="0.3">
      <c r="A682" s="1"/>
      <c r="B682" s="65"/>
      <c r="C682" s="54"/>
      <c r="D682" s="11"/>
      <c r="E682" s="12"/>
      <c r="F682" s="54"/>
      <c r="G682" s="67"/>
    </row>
    <row r="683" spans="1:7" ht="17.25" thickBot="1" x14ac:dyDescent="0.35">
      <c r="A683" s="1"/>
      <c r="B683" s="55" t="s">
        <v>281</v>
      </c>
      <c r="C683" s="56"/>
      <c r="D683" s="56"/>
      <c r="E683" s="57"/>
      <c r="F683" s="58" t="s">
        <v>288</v>
      </c>
      <c r="G683" s="59"/>
    </row>
    <row r="684" spans="1:7" ht="17.25" thickBot="1" x14ac:dyDescent="0.35">
      <c r="A684" s="1"/>
      <c r="B684" s="15" t="s">
        <v>373</v>
      </c>
      <c r="C684" s="16" t="s">
        <v>374</v>
      </c>
      <c r="D684" s="60"/>
      <c r="E684" s="61">
        <v>0.5</v>
      </c>
      <c r="F684" s="16">
        <f>+F664</f>
        <v>21501.663682495626</v>
      </c>
      <c r="G684" s="17">
        <f>F684*E684</f>
        <v>10750.831841247813</v>
      </c>
    </row>
    <row r="685" spans="1:7" ht="17.25" thickBot="1" x14ac:dyDescent="0.35">
      <c r="A685" s="1"/>
      <c r="B685" s="55" t="s">
        <v>283</v>
      </c>
      <c r="C685" s="56"/>
      <c r="D685" s="56"/>
      <c r="E685" s="57"/>
      <c r="F685" s="58"/>
      <c r="G685" s="59"/>
    </row>
    <row r="686" spans="1:7" ht="17.25" thickBot="1" x14ac:dyDescent="0.35">
      <c r="A686" s="1"/>
      <c r="B686" s="15" t="s">
        <v>310</v>
      </c>
      <c r="C686" s="16" t="s">
        <v>169</v>
      </c>
      <c r="D686" s="60"/>
      <c r="E686" s="61">
        <v>5</v>
      </c>
      <c r="F686" s="16">
        <v>150</v>
      </c>
      <c r="G686" s="17">
        <f>+ROUND((1+D686)*E686*F686,0)</f>
        <v>750</v>
      </c>
    </row>
    <row r="687" spans="1:7" ht="17.25" thickBot="1" x14ac:dyDescent="0.35">
      <c r="A687" s="1"/>
      <c r="B687" s="62" t="s">
        <v>286</v>
      </c>
      <c r="C687" s="5"/>
      <c r="D687" s="5"/>
      <c r="E687" s="6"/>
      <c r="F687" s="63"/>
      <c r="G687" s="64"/>
    </row>
    <row r="688" spans="1:7" ht="17.25" thickBot="1" x14ac:dyDescent="0.35">
      <c r="A688" s="1"/>
      <c r="B688" s="38" t="s">
        <v>286</v>
      </c>
      <c r="C688" s="47" t="s">
        <v>124</v>
      </c>
      <c r="D688" s="45"/>
      <c r="E688" s="46">
        <v>0.05</v>
      </c>
      <c r="F688" s="41">
        <f>G684</f>
        <v>10750.831841247813</v>
      </c>
      <c r="G688" s="40">
        <f>+ROUND(E688*F688,0)</f>
        <v>538</v>
      </c>
    </row>
    <row r="689" spans="1:7" ht="17.25" thickBot="1" x14ac:dyDescent="0.35">
      <c r="A689" s="1"/>
      <c r="B689" s="2"/>
      <c r="C689" s="39"/>
      <c r="D689" s="18" t="s">
        <v>287</v>
      </c>
      <c r="E689" s="19"/>
      <c r="F689" s="20"/>
      <c r="G689" s="17">
        <f>SUM(G677:G688)</f>
        <v>53498.831841247811</v>
      </c>
    </row>
    <row r="690" spans="1:7" hidden="1" x14ac:dyDescent="0.3">
      <c r="A690" s="1"/>
      <c r="B690" s="2"/>
      <c r="C690" s="3"/>
      <c r="D690" s="21" t="s">
        <v>289</v>
      </c>
      <c r="E690" s="22"/>
      <c r="F690" s="23">
        <f>+F670</f>
        <v>0.25</v>
      </c>
      <c r="G690" s="24">
        <f>+ROUND(G689*F690,0)</f>
        <v>13375</v>
      </c>
    </row>
    <row r="691" spans="1:7" hidden="1" x14ac:dyDescent="0.3">
      <c r="A691" s="1"/>
      <c r="B691" s="2"/>
      <c r="C691" s="3"/>
      <c r="D691" s="25" t="s">
        <v>290</v>
      </c>
      <c r="E691" s="26"/>
      <c r="F691" s="23">
        <f>+F671</f>
        <v>0</v>
      </c>
      <c r="G691" s="14">
        <f>+ROUND(G689*F691,0)</f>
        <v>0</v>
      </c>
    </row>
    <row r="692" spans="1:7" ht="17.25" hidden="1" thickBot="1" x14ac:dyDescent="0.35">
      <c r="A692" s="1"/>
      <c r="B692" s="2"/>
      <c r="C692" s="3"/>
      <c r="D692" s="25" t="s">
        <v>291</v>
      </c>
      <c r="E692" s="26"/>
      <c r="F692" s="23">
        <f>+F672</f>
        <v>0.05</v>
      </c>
      <c r="G692" s="14">
        <f>+ROUND(G689*F692,0)</f>
        <v>2675</v>
      </c>
    </row>
    <row r="693" spans="1:7" ht="17.25" hidden="1" thickBot="1" x14ac:dyDescent="0.35">
      <c r="A693" s="1"/>
      <c r="B693" s="2"/>
      <c r="C693" s="3"/>
      <c r="D693" s="18" t="s">
        <v>10</v>
      </c>
      <c r="E693" s="29"/>
      <c r="F693" s="20"/>
      <c r="G693" s="17">
        <f>SUM(G689:G692)</f>
        <v>69548.831841247811</v>
      </c>
    </row>
    <row r="694" spans="1:7" ht="17.25" thickBot="1" x14ac:dyDescent="0.35">
      <c r="A694" s="1"/>
    </row>
    <row r="695" spans="1:7" ht="55.35" customHeight="1" thickBot="1" x14ac:dyDescent="0.35">
      <c r="A695" s="358">
        <f>PPTO!B55</f>
        <v>6.13</v>
      </c>
      <c r="B695" s="359" t="str">
        <f>VLOOKUP(A695,PPTO!$B$8:$D$94,2,0)</f>
        <v>Suministro, transporte e instalación de acometida monofásica en cables, incluye excavación, conectores, encintada y demás accesorios para su correcta instalación y funcionamiento según RETIE.</v>
      </c>
      <c r="C695" s="360" t="s">
        <v>85</v>
      </c>
      <c r="D695" s="361" t="s">
        <v>274</v>
      </c>
      <c r="E695" s="362" t="s">
        <v>275</v>
      </c>
      <c r="F695" s="360" t="s">
        <v>276</v>
      </c>
      <c r="G695" s="363" t="s">
        <v>277</v>
      </c>
    </row>
    <row r="696" spans="1:7" x14ac:dyDescent="0.3">
      <c r="A696" s="1" t="s">
        <v>288</v>
      </c>
      <c r="B696" s="51" t="s">
        <v>278</v>
      </c>
      <c r="C696" s="43"/>
      <c r="D696" s="43"/>
      <c r="E696" s="44"/>
      <c r="F696" s="52"/>
      <c r="G696" s="7"/>
    </row>
    <row r="697" spans="1:7" x14ac:dyDescent="0.3">
      <c r="A697" s="1"/>
      <c r="B697" s="65" t="s">
        <v>397</v>
      </c>
      <c r="C697" s="54" t="str">
        <f>VLOOKUP(B697,INSUMOS!$B$2:$D$562,2,0)</f>
        <v>m</v>
      </c>
      <c r="D697" s="11"/>
      <c r="E697" s="12">
        <v>1</v>
      </c>
      <c r="F697" s="54">
        <f>VLOOKUP(B697,INSUMOS!$B$2:$D$562,3,0)</f>
        <v>8900</v>
      </c>
      <c r="G697" s="67">
        <f>+ROUND((1+D697)*E697*F697,0)</f>
        <v>8900</v>
      </c>
    </row>
    <row r="698" spans="1:7" x14ac:dyDescent="0.3">
      <c r="A698" s="1"/>
      <c r="B698" s="65" t="s">
        <v>393</v>
      </c>
      <c r="C698" s="54" t="str">
        <f>VLOOKUP(B698,INSUMOS!$B$2:$D$562,2,0)</f>
        <v>m</v>
      </c>
      <c r="D698" s="11"/>
      <c r="E698" s="12">
        <v>1</v>
      </c>
      <c r="F698" s="54">
        <f>VLOOKUP(B698,INSUMOS!$B$2:$D$562,3,0)</f>
        <v>1800</v>
      </c>
      <c r="G698" s="67">
        <f>+ROUND((1+D698)*E698*F698,0)</f>
        <v>1800</v>
      </c>
    </row>
    <row r="699" spans="1:7" x14ac:dyDescent="0.3">
      <c r="A699" s="1"/>
      <c r="B699" s="65" t="s">
        <v>398</v>
      </c>
      <c r="C699" s="54" t="str">
        <f>VLOOKUP(B699,INSUMOS!$B$2:$D$562,2,0)</f>
        <v>m</v>
      </c>
      <c r="D699" s="11"/>
      <c r="E699" s="12">
        <v>1</v>
      </c>
      <c r="F699" s="54">
        <f>VLOOKUP(B699,INSUMOS!$B$2:$D$562,3,0)</f>
        <v>280</v>
      </c>
      <c r="G699" s="67">
        <f>+ROUND((1+D699)*E699*F699,0)</f>
        <v>280</v>
      </c>
    </row>
    <row r="700" spans="1:7" ht="17.25" thickBot="1" x14ac:dyDescent="0.35">
      <c r="A700" s="1"/>
      <c r="B700" s="55" t="s">
        <v>281</v>
      </c>
      <c r="C700" s="56"/>
      <c r="D700" s="56"/>
      <c r="E700" s="57"/>
      <c r="F700" s="58" t="s">
        <v>288</v>
      </c>
      <c r="G700" s="59"/>
    </row>
    <row r="701" spans="1:7" ht="17.25" thickBot="1" x14ac:dyDescent="0.35">
      <c r="A701" s="1"/>
      <c r="B701" s="15" t="s">
        <v>373</v>
      </c>
      <c r="C701" s="16" t="s">
        <v>374</v>
      </c>
      <c r="D701" s="60"/>
      <c r="E701" s="61">
        <v>1</v>
      </c>
      <c r="F701" s="16">
        <f>+'FACTOR PRESTACIONAL'!L9+'FACTOR PRESTACIONAL'!L10+'FACTOR PRESTACIONAL'!L11</f>
        <v>51252.118111825461</v>
      </c>
      <c r="G701" s="17">
        <f>F701*E701</f>
        <v>51252.118111825461</v>
      </c>
    </row>
    <row r="702" spans="1:7" ht="17.25" thickBot="1" x14ac:dyDescent="0.35">
      <c r="A702" s="1"/>
      <c r="B702" s="55" t="s">
        <v>283</v>
      </c>
      <c r="C702" s="56"/>
      <c r="D702" s="56"/>
      <c r="E702" s="57"/>
      <c r="F702" s="58"/>
      <c r="G702" s="59"/>
    </row>
    <row r="703" spans="1:7" ht="17.25" thickBot="1" x14ac:dyDescent="0.35">
      <c r="A703" s="1"/>
      <c r="B703" s="15" t="s">
        <v>310</v>
      </c>
      <c r="C703" s="16" t="s">
        <v>169</v>
      </c>
      <c r="D703" s="60"/>
      <c r="E703" s="61">
        <v>5</v>
      </c>
      <c r="F703" s="16">
        <v>150</v>
      </c>
      <c r="G703" s="17">
        <f>+ROUND((1+D703)*E703*F703,0)</f>
        <v>750</v>
      </c>
    </row>
    <row r="704" spans="1:7" ht="17.25" thickBot="1" x14ac:dyDescent="0.35">
      <c r="A704" s="1"/>
      <c r="B704" s="62" t="s">
        <v>286</v>
      </c>
      <c r="C704" s="5"/>
      <c r="D704" s="5"/>
      <c r="E704" s="6"/>
      <c r="F704" s="63"/>
      <c r="G704" s="64"/>
    </row>
    <row r="705" spans="1:7" ht="17.25" thickBot="1" x14ac:dyDescent="0.35">
      <c r="A705" s="1"/>
      <c r="B705" s="38" t="s">
        <v>286</v>
      </c>
      <c r="C705" s="47" t="s">
        <v>124</v>
      </c>
      <c r="D705" s="45"/>
      <c r="E705" s="46">
        <v>0.05</v>
      </c>
      <c r="F705" s="41">
        <f>G701</f>
        <v>51252.118111825461</v>
      </c>
      <c r="G705" s="40">
        <f>+ROUND(E705*F705,0)</f>
        <v>2563</v>
      </c>
    </row>
    <row r="706" spans="1:7" ht="17.25" thickBot="1" x14ac:dyDescent="0.35">
      <c r="A706" s="1"/>
      <c r="B706" s="2"/>
      <c r="C706" s="39"/>
      <c r="D706" s="18" t="s">
        <v>287</v>
      </c>
      <c r="E706" s="19"/>
      <c r="F706" s="20"/>
      <c r="G706" s="17">
        <f>SUM(G697:G705)</f>
        <v>65545.118111825461</v>
      </c>
    </row>
    <row r="707" spans="1:7" hidden="1" x14ac:dyDescent="0.3">
      <c r="A707" s="1"/>
      <c r="B707" s="2"/>
      <c r="C707" s="3"/>
      <c r="D707" s="21" t="s">
        <v>289</v>
      </c>
      <c r="E707" s="22"/>
      <c r="F707" s="23">
        <f>+F690</f>
        <v>0.25</v>
      </c>
      <c r="G707" s="24">
        <f>+ROUND(G706*F707,0)</f>
        <v>16386</v>
      </c>
    </row>
    <row r="708" spans="1:7" hidden="1" x14ac:dyDescent="0.3">
      <c r="A708" s="1"/>
      <c r="B708" s="2"/>
      <c r="C708" s="3"/>
      <c r="D708" s="25" t="s">
        <v>290</v>
      </c>
      <c r="E708" s="26"/>
      <c r="F708" s="23">
        <f>+F691</f>
        <v>0</v>
      </c>
      <c r="G708" s="14">
        <f>+ROUND(G706*F708,0)</f>
        <v>0</v>
      </c>
    </row>
    <row r="709" spans="1:7" ht="17.25" hidden="1" thickBot="1" x14ac:dyDescent="0.35">
      <c r="A709" s="1"/>
      <c r="B709" s="2"/>
      <c r="C709" s="3"/>
      <c r="D709" s="25" t="s">
        <v>291</v>
      </c>
      <c r="E709" s="26"/>
      <c r="F709" s="23">
        <f>+F692</f>
        <v>0.05</v>
      </c>
      <c r="G709" s="14">
        <f>+ROUND(G706*F709,0)</f>
        <v>3277</v>
      </c>
    </row>
    <row r="710" spans="1:7" ht="17.25" hidden="1" thickBot="1" x14ac:dyDescent="0.35">
      <c r="A710" s="1"/>
      <c r="B710" s="2"/>
      <c r="C710" s="3"/>
      <c r="D710" s="18" t="s">
        <v>10</v>
      </c>
      <c r="E710" s="29"/>
      <c r="F710" s="20"/>
      <c r="G710" s="17">
        <f>SUM(G706:G709)</f>
        <v>85208.118111825461</v>
      </c>
    </row>
    <row r="711" spans="1:7" ht="17.25" thickBot="1" x14ac:dyDescent="0.35">
      <c r="A711" s="1"/>
      <c r="B711" s="2"/>
      <c r="C711" s="3"/>
      <c r="D711" s="121"/>
      <c r="E711" s="122"/>
      <c r="F711" s="39"/>
      <c r="G711" s="39"/>
    </row>
    <row r="712" spans="1:7" ht="33.75" thickBot="1" x14ac:dyDescent="0.35">
      <c r="A712" s="358">
        <f>PPTO!B56</f>
        <v>6.14</v>
      </c>
      <c r="B712" s="359" t="str">
        <f>VLOOKUP(A712,PPTO!$B$8:$D$94,2,0)</f>
        <v>Suministro, transporte e instalación PUESTA A TIERRA Y APANTALLAMIENTO.  5/8'' x 2.4m incluye elementos para el correcto funcionamiento.</v>
      </c>
      <c r="C712" s="360" t="s">
        <v>85</v>
      </c>
      <c r="D712" s="361" t="s">
        <v>274</v>
      </c>
      <c r="E712" s="362" t="s">
        <v>275</v>
      </c>
      <c r="F712" s="360" t="s">
        <v>276</v>
      </c>
      <c r="G712" s="363" t="s">
        <v>277</v>
      </c>
    </row>
    <row r="713" spans="1:7" x14ac:dyDescent="0.3">
      <c r="A713" s="1" t="s">
        <v>288</v>
      </c>
      <c r="B713" s="51" t="s">
        <v>278</v>
      </c>
      <c r="C713" s="43"/>
      <c r="D713" s="43"/>
      <c r="E713" s="44"/>
      <c r="F713" s="52"/>
      <c r="G713" s="7"/>
    </row>
    <row r="714" spans="1:7" x14ac:dyDescent="0.3">
      <c r="A714" s="1"/>
      <c r="B714" s="65" t="s">
        <v>399</v>
      </c>
      <c r="C714" s="54" t="str">
        <f>VLOOKUP(B714,INSUMOS!$B$2:$D$562,2,0)</f>
        <v>un</v>
      </c>
      <c r="D714" s="11"/>
      <c r="E714" s="12">
        <v>12</v>
      </c>
      <c r="F714" s="54">
        <f>VLOOKUP(B714,INSUMOS!$B$2:$D$562,3,0)</f>
        <v>45000</v>
      </c>
      <c r="G714" s="67">
        <f>+ROUND((1+D714)*E714*F714,0)</f>
        <v>540000</v>
      </c>
    </row>
    <row r="715" spans="1:7" x14ac:dyDescent="0.3">
      <c r="A715" s="1"/>
      <c r="B715" s="65" t="s">
        <v>400</v>
      </c>
      <c r="C715" s="54" t="str">
        <f>VLOOKUP(B715,INSUMOS!$B$2:$D$562,2,0)</f>
        <v>ml</v>
      </c>
      <c r="D715" s="11"/>
      <c r="E715" s="12">
        <f>+(34.5)+(17.9*2)</f>
        <v>70.3</v>
      </c>
      <c r="F715" s="54">
        <f>VLOOKUP(B715,INSUMOS!$B$2:$D$562,3,0)</f>
        <v>24462.9</v>
      </c>
      <c r="G715" s="67">
        <f>+ROUND((1+D715)*E715*F715,0)</f>
        <v>1719742</v>
      </c>
    </row>
    <row r="716" spans="1:7" ht="33" x14ac:dyDescent="0.3">
      <c r="A716" s="1"/>
      <c r="B716" s="65" t="s">
        <v>401</v>
      </c>
      <c r="C716" s="54" t="str">
        <f>VLOOKUP(B716,INSUMOS!$B$2:$D$562,2,0)</f>
        <v>un</v>
      </c>
      <c r="D716" s="11"/>
      <c r="E716" s="12">
        <v>1</v>
      </c>
      <c r="F716" s="54">
        <f>VLOOKUP(B716,INSUMOS!$B$2:$D$562,3,0)</f>
        <v>658350</v>
      </c>
      <c r="G716" s="67">
        <f>+ROUND((1+D716)*E716*F716,0)</f>
        <v>658350</v>
      </c>
    </row>
    <row r="717" spans="1:7" x14ac:dyDescent="0.3">
      <c r="A717" s="1"/>
      <c r="B717" s="65" t="s">
        <v>389</v>
      </c>
      <c r="C717" s="54" t="str">
        <f>VLOOKUP(B717,INSUMOS!$B$2:$D$562,2,0)</f>
        <v>m</v>
      </c>
      <c r="D717" s="11"/>
      <c r="E717" s="12">
        <v>70.3</v>
      </c>
      <c r="F717" s="54">
        <f>VLOOKUP(B717,INSUMOS!$B$2:$D$562,3,0)</f>
        <v>4812.5</v>
      </c>
      <c r="G717" s="67">
        <f>+ROUND((1+D717)*E717*F717,0)</f>
        <v>338319</v>
      </c>
    </row>
    <row r="718" spans="1:7" x14ac:dyDescent="0.3">
      <c r="A718" s="1"/>
      <c r="B718" s="65"/>
      <c r="C718" s="54"/>
      <c r="D718" s="11"/>
      <c r="E718" s="12"/>
      <c r="F718" s="54"/>
      <c r="G718" s="67">
        <f t="shared" ref="G718:G720" si="35">+ROUND((1+D718)*E718*F718,0)</f>
        <v>0</v>
      </c>
    </row>
    <row r="719" spans="1:7" x14ac:dyDescent="0.3">
      <c r="A719" s="1"/>
      <c r="B719" s="65"/>
      <c r="C719" s="54"/>
      <c r="D719" s="11"/>
      <c r="E719" s="12"/>
      <c r="F719" s="54"/>
      <c r="G719" s="67">
        <f t="shared" si="35"/>
        <v>0</v>
      </c>
    </row>
    <row r="720" spans="1:7" x14ac:dyDescent="0.3">
      <c r="A720" s="1"/>
      <c r="B720" s="65"/>
      <c r="C720" s="54"/>
      <c r="D720" s="11"/>
      <c r="E720" s="12"/>
      <c r="F720" s="54"/>
      <c r="G720" s="67">
        <f t="shared" si="35"/>
        <v>0</v>
      </c>
    </row>
    <row r="721" spans="1:7" ht="17.25" thickBot="1" x14ac:dyDescent="0.35">
      <c r="A721" s="1"/>
      <c r="B721" s="55" t="s">
        <v>281</v>
      </c>
      <c r="C721" s="56"/>
      <c r="D721" s="56"/>
      <c r="E721" s="57"/>
      <c r="F721" s="58" t="s">
        <v>288</v>
      </c>
      <c r="G721" s="59"/>
    </row>
    <row r="722" spans="1:7" ht="17.25" thickBot="1" x14ac:dyDescent="0.35">
      <c r="A722" s="1"/>
      <c r="B722" s="15" t="s">
        <v>373</v>
      </c>
      <c r="C722" s="16" t="s">
        <v>342</v>
      </c>
      <c r="D722" s="60"/>
      <c r="E722" s="61">
        <v>1</v>
      </c>
      <c r="F722" s="16">
        <f>+'FACTOR PRESTACIONAL'!K9+'FACTOR PRESTACIONAL'!K10+'FACTOR PRESTACIONAL'!K11</f>
        <v>410016.94489460369</v>
      </c>
      <c r="G722" s="17">
        <f>F722*E722</f>
        <v>410016.94489460369</v>
      </c>
    </row>
    <row r="723" spans="1:7" ht="17.25" thickBot="1" x14ac:dyDescent="0.35">
      <c r="A723" s="1"/>
      <c r="B723" s="55" t="s">
        <v>283</v>
      </c>
      <c r="C723" s="56"/>
      <c r="D723" s="56"/>
      <c r="E723" s="57"/>
      <c r="F723" s="58"/>
      <c r="G723" s="59"/>
    </row>
    <row r="724" spans="1:7" ht="17.25" thickBot="1" x14ac:dyDescent="0.35">
      <c r="A724" s="1"/>
      <c r="B724" s="15" t="s">
        <v>310</v>
      </c>
      <c r="C724" s="16" t="s">
        <v>169</v>
      </c>
      <c r="D724" s="60"/>
      <c r="E724" s="61">
        <v>5</v>
      </c>
      <c r="F724" s="16">
        <v>150</v>
      </c>
      <c r="G724" s="17">
        <f>+ROUND((1+D724)*E724*F724,0)</f>
        <v>750</v>
      </c>
    </row>
    <row r="725" spans="1:7" ht="17.25" thickBot="1" x14ac:dyDescent="0.35">
      <c r="A725" s="1"/>
      <c r="B725" s="62" t="s">
        <v>286</v>
      </c>
      <c r="C725" s="5"/>
      <c r="D725" s="5"/>
      <c r="E725" s="6"/>
      <c r="F725" s="63"/>
      <c r="G725" s="64"/>
    </row>
    <row r="726" spans="1:7" ht="17.25" thickBot="1" x14ac:dyDescent="0.35">
      <c r="A726" s="1"/>
      <c r="B726" s="38" t="s">
        <v>286</v>
      </c>
      <c r="C726" s="47" t="s">
        <v>124</v>
      </c>
      <c r="D726" s="45"/>
      <c r="E726" s="46">
        <v>0.05</v>
      </c>
      <c r="F726" s="41">
        <f>G722</f>
        <v>410016.94489460369</v>
      </c>
      <c r="G726" s="40">
        <f>+ROUND(E726*F726,0)</f>
        <v>20501</v>
      </c>
    </row>
    <row r="727" spans="1:7" ht="17.25" thickBot="1" x14ac:dyDescent="0.35">
      <c r="A727" s="1"/>
      <c r="B727" s="2"/>
      <c r="C727" s="39"/>
      <c r="D727" s="18" t="s">
        <v>287</v>
      </c>
      <c r="E727" s="19"/>
      <c r="F727" s="20"/>
      <c r="G727" s="17">
        <f>SUM(G714:G726)</f>
        <v>3687678.9448946035</v>
      </c>
    </row>
    <row r="728" spans="1:7" hidden="1" x14ac:dyDescent="0.3">
      <c r="A728" s="1"/>
      <c r="B728" s="2"/>
      <c r="C728" s="3"/>
      <c r="D728" s="21" t="s">
        <v>289</v>
      </c>
      <c r="E728" s="22"/>
      <c r="F728" s="23">
        <f>+F707</f>
        <v>0.25</v>
      </c>
      <c r="G728" s="24">
        <f>+ROUND(G727*F728,0)</f>
        <v>921920</v>
      </c>
    </row>
    <row r="729" spans="1:7" hidden="1" x14ac:dyDescent="0.3">
      <c r="A729" s="1"/>
      <c r="B729" s="2"/>
      <c r="C729" s="3"/>
      <c r="D729" s="25" t="s">
        <v>290</v>
      </c>
      <c r="E729" s="26"/>
      <c r="F729" s="23">
        <f t="shared" ref="F729:F730" si="36">+F708</f>
        <v>0</v>
      </c>
      <c r="G729" s="14">
        <f>+ROUND(G727*F729,0)</f>
        <v>0</v>
      </c>
    </row>
    <row r="730" spans="1:7" ht="17.25" hidden="1" thickBot="1" x14ac:dyDescent="0.35">
      <c r="A730" s="1"/>
      <c r="B730" s="2"/>
      <c r="C730" s="3"/>
      <c r="D730" s="25" t="s">
        <v>291</v>
      </c>
      <c r="E730" s="26"/>
      <c r="F730" s="23">
        <f t="shared" si="36"/>
        <v>0.05</v>
      </c>
      <c r="G730" s="14">
        <f>+ROUND(G727*F730,0)</f>
        <v>184384</v>
      </c>
    </row>
    <row r="731" spans="1:7" ht="17.25" hidden="1" thickBot="1" x14ac:dyDescent="0.35">
      <c r="A731" s="1"/>
      <c r="B731" s="2"/>
      <c r="C731" s="3"/>
      <c r="D731" s="18" t="s">
        <v>10</v>
      </c>
      <c r="E731" s="29"/>
      <c r="F731" s="20"/>
      <c r="G731" s="17">
        <f>SUM(G727:G730)</f>
        <v>4793982.9448946035</v>
      </c>
    </row>
    <row r="732" spans="1:7" ht="17.25" thickBot="1" x14ac:dyDescent="0.35">
      <c r="A732" s="1"/>
      <c r="B732" s="2"/>
      <c r="C732" s="3"/>
      <c r="D732" s="121"/>
      <c r="E732" s="122"/>
      <c r="F732" s="39"/>
      <c r="G732" s="39"/>
    </row>
    <row r="733" spans="1:7" ht="50.25" thickBot="1" x14ac:dyDescent="0.35">
      <c r="A733" s="358">
        <v>6.15</v>
      </c>
      <c r="B733" s="472" t="str">
        <f>VLOOKUP(A733,PPTO!$B$8:$D$94,2,0)</f>
        <v xml:space="preserve">Suministro, transporte e instalación de salida para luminaria de emergencia. Incluye tubería EMT 1/2", según planos, alambre de cobre THHN-AWG #12 y todos los elementos para el correcto funcionamiento. </v>
      </c>
      <c r="C733" s="473" t="s">
        <v>85</v>
      </c>
      <c r="D733" s="474" t="s">
        <v>274</v>
      </c>
      <c r="E733" s="475" t="s">
        <v>275</v>
      </c>
      <c r="F733" s="473" t="s">
        <v>276</v>
      </c>
      <c r="G733" s="363" t="s">
        <v>277</v>
      </c>
    </row>
    <row r="734" spans="1:7" x14ac:dyDescent="0.3">
      <c r="A734" s="1" t="s">
        <v>288</v>
      </c>
      <c r="B734" s="479" t="s">
        <v>278</v>
      </c>
      <c r="C734" s="480"/>
      <c r="D734" s="480"/>
      <c r="E734" s="481"/>
      <c r="F734" s="482"/>
      <c r="G734" s="483"/>
    </row>
    <row r="735" spans="1:7" x14ac:dyDescent="0.3">
      <c r="A735" s="1"/>
      <c r="B735" s="65" t="s">
        <v>378</v>
      </c>
      <c r="C735" s="54" t="str">
        <f>VLOOKUP(B735,INSUMOS!$B$2:$D$562,2,0)</f>
        <v>m</v>
      </c>
      <c r="D735" s="11"/>
      <c r="E735" s="12">
        <v>3.8</v>
      </c>
      <c r="F735" s="54">
        <f>VLOOKUP(B735,INSUMOS!$B$2:$D$562,3,0)</f>
        <v>17000</v>
      </c>
      <c r="G735" s="67">
        <f>+ROUND((1+D735)*E735*F735,0)</f>
        <v>64600</v>
      </c>
    </row>
    <row r="736" spans="1:7" x14ac:dyDescent="0.3">
      <c r="A736" s="1"/>
      <c r="B736" s="65" t="s">
        <v>367</v>
      </c>
      <c r="C736" s="54" t="str">
        <f>VLOOKUP(B736,INSUMOS!$B$2:$D$562,2,0)</f>
        <v>m</v>
      </c>
      <c r="D736" s="11"/>
      <c r="E736" s="12">
        <v>3.8</v>
      </c>
      <c r="F736" s="54">
        <f>VLOOKUP(B736,INSUMOS!$B$2:$D$562,3,0)</f>
        <v>2833.3333333333335</v>
      </c>
      <c r="G736" s="67">
        <f>+ROUND((1+D736)*E736*F736,0)</f>
        <v>10767</v>
      </c>
    </row>
    <row r="737" spans="1:7" x14ac:dyDescent="0.3">
      <c r="A737" s="1"/>
      <c r="B737" s="65" t="s">
        <v>368</v>
      </c>
      <c r="C737" s="54" t="str">
        <f>VLOOKUP(B737,INSUMOS!$B$2:$D$562,2,0)</f>
        <v>m</v>
      </c>
      <c r="D737" s="11"/>
      <c r="E737" s="12">
        <v>12</v>
      </c>
      <c r="F737" s="54">
        <f>VLOOKUP(B737,INSUMOS!$B$2:$D$562,3,0)</f>
        <v>3200</v>
      </c>
      <c r="G737" s="67">
        <f>+ROUND((1+D737)*E737*F737,0)</f>
        <v>38400</v>
      </c>
    </row>
    <row r="738" spans="1:7" x14ac:dyDescent="0.3">
      <c r="A738" s="1"/>
      <c r="B738" s="65" t="s">
        <v>369</v>
      </c>
      <c r="C738" s="54" t="str">
        <f>VLOOKUP(B738,INSUMOS!$B$2:$D$562,2,0)</f>
        <v>un</v>
      </c>
      <c r="D738" s="11"/>
      <c r="E738" s="12">
        <v>2</v>
      </c>
      <c r="F738" s="54">
        <f>VLOOKUP(B738,INSUMOS!$B$2:$D$562,3,0)</f>
        <v>2000</v>
      </c>
      <c r="G738" s="67">
        <f>+ROUND((1+D738)*E738*F738,0)</f>
        <v>4000</v>
      </c>
    </row>
    <row r="739" spans="1:7" x14ac:dyDescent="0.3">
      <c r="A739" s="1"/>
      <c r="B739" s="65" t="s">
        <v>402</v>
      </c>
      <c r="C739" s="54" t="str">
        <f>VLOOKUP(B739,INSUMOS!$B$2:$D$562,2,0)</f>
        <v>un</v>
      </c>
      <c r="D739" s="11"/>
      <c r="E739" s="12">
        <v>1</v>
      </c>
      <c r="F739" s="54">
        <f>VLOOKUP(B739,INSUMOS!$B$2:$D$562,3,0)</f>
        <v>55000</v>
      </c>
      <c r="G739" s="67">
        <f t="shared" ref="G739:G740" si="37">+ROUND((1+D739)*E739*F739,0)</f>
        <v>55000</v>
      </c>
    </row>
    <row r="740" spans="1:7" x14ac:dyDescent="0.3">
      <c r="A740" s="1"/>
      <c r="B740" s="484" t="s">
        <v>324</v>
      </c>
      <c r="C740" s="54" t="str">
        <f>VLOOKUP(B740,INSUMOS!$B$2:$D$562,2,0)</f>
        <v>día</v>
      </c>
      <c r="D740" s="426"/>
      <c r="E740" s="427">
        <v>0.25</v>
      </c>
      <c r="F740" s="54">
        <f>VLOOKUP(B740,INSUMOS!$B$2:$D$562,3,0)</f>
        <v>3500</v>
      </c>
      <c r="G740" s="485">
        <f t="shared" si="37"/>
        <v>875</v>
      </c>
    </row>
    <row r="741" spans="1:7" ht="17.25" thickBot="1" x14ac:dyDescent="0.35">
      <c r="A741" s="1"/>
      <c r="B741" s="486" t="s">
        <v>281</v>
      </c>
      <c r="C741" s="56"/>
      <c r="D741" s="56"/>
      <c r="E741" s="57"/>
      <c r="F741" s="58" t="s">
        <v>288</v>
      </c>
      <c r="G741" s="487"/>
    </row>
    <row r="742" spans="1:7" ht="17.25" thickBot="1" x14ac:dyDescent="0.35">
      <c r="A742" s="1"/>
      <c r="B742" s="488" t="s">
        <v>373</v>
      </c>
      <c r="C742" s="16" t="s">
        <v>383</v>
      </c>
      <c r="D742" s="60"/>
      <c r="E742" s="61">
        <v>1</v>
      </c>
      <c r="F742" s="16">
        <f>'FACTOR PRESTACIONAL'!L9</f>
        <v>21501.663682495626</v>
      </c>
      <c r="G742" s="20">
        <f>F742*E742</f>
        <v>21501.663682495626</v>
      </c>
    </row>
    <row r="743" spans="1:7" ht="17.25" thickBot="1" x14ac:dyDescent="0.35">
      <c r="A743" s="1"/>
      <c r="B743" s="486" t="s">
        <v>283</v>
      </c>
      <c r="C743" s="56"/>
      <c r="D743" s="56"/>
      <c r="E743" s="57"/>
      <c r="F743" s="58"/>
      <c r="G743" s="487"/>
    </row>
    <row r="744" spans="1:7" ht="17.25" thickBot="1" x14ac:dyDescent="0.35">
      <c r="A744" s="1"/>
      <c r="B744" s="488" t="s">
        <v>310</v>
      </c>
      <c r="C744" s="16" t="s">
        <v>169</v>
      </c>
      <c r="D744" s="60"/>
      <c r="E744" s="61">
        <v>1</v>
      </c>
      <c r="F744" s="16">
        <v>150</v>
      </c>
      <c r="G744" s="20">
        <f>+F744</f>
        <v>150</v>
      </c>
    </row>
    <row r="745" spans="1:7" ht="17.25" thickBot="1" x14ac:dyDescent="0.35">
      <c r="A745" s="1"/>
      <c r="B745" s="489" t="s">
        <v>286</v>
      </c>
      <c r="C745" s="5"/>
      <c r="D745" s="5"/>
      <c r="E745" s="6"/>
      <c r="F745" s="63"/>
      <c r="G745" s="4"/>
    </row>
    <row r="746" spans="1:7" x14ac:dyDescent="0.3">
      <c r="A746" s="1"/>
      <c r="B746" s="436" t="s">
        <v>286</v>
      </c>
      <c r="C746" s="490" t="s">
        <v>124</v>
      </c>
      <c r="D746" s="491"/>
      <c r="E746" s="492">
        <v>0.05</v>
      </c>
      <c r="F746" s="431">
        <f>G742</f>
        <v>21501.663682495626</v>
      </c>
      <c r="G746" s="493">
        <f>+ROUND(E746*F746,0)</f>
        <v>1075</v>
      </c>
    </row>
    <row r="747" spans="1:7" ht="17.25" thickBot="1" x14ac:dyDescent="0.35">
      <c r="A747" s="1"/>
      <c r="B747" s="2"/>
      <c r="C747" s="39"/>
      <c r="D747" s="476" t="s">
        <v>287</v>
      </c>
      <c r="E747" s="477"/>
      <c r="F747" s="478"/>
      <c r="G747" s="40">
        <f>SUM(G735:G746)</f>
        <v>196368.66368249562</v>
      </c>
    </row>
    <row r="748" spans="1:7" hidden="1" x14ac:dyDescent="0.3">
      <c r="A748" s="1"/>
      <c r="B748" s="2"/>
      <c r="C748" s="3"/>
      <c r="D748" s="21" t="s">
        <v>289</v>
      </c>
      <c r="E748" s="22"/>
      <c r="F748" s="23">
        <f>+F728</f>
        <v>0.25</v>
      </c>
      <c r="G748" s="24">
        <f>+ROUND(G747*F748,0)</f>
        <v>49092</v>
      </c>
    </row>
    <row r="749" spans="1:7" hidden="1" x14ac:dyDescent="0.3">
      <c r="A749" s="1"/>
      <c r="B749" s="2"/>
      <c r="C749" s="3"/>
      <c r="D749" s="25" t="s">
        <v>290</v>
      </c>
      <c r="E749" s="26"/>
      <c r="F749" s="23">
        <f>+F729</f>
        <v>0</v>
      </c>
      <c r="G749" s="14">
        <f>+ROUND(G747*F749,0)</f>
        <v>0</v>
      </c>
    </row>
    <row r="750" spans="1:7" ht="17.25" hidden="1" thickBot="1" x14ac:dyDescent="0.35">
      <c r="A750" s="1"/>
      <c r="B750" s="2"/>
      <c r="C750" s="3"/>
      <c r="D750" s="25" t="s">
        <v>291</v>
      </c>
      <c r="E750" s="26"/>
      <c r="F750" s="23">
        <f>+F730</f>
        <v>0.05</v>
      </c>
      <c r="G750" s="14">
        <f>+ROUND(G747*F750,0)</f>
        <v>9818</v>
      </c>
    </row>
    <row r="751" spans="1:7" ht="17.25" hidden="1" thickBot="1" x14ac:dyDescent="0.35">
      <c r="A751" s="1"/>
      <c r="B751" s="2"/>
      <c r="C751" s="3"/>
      <c r="D751" s="18" t="s">
        <v>10</v>
      </c>
      <c r="E751" s="29"/>
      <c r="F751" s="20"/>
      <c r="G751" s="17">
        <f>SUM(G747:G750)</f>
        <v>255278.66368249562</v>
      </c>
    </row>
    <row r="752" spans="1:7" x14ac:dyDescent="0.3">
      <c r="A752" s="1"/>
    </row>
    <row r="753" spans="1:7" ht="17.25" thickBot="1" x14ac:dyDescent="0.35">
      <c r="A753" s="1"/>
      <c r="B753" s="2"/>
      <c r="C753" s="3"/>
      <c r="D753" s="121"/>
      <c r="E753" s="122"/>
      <c r="F753" s="39"/>
      <c r="G753" s="39"/>
    </row>
    <row r="754" spans="1:7" ht="17.25" thickBot="1" x14ac:dyDescent="0.35">
      <c r="A754" s="358">
        <v>6.16</v>
      </c>
      <c r="B754" s="472" t="str">
        <f>VLOOKUP(A754,PPTO!$B$8:$D$94,2,0)</f>
        <v>Suministro, transporte e instalación de Rack de telecomunicaciones</v>
      </c>
      <c r="C754" s="473" t="s">
        <v>85</v>
      </c>
      <c r="D754" s="474" t="s">
        <v>274</v>
      </c>
      <c r="E754" s="475" t="s">
        <v>275</v>
      </c>
      <c r="F754" s="473" t="s">
        <v>276</v>
      </c>
      <c r="G754" s="363" t="s">
        <v>277</v>
      </c>
    </row>
    <row r="755" spans="1:7" x14ac:dyDescent="0.3">
      <c r="A755" s="1" t="s">
        <v>288</v>
      </c>
      <c r="B755" s="479" t="s">
        <v>278</v>
      </c>
      <c r="C755" s="480"/>
      <c r="D755" s="480"/>
      <c r="E755" s="481"/>
      <c r="F755" s="482"/>
      <c r="G755" s="483"/>
    </row>
    <row r="756" spans="1:7" x14ac:dyDescent="0.3">
      <c r="A756" s="1"/>
      <c r="B756" s="65" t="s">
        <v>403</v>
      </c>
      <c r="C756" s="54" t="str">
        <f>VLOOKUP(B756,INSUMOS!$B$2:$D$562,2,0)</f>
        <v>un</v>
      </c>
      <c r="D756" s="11"/>
      <c r="E756" s="12">
        <v>1</v>
      </c>
      <c r="F756" s="54">
        <f>VLOOKUP(B756,INSUMOS!$B$2:$D$562,3,0)</f>
        <v>1450000</v>
      </c>
      <c r="G756" s="67">
        <f>+ROUND((1+D756)*E756*F756,0)</f>
        <v>1450000</v>
      </c>
    </row>
    <row r="757" spans="1:7" x14ac:dyDescent="0.3">
      <c r="A757" s="1"/>
      <c r="B757" s="65" t="s">
        <v>404</v>
      </c>
      <c r="C757" s="54" t="str">
        <f>VLOOKUP(B757,INSUMOS!$B$2:$D$562,2,0)</f>
        <v>un</v>
      </c>
      <c r="D757" s="11"/>
      <c r="E757" s="12">
        <v>1</v>
      </c>
      <c r="F757" s="54">
        <f>VLOOKUP(B757,INSUMOS!$B$2:$D$562,3,0)</f>
        <v>51850</v>
      </c>
      <c r="G757" s="67">
        <f>+ROUND((1+D757)*E757*F757,0)</f>
        <v>51850</v>
      </c>
    </row>
    <row r="758" spans="1:7" x14ac:dyDescent="0.3">
      <c r="A758" s="1"/>
      <c r="B758" s="65" t="s">
        <v>405</v>
      </c>
      <c r="C758" s="54" t="str">
        <f>VLOOKUP(B758,INSUMOS!$B$2:$D$562,2,0)</f>
        <v>un</v>
      </c>
      <c r="D758" s="11"/>
      <c r="E758" s="12"/>
      <c r="F758" s="54">
        <f>VLOOKUP(B758,INSUMOS!$B$2:$D$562,3,0)</f>
        <v>573000</v>
      </c>
      <c r="G758" s="67">
        <f>+ROUND((1+D758)*E758*F758,0)</f>
        <v>0</v>
      </c>
    </row>
    <row r="759" spans="1:7" x14ac:dyDescent="0.3">
      <c r="A759" s="1"/>
      <c r="B759" s="65" t="s">
        <v>406</v>
      </c>
      <c r="C759" s="54" t="str">
        <f>VLOOKUP(B759,INSUMOS!$B$2:$D$562,2,0)</f>
        <v>un</v>
      </c>
      <c r="D759" s="11"/>
      <c r="E759" s="12"/>
      <c r="F759" s="54">
        <f>VLOOKUP(B759,INSUMOS!$B$2:$D$562,3,0)</f>
        <v>52000</v>
      </c>
      <c r="G759" s="67">
        <f>+ROUND((1+D759)*E759*F759,0)</f>
        <v>0</v>
      </c>
    </row>
    <row r="760" spans="1:7" x14ac:dyDescent="0.3">
      <c r="A760" s="1"/>
      <c r="B760" s="65" t="s">
        <v>407</v>
      </c>
      <c r="C760" s="54" t="str">
        <f>VLOOKUP(B760,INSUMOS!$B$2:$D$562,2,0)</f>
        <v>gl</v>
      </c>
      <c r="D760" s="11"/>
      <c r="E760" s="12"/>
      <c r="F760" s="54">
        <f>VLOOKUP(B760,INSUMOS!$B$2:$D$562,3,0)</f>
        <v>90250</v>
      </c>
      <c r="G760" s="67">
        <f t="shared" ref="G760" si="38">+ROUND((1+D760)*E760*F760,0)</f>
        <v>0</v>
      </c>
    </row>
    <row r="761" spans="1:7" x14ac:dyDescent="0.3">
      <c r="A761" s="1"/>
      <c r="B761" s="484"/>
      <c r="C761" s="54"/>
      <c r="D761" s="426"/>
      <c r="E761" s="427"/>
      <c r="F761" s="54"/>
      <c r="G761" s="485"/>
    </row>
    <row r="762" spans="1:7" ht="17.25" thickBot="1" x14ac:dyDescent="0.35">
      <c r="A762" s="1"/>
      <c r="B762" s="486" t="s">
        <v>281</v>
      </c>
      <c r="C762" s="56"/>
      <c r="D762" s="56"/>
      <c r="E762" s="57"/>
      <c r="F762" s="58" t="s">
        <v>288</v>
      </c>
      <c r="G762" s="487"/>
    </row>
    <row r="763" spans="1:7" ht="17.25" thickBot="1" x14ac:dyDescent="0.35">
      <c r="A763" s="1"/>
      <c r="B763" s="488" t="s">
        <v>373</v>
      </c>
      <c r="C763" s="16" t="s">
        <v>342</v>
      </c>
      <c r="D763" s="60"/>
      <c r="E763" s="61">
        <v>1</v>
      </c>
      <c r="F763" s="16">
        <f>+'FACTOR PRESTACIONAL'!K9+'FACTOR PRESTACIONAL'!K10</f>
        <v>272406.29732663167</v>
      </c>
      <c r="G763" s="20">
        <f>F763*E763</f>
        <v>272406.29732663167</v>
      </c>
    </row>
    <row r="764" spans="1:7" ht="17.25" thickBot="1" x14ac:dyDescent="0.35">
      <c r="A764" s="1"/>
      <c r="B764" s="486" t="s">
        <v>283</v>
      </c>
      <c r="C764" s="56"/>
      <c r="D764" s="56"/>
      <c r="E764" s="57"/>
      <c r="F764" s="58"/>
      <c r="G764" s="487"/>
    </row>
    <row r="765" spans="1:7" ht="17.25" thickBot="1" x14ac:dyDescent="0.35">
      <c r="A765" s="1"/>
      <c r="B765" s="488" t="s">
        <v>310</v>
      </c>
      <c r="C765" s="16" t="s">
        <v>169</v>
      </c>
      <c r="D765" s="60"/>
      <c r="E765" s="61">
        <v>1</v>
      </c>
      <c r="F765" s="16">
        <v>150</v>
      </c>
      <c r="G765" s="20">
        <f>+F765</f>
        <v>150</v>
      </c>
    </row>
    <row r="766" spans="1:7" ht="17.25" thickBot="1" x14ac:dyDescent="0.35">
      <c r="A766" s="1"/>
      <c r="B766" s="489" t="s">
        <v>286</v>
      </c>
      <c r="C766" s="5"/>
      <c r="D766" s="5"/>
      <c r="E766" s="6"/>
      <c r="F766" s="63"/>
      <c r="G766" s="4"/>
    </row>
    <row r="767" spans="1:7" x14ac:dyDescent="0.3">
      <c r="A767" s="1"/>
      <c r="B767" s="436" t="s">
        <v>286</v>
      </c>
      <c r="C767" s="490" t="s">
        <v>124</v>
      </c>
      <c r="D767" s="491"/>
      <c r="E767" s="492">
        <v>0.05</v>
      </c>
      <c r="F767" s="431">
        <f>G763</f>
        <v>272406.29732663167</v>
      </c>
      <c r="G767" s="493">
        <f>+ROUND(E767*F767,0)</f>
        <v>13620</v>
      </c>
    </row>
    <row r="768" spans="1:7" ht="15.6" customHeight="1" thickBot="1" x14ac:dyDescent="0.35">
      <c r="A768" s="1"/>
      <c r="B768" s="2"/>
      <c r="C768" s="39"/>
      <c r="D768" s="476" t="s">
        <v>287</v>
      </c>
      <c r="E768" s="477"/>
      <c r="F768" s="478"/>
      <c r="G768" s="40">
        <f>SUM(G756:G767)</f>
        <v>1788026.2973266316</v>
      </c>
    </row>
    <row r="769" spans="1:7" hidden="1" x14ac:dyDescent="0.3">
      <c r="A769" s="1"/>
      <c r="B769" s="2"/>
      <c r="C769" s="3"/>
      <c r="D769" s="21" t="s">
        <v>289</v>
      </c>
      <c r="E769" s="22"/>
      <c r="F769" s="23">
        <f>+F749</f>
        <v>0</v>
      </c>
      <c r="G769" s="24">
        <f>+ROUND(G768*F769,0)</f>
        <v>0</v>
      </c>
    </row>
    <row r="770" spans="1:7" hidden="1" x14ac:dyDescent="0.3">
      <c r="A770" s="1"/>
      <c r="B770" s="2"/>
      <c r="C770" s="3"/>
      <c r="D770" s="25" t="s">
        <v>290</v>
      </c>
      <c r="E770" s="26"/>
      <c r="F770" s="23">
        <f>+F750</f>
        <v>0.05</v>
      </c>
      <c r="G770" s="14">
        <f>+ROUND(G768*F770,0)</f>
        <v>89401</v>
      </c>
    </row>
    <row r="771" spans="1:7" ht="17.25" hidden="1" thickBot="1" x14ac:dyDescent="0.35">
      <c r="A771" s="1"/>
      <c r="B771" s="2"/>
      <c r="C771" s="3"/>
      <c r="D771" s="25" t="s">
        <v>291</v>
      </c>
      <c r="E771" s="26"/>
      <c r="F771" s="23">
        <f>+F751</f>
        <v>0</v>
      </c>
      <c r="G771" s="14">
        <f>+ROUND(G768*F771,0)</f>
        <v>0</v>
      </c>
    </row>
    <row r="772" spans="1:7" ht="17.25" hidden="1" thickBot="1" x14ac:dyDescent="0.35">
      <c r="A772" s="1"/>
      <c r="B772" s="2"/>
      <c r="C772" s="3"/>
      <c r="D772" s="18" t="s">
        <v>10</v>
      </c>
      <c r="E772" s="29"/>
      <c r="F772" s="20"/>
      <c r="G772" s="17">
        <f>SUM(G768:G771)</f>
        <v>1877427.2973266316</v>
      </c>
    </row>
    <row r="773" spans="1:7" x14ac:dyDescent="0.3">
      <c r="A773" s="1"/>
    </row>
    <row r="774" spans="1:7" ht="17.25" thickBot="1" x14ac:dyDescent="0.35">
      <c r="A774" s="1"/>
      <c r="B774" s="2"/>
      <c r="C774" s="3"/>
      <c r="D774" s="121"/>
      <c r="E774" s="122"/>
      <c r="F774" s="39"/>
      <c r="G774" s="39"/>
    </row>
    <row r="775" spans="1:7" ht="17.25" thickBot="1" x14ac:dyDescent="0.35">
      <c r="A775" s="358">
        <v>6.17</v>
      </c>
      <c r="B775" s="472" t="str">
        <f>VLOOKUP(A775,PPTO!$B$8:$D$94,2,0)</f>
        <v>Suministro, transporte e instalación de puntos de conexión ethernet</v>
      </c>
      <c r="C775" s="473" t="s">
        <v>85</v>
      </c>
      <c r="D775" s="474" t="s">
        <v>274</v>
      </c>
      <c r="E775" s="475" t="s">
        <v>275</v>
      </c>
      <c r="F775" s="473" t="s">
        <v>276</v>
      </c>
      <c r="G775" s="363" t="s">
        <v>277</v>
      </c>
    </row>
    <row r="776" spans="1:7" x14ac:dyDescent="0.3">
      <c r="A776" s="1" t="s">
        <v>288</v>
      </c>
      <c r="B776" s="479" t="s">
        <v>278</v>
      </c>
      <c r="C776" s="480"/>
      <c r="D776" s="480"/>
      <c r="E776" s="481"/>
      <c r="F776" s="482"/>
      <c r="G776" s="483"/>
    </row>
    <row r="777" spans="1:7" x14ac:dyDescent="0.3">
      <c r="A777" s="1"/>
      <c r="B777" s="494" t="s">
        <v>408</v>
      </c>
      <c r="C777" s="54" t="str">
        <f>VLOOKUP(B777,INSUMOS!$B$2:$D$562,2,0)</f>
        <v>ml</v>
      </c>
      <c r="D777" s="11"/>
      <c r="E777" s="12">
        <v>12</v>
      </c>
      <c r="F777" s="54">
        <f>VLOOKUP(B777,INSUMOS!$B$2:$D$562,3,0)</f>
        <v>2570.4918032786886</v>
      </c>
      <c r="G777" s="67">
        <f>+ROUND((1+D777)*E777*F777,0)</f>
        <v>30846</v>
      </c>
    </row>
    <row r="778" spans="1:7" x14ac:dyDescent="0.3">
      <c r="A778" s="1"/>
      <c r="B778" s="494" t="s">
        <v>409</v>
      </c>
      <c r="C778" s="54" t="str">
        <f>VLOOKUP(B778,INSUMOS!$B$2:$D$562,2,0)</f>
        <v>un</v>
      </c>
      <c r="D778" s="11"/>
      <c r="E778" s="12">
        <v>1</v>
      </c>
      <c r="F778" s="54">
        <f>VLOOKUP(B778,INSUMOS!$B$2:$D$562,3,0)</f>
        <v>18900</v>
      </c>
      <c r="G778" s="67">
        <f>+ROUND((1+D778)*E778*F778,0)</f>
        <v>18900</v>
      </c>
    </row>
    <row r="779" spans="1:7" x14ac:dyDescent="0.3">
      <c r="A779" s="1"/>
      <c r="B779" s="494" t="s">
        <v>410</v>
      </c>
      <c r="C779" s="54" t="str">
        <f>VLOOKUP(B779,INSUMOS!$B$2:$D$562,2,0)</f>
        <v>un</v>
      </c>
      <c r="D779" s="11"/>
      <c r="E779" s="12">
        <v>1</v>
      </c>
      <c r="F779" s="54">
        <f>VLOOKUP(B779,INSUMOS!$B$2:$D$562,3,0)</f>
        <v>19900</v>
      </c>
      <c r="G779" s="67">
        <f>+ROUND((1+D779)*E779*F779,0)</f>
        <v>19900</v>
      </c>
    </row>
    <row r="780" spans="1:7" x14ac:dyDescent="0.3">
      <c r="A780" s="1"/>
      <c r="B780" s="494" t="s">
        <v>411</v>
      </c>
      <c r="C780" s="54" t="str">
        <f>VLOOKUP(B780,INSUMOS!$B$2:$D$562,2,0)</f>
        <v>un</v>
      </c>
      <c r="D780" s="11"/>
      <c r="E780" s="12">
        <v>1</v>
      </c>
      <c r="F780" s="54">
        <f>VLOOKUP(B780,INSUMOS!$B$2:$D$562,3,0)</f>
        <v>25900</v>
      </c>
      <c r="G780" s="67">
        <f>+ROUND((1+D780)*E780*F780,0)</f>
        <v>25900</v>
      </c>
    </row>
    <row r="781" spans="1:7" x14ac:dyDescent="0.3">
      <c r="A781" s="1"/>
      <c r="B781" s="494" t="s">
        <v>412</v>
      </c>
      <c r="C781" s="54" t="str">
        <f>VLOOKUP(B781,INSUMOS!$B$2:$D$562,2,0)</f>
        <v>un</v>
      </c>
      <c r="D781" s="11"/>
      <c r="E781" s="12">
        <v>1</v>
      </c>
      <c r="F781" s="54">
        <f>VLOOKUP(B781,INSUMOS!$B$2:$D$562,3,0)</f>
        <v>850</v>
      </c>
      <c r="G781" s="67">
        <f t="shared" ref="G781:G782" si="39">+ROUND((1+D781)*E781*F781,0)</f>
        <v>850</v>
      </c>
    </row>
    <row r="782" spans="1:7" x14ac:dyDescent="0.3">
      <c r="A782" s="1"/>
      <c r="B782" s="65" t="s">
        <v>393</v>
      </c>
      <c r="C782" s="54" t="str">
        <f>VLOOKUP(B782,INSUMOS!$B$2:$D$562,2,0)</f>
        <v>m</v>
      </c>
      <c r="D782" s="426"/>
      <c r="E782" s="427">
        <v>12</v>
      </c>
      <c r="F782" s="54">
        <f>VLOOKUP(B782,INSUMOS!$B$2:$D$562,3,0)</f>
        <v>1800</v>
      </c>
      <c r="G782" s="67">
        <f t="shared" si="39"/>
        <v>21600</v>
      </c>
    </row>
    <row r="783" spans="1:7" ht="17.25" thickBot="1" x14ac:dyDescent="0.35">
      <c r="A783" s="1"/>
      <c r="B783" s="486" t="s">
        <v>281</v>
      </c>
      <c r="C783" s="56"/>
      <c r="D783" s="56"/>
      <c r="E783" s="57"/>
      <c r="F783" s="58" t="s">
        <v>288</v>
      </c>
      <c r="G783" s="487"/>
    </row>
    <row r="784" spans="1:7" ht="17.25" thickBot="1" x14ac:dyDescent="0.35">
      <c r="A784" s="1"/>
      <c r="B784" s="488" t="s">
        <v>373</v>
      </c>
      <c r="C784" s="16" t="s">
        <v>342</v>
      </c>
      <c r="D784" s="60"/>
      <c r="E784" s="61">
        <v>0.125</v>
      </c>
      <c r="F784" s="16">
        <f>+'FACTOR PRESTACIONAL'!K9+'FACTOR PRESTACIONAL'!K10</f>
        <v>272406.29732663167</v>
      </c>
      <c r="G784" s="20">
        <f>F784*E784</f>
        <v>34050.787165828959</v>
      </c>
    </row>
    <row r="785" spans="1:7" ht="17.25" thickBot="1" x14ac:dyDescent="0.35">
      <c r="A785" s="1"/>
      <c r="B785" s="486" t="s">
        <v>283</v>
      </c>
      <c r="C785" s="56"/>
      <c r="D785" s="56"/>
      <c r="E785" s="57"/>
      <c r="F785" s="58"/>
      <c r="G785" s="487"/>
    </row>
    <row r="786" spans="1:7" ht="17.25" thickBot="1" x14ac:dyDescent="0.35">
      <c r="A786" s="1"/>
      <c r="B786" s="488" t="s">
        <v>310</v>
      </c>
      <c r="C786" s="16" t="s">
        <v>169</v>
      </c>
      <c r="D786" s="60"/>
      <c r="E786" s="61">
        <v>1</v>
      </c>
      <c r="F786" s="16">
        <v>150</v>
      </c>
      <c r="G786" s="20">
        <f>+F786</f>
        <v>150</v>
      </c>
    </row>
    <row r="787" spans="1:7" ht="17.25" thickBot="1" x14ac:dyDescent="0.35">
      <c r="A787" s="1"/>
      <c r="B787" s="489" t="s">
        <v>286</v>
      </c>
      <c r="C787" s="5"/>
      <c r="D787" s="5"/>
      <c r="E787" s="6"/>
      <c r="F787" s="63"/>
      <c r="G787" s="4"/>
    </row>
    <row r="788" spans="1:7" x14ac:dyDescent="0.3">
      <c r="A788" s="1"/>
      <c r="B788" s="436" t="s">
        <v>286</v>
      </c>
      <c r="C788" s="490" t="s">
        <v>124</v>
      </c>
      <c r="D788" s="491"/>
      <c r="E788" s="492">
        <v>0.05</v>
      </c>
      <c r="F788" s="431">
        <f>G784</f>
        <v>34050.787165828959</v>
      </c>
      <c r="G788" s="493">
        <f>+ROUND(E788*F788,0)</f>
        <v>1703</v>
      </c>
    </row>
    <row r="789" spans="1:7" ht="17.25" thickBot="1" x14ac:dyDescent="0.35">
      <c r="A789" s="1"/>
      <c r="B789" s="2"/>
      <c r="C789" s="39"/>
      <c r="D789" s="476" t="s">
        <v>287</v>
      </c>
      <c r="E789" s="477"/>
      <c r="F789" s="478"/>
      <c r="G789" s="40">
        <f>SUM(G777:G788)</f>
        <v>153899.78716582895</v>
      </c>
    </row>
    <row r="790" spans="1:7" hidden="1" x14ac:dyDescent="0.3">
      <c r="A790" s="1"/>
      <c r="B790" s="2"/>
      <c r="C790" s="3"/>
      <c r="D790" s="21" t="s">
        <v>289</v>
      </c>
      <c r="E790" s="22"/>
      <c r="F790" s="23">
        <f>+F770</f>
        <v>0.05</v>
      </c>
      <c r="G790" s="24">
        <f>+ROUND(G789*F790,0)</f>
        <v>7695</v>
      </c>
    </row>
    <row r="791" spans="1:7" hidden="1" x14ac:dyDescent="0.3">
      <c r="A791" s="1"/>
      <c r="B791" s="2"/>
      <c r="C791" s="3"/>
      <c r="D791" s="25" t="s">
        <v>290</v>
      </c>
      <c r="E791" s="26"/>
      <c r="F791" s="23">
        <f>+F771</f>
        <v>0</v>
      </c>
      <c r="G791" s="14">
        <f>+ROUND(G789*F791,0)</f>
        <v>0</v>
      </c>
    </row>
    <row r="792" spans="1:7" ht="17.25" hidden="1" thickBot="1" x14ac:dyDescent="0.35">
      <c r="A792" s="1"/>
      <c r="B792" s="2"/>
      <c r="C792" s="3"/>
      <c r="D792" s="25" t="s">
        <v>291</v>
      </c>
      <c r="E792" s="26"/>
      <c r="F792" s="23">
        <f>+F772</f>
        <v>0</v>
      </c>
      <c r="G792" s="14">
        <f>+ROUND(G789*F792,0)</f>
        <v>0</v>
      </c>
    </row>
    <row r="793" spans="1:7" ht="17.25" hidden="1" thickBot="1" x14ac:dyDescent="0.35">
      <c r="A793" s="1"/>
      <c r="B793" s="2"/>
      <c r="C793" s="3"/>
      <c r="D793" s="18" t="s">
        <v>10</v>
      </c>
      <c r="E793" s="29"/>
      <c r="F793" s="20"/>
      <c r="G793" s="17">
        <f>SUM(G789:G792)</f>
        <v>161594.78716582895</v>
      </c>
    </row>
    <row r="794" spans="1:7" x14ac:dyDescent="0.3">
      <c r="A794" s="1"/>
    </row>
    <row r="795" spans="1:7" ht="17.25" thickBot="1" x14ac:dyDescent="0.35">
      <c r="A795" s="1"/>
      <c r="B795" s="2"/>
      <c r="C795" s="3"/>
      <c r="D795" s="121"/>
      <c r="E795" s="122"/>
      <c r="F795" s="39"/>
      <c r="G795" s="39"/>
    </row>
    <row r="796" spans="1:7" ht="50.25" thickBot="1" x14ac:dyDescent="0.35">
      <c r="A796" s="358">
        <f>PPTO!B61</f>
        <v>7.1</v>
      </c>
      <c r="B796" s="359" t="str">
        <f>VLOOKUP(A796,PPTO!$B$8:$D$94,2,0)</f>
        <v>SUMINISTRO, TRANSPORTE  E INSTALACION DE  Salidas abastos 1/2"  PVC presión, incluye 1m de tubería contempladas por salidas, accesorios y toda actividad adicional para su correcta instalación.</v>
      </c>
      <c r="C796" s="360" t="s">
        <v>85</v>
      </c>
      <c r="D796" s="361" t="s">
        <v>274</v>
      </c>
      <c r="E796" s="362" t="s">
        <v>275</v>
      </c>
      <c r="F796" s="360" t="s">
        <v>276</v>
      </c>
      <c r="G796" s="363" t="s">
        <v>277</v>
      </c>
    </row>
    <row r="797" spans="1:7" x14ac:dyDescent="0.3">
      <c r="A797" s="1" t="s">
        <v>288</v>
      </c>
      <c r="B797" s="51" t="s">
        <v>278</v>
      </c>
      <c r="C797" s="43"/>
      <c r="D797" s="43"/>
      <c r="E797" s="44"/>
      <c r="F797" s="52"/>
      <c r="G797" s="7"/>
    </row>
    <row r="798" spans="1:7" x14ac:dyDescent="0.3">
      <c r="A798" s="1"/>
      <c r="B798" s="68" t="s">
        <v>413</v>
      </c>
      <c r="C798" s="54" t="str">
        <f>VLOOKUP(B798,INSUMOS!$B$2:$D$562,2,0)</f>
        <v>m</v>
      </c>
      <c r="D798" s="11"/>
      <c r="E798" s="495">
        <v>1.05</v>
      </c>
      <c r="F798" s="54">
        <f>VLOOKUP(B798,INSUMOS!$B$2:$D$562,3,0)</f>
        <v>34205.875</v>
      </c>
      <c r="G798" s="13">
        <f>+ROUND((1+D798)*E798*F798,0)</f>
        <v>35916</v>
      </c>
    </row>
    <row r="799" spans="1:7" x14ac:dyDescent="0.3">
      <c r="A799" s="1"/>
      <c r="B799" s="68" t="s">
        <v>414</v>
      </c>
      <c r="C799" s="54" t="str">
        <f>VLOOKUP(B799,INSUMOS!$B$2:$D$562,2,0)</f>
        <v>un</v>
      </c>
      <c r="D799" s="11"/>
      <c r="E799" s="495">
        <v>8.7499999999999994E-2</v>
      </c>
      <c r="F799" s="54">
        <f>VLOOKUP(B799,INSUMOS!$B$2:$D$562,3,0)</f>
        <v>700</v>
      </c>
      <c r="G799" s="13">
        <f>+ROUND((1+D799)*E799*F799,0)</f>
        <v>61</v>
      </c>
    </row>
    <row r="800" spans="1:7" x14ac:dyDescent="0.3">
      <c r="A800" s="1"/>
      <c r="B800" s="68" t="s">
        <v>415</v>
      </c>
      <c r="C800" s="54" t="str">
        <f>VLOOKUP(B800,INSUMOS!$B$2:$D$562,2,0)</f>
        <v>un</v>
      </c>
      <c r="D800" s="11"/>
      <c r="E800" s="495">
        <v>8.7499999999999994E-2</v>
      </c>
      <c r="F800" s="54">
        <f>VLOOKUP(B800,INSUMOS!$B$2:$D$562,3,0)</f>
        <v>900</v>
      </c>
      <c r="G800" s="13">
        <f>+ROUND((1+D800)*E800*F800,0)</f>
        <v>79</v>
      </c>
    </row>
    <row r="801" spans="1:7" x14ac:dyDescent="0.3">
      <c r="A801" s="1"/>
      <c r="B801" s="68" t="s">
        <v>416</v>
      </c>
      <c r="C801" s="54" t="str">
        <f>VLOOKUP(B801,INSUMOS!$B$2:$D$562,2,0)</f>
        <v>un</v>
      </c>
      <c r="D801" s="11"/>
      <c r="E801" s="495">
        <v>0.11667</v>
      </c>
      <c r="F801" s="54">
        <f>VLOOKUP(B801,INSUMOS!$B$2:$D$562,3,0)</f>
        <v>1000</v>
      </c>
      <c r="G801" s="13">
        <f>+ROUND((1+D801)*E801*F801,0)</f>
        <v>117</v>
      </c>
    </row>
    <row r="802" spans="1:7" x14ac:dyDescent="0.3">
      <c r="A802" s="1"/>
      <c r="B802" s="68" t="s">
        <v>417</v>
      </c>
      <c r="C802" s="54" t="str">
        <f>VLOOKUP(B802,INSUMOS!$B$2:$D$562,2,0)</f>
        <v>un</v>
      </c>
      <c r="D802" s="11"/>
      <c r="E802" s="495">
        <v>0.11667</v>
      </c>
      <c r="F802" s="54">
        <f>VLOOKUP(B802,INSUMOS!$B$2:$D$562,3,0)</f>
        <v>1000</v>
      </c>
      <c r="G802" s="13">
        <f t="shared" ref="G802:G804" si="40">+ROUND((1+D802)*E802*F802,0)</f>
        <v>117</v>
      </c>
    </row>
    <row r="803" spans="1:7" x14ac:dyDescent="0.3">
      <c r="A803" s="1"/>
      <c r="B803" s="68" t="s">
        <v>418</v>
      </c>
      <c r="C803" s="54" t="str">
        <f>VLOOKUP(B803,INSUMOS!$B$2:$D$562,2,0)</f>
        <v>un</v>
      </c>
      <c r="D803" s="11"/>
      <c r="E803" s="495">
        <v>0.17499999999999999</v>
      </c>
      <c r="F803" s="54">
        <f>VLOOKUP(B803,INSUMOS!$B$2:$D$562,3,0)</f>
        <v>700</v>
      </c>
      <c r="G803" s="13">
        <f t="shared" si="40"/>
        <v>123</v>
      </c>
    </row>
    <row r="804" spans="1:7" x14ac:dyDescent="0.3">
      <c r="A804" s="1"/>
      <c r="B804" s="68" t="s">
        <v>372</v>
      </c>
      <c r="C804" s="54" t="str">
        <f>VLOOKUP(B804,INSUMOS!$B$2:$D$562,2,0)</f>
        <v>galon</v>
      </c>
      <c r="D804" s="11"/>
      <c r="E804" s="495">
        <v>2.1850000000000001E-2</v>
      </c>
      <c r="F804" s="54">
        <f>VLOOKUP(B804,INSUMOS!$B$2:$D$562,3,0)</f>
        <v>80000</v>
      </c>
      <c r="G804" s="13">
        <f t="shared" si="40"/>
        <v>1748</v>
      </c>
    </row>
    <row r="805" spans="1:7" x14ac:dyDescent="0.3">
      <c r="A805" s="1"/>
      <c r="B805" s="68" t="s">
        <v>419</v>
      </c>
      <c r="C805" s="54" t="str">
        <f>VLOOKUP(B805,INSUMOS!$B$2:$D$562,2,0)</f>
        <v>un</v>
      </c>
      <c r="D805" s="11"/>
      <c r="E805" s="495">
        <v>2.1850000000000001E-2</v>
      </c>
      <c r="F805" s="54">
        <f>VLOOKUP(B805,INSUMOS!$B$2:$D$562,3,0)</f>
        <v>50000</v>
      </c>
      <c r="G805" s="13">
        <f t="shared" ref="G805:G806" si="41">+ROUND((1+D805)*E805*F805,0)</f>
        <v>1093</v>
      </c>
    </row>
    <row r="806" spans="1:7" ht="17.25" thickBot="1" x14ac:dyDescent="0.35">
      <c r="A806" s="1"/>
      <c r="B806" s="120"/>
      <c r="C806" s="33"/>
      <c r="D806" s="30"/>
      <c r="E806" s="31"/>
      <c r="F806" s="33"/>
      <c r="G806" s="32">
        <f t="shared" si="41"/>
        <v>0</v>
      </c>
    </row>
    <row r="807" spans="1:7" ht="17.25" thickBot="1" x14ac:dyDescent="0.35">
      <c r="A807" s="1"/>
      <c r="B807" s="55" t="s">
        <v>281</v>
      </c>
      <c r="C807" s="56"/>
      <c r="D807" s="56"/>
      <c r="E807" s="57"/>
      <c r="F807" s="58" t="s">
        <v>288</v>
      </c>
      <c r="G807" s="59"/>
    </row>
    <row r="808" spans="1:7" ht="17.25" thickBot="1" x14ac:dyDescent="0.35">
      <c r="A808" s="1"/>
      <c r="B808" s="15" t="s">
        <v>420</v>
      </c>
      <c r="C808" s="16" t="s">
        <v>374</v>
      </c>
      <c r="D808" s="60"/>
      <c r="E808" s="61">
        <v>0.5</v>
      </c>
      <c r="F808" s="16">
        <f>+('FACTOR PRESTACIONAL'!L9)+('FACTOR PRESTACIONAL'!L10)</f>
        <v>34050.787165828959</v>
      </c>
      <c r="G808" s="17">
        <f>F808*E808</f>
        <v>17025.393582914479</v>
      </c>
    </row>
    <row r="809" spans="1:7" ht="17.25" thickBot="1" x14ac:dyDescent="0.35">
      <c r="A809" s="1"/>
      <c r="B809" s="55" t="s">
        <v>283</v>
      </c>
      <c r="C809" s="56"/>
      <c r="D809" s="56"/>
      <c r="E809" s="57"/>
      <c r="F809" s="58"/>
      <c r="G809" s="59"/>
    </row>
    <row r="810" spans="1:7" ht="17.25" thickBot="1" x14ac:dyDescent="0.35">
      <c r="A810" s="1"/>
      <c r="B810" s="15" t="s">
        <v>310</v>
      </c>
      <c r="C810" s="16" t="s">
        <v>169</v>
      </c>
      <c r="D810" s="60"/>
      <c r="E810" s="61">
        <v>5</v>
      </c>
      <c r="F810" s="16">
        <v>150</v>
      </c>
      <c r="G810" s="17">
        <f>+ROUND((1+D810)*E810*F810,0)</f>
        <v>750</v>
      </c>
    </row>
    <row r="811" spans="1:7" ht="17.25" thickBot="1" x14ac:dyDescent="0.35">
      <c r="A811" s="1"/>
      <c r="B811" s="62" t="s">
        <v>286</v>
      </c>
      <c r="C811" s="5"/>
      <c r="D811" s="5"/>
      <c r="E811" s="6"/>
      <c r="F811" s="63"/>
      <c r="G811" s="64"/>
    </row>
    <row r="812" spans="1:7" ht="17.25" thickBot="1" x14ac:dyDescent="0.35">
      <c r="A812" s="1"/>
      <c r="B812" s="38" t="s">
        <v>286</v>
      </c>
      <c r="C812" s="47" t="s">
        <v>124</v>
      </c>
      <c r="D812" s="45"/>
      <c r="E812" s="46">
        <v>0.05</v>
      </c>
      <c r="F812" s="41">
        <f>G808</f>
        <v>17025.393582914479</v>
      </c>
      <c r="G812" s="40">
        <f>+ROUND(E812*F812,0)</f>
        <v>851</v>
      </c>
    </row>
    <row r="813" spans="1:7" ht="17.25" thickBot="1" x14ac:dyDescent="0.35">
      <c r="A813" s="1"/>
      <c r="B813" s="2"/>
      <c r="C813" s="39"/>
      <c r="D813" s="18" t="s">
        <v>287</v>
      </c>
      <c r="E813" s="19"/>
      <c r="F813" s="20"/>
      <c r="G813" s="17">
        <f>SUM(G798:G812)</f>
        <v>57880.393582914476</v>
      </c>
    </row>
    <row r="814" spans="1:7" hidden="1" x14ac:dyDescent="0.3">
      <c r="A814" s="1"/>
      <c r="B814" s="2"/>
      <c r="C814" s="3"/>
      <c r="D814" s="21" t="s">
        <v>289</v>
      </c>
      <c r="E814" s="22"/>
      <c r="F814" s="23">
        <f>+F728</f>
        <v>0.25</v>
      </c>
      <c r="G814" s="24">
        <f>+ROUND(G813*F814,0)</f>
        <v>14470</v>
      </c>
    </row>
    <row r="815" spans="1:7" hidden="1" x14ac:dyDescent="0.3">
      <c r="A815" s="1"/>
      <c r="B815" s="2"/>
      <c r="C815" s="3"/>
      <c r="D815" s="25" t="s">
        <v>290</v>
      </c>
      <c r="E815" s="26"/>
      <c r="F815" s="23">
        <f>+F729</f>
        <v>0</v>
      </c>
      <c r="G815" s="14">
        <f>+ROUND(G813*F815,0)</f>
        <v>0</v>
      </c>
    </row>
    <row r="816" spans="1:7" ht="17.25" hidden="1" thickBot="1" x14ac:dyDescent="0.35">
      <c r="A816" s="1"/>
      <c r="B816" s="2"/>
      <c r="C816" s="3"/>
      <c r="D816" s="25" t="s">
        <v>291</v>
      </c>
      <c r="E816" s="26"/>
      <c r="F816" s="23">
        <f>+F730</f>
        <v>0.05</v>
      </c>
      <c r="G816" s="14">
        <f>+ROUND(G813*F816,0)</f>
        <v>2894</v>
      </c>
    </row>
    <row r="817" spans="1:7" ht="17.25" hidden="1" thickBot="1" x14ac:dyDescent="0.35">
      <c r="A817" s="1"/>
      <c r="B817" s="2"/>
      <c r="C817" s="3"/>
      <c r="D817" s="18" t="s">
        <v>10</v>
      </c>
      <c r="E817" s="29"/>
      <c r="F817" s="20"/>
      <c r="G817" s="17">
        <f>SUM(G813:G816)</f>
        <v>75244.393582914476</v>
      </c>
    </row>
    <row r="818" spans="1:7" ht="17.25" thickBot="1" x14ac:dyDescent="0.35">
      <c r="A818" s="1"/>
      <c r="B818" s="2"/>
      <c r="C818" s="3"/>
      <c r="D818" s="121"/>
      <c r="E818" s="122"/>
      <c r="F818" s="39"/>
      <c r="G818" s="39"/>
    </row>
    <row r="819" spans="1:7" ht="66.75" thickBot="1" x14ac:dyDescent="0.35">
      <c r="A819" s="358">
        <f>PPTO!B62</f>
        <v>7.2</v>
      </c>
      <c r="B819" s="359" t="str">
        <f>VLOOKUP(A819,PPTO!$B$8:$D$94,2,0)</f>
        <v>SUMINISTRO, TRANSPORTE  E INSTALACION DE  Salidas sanitarias de 2" incluye: Accesorios, acoples y todo lo relacionado para su instalación de (lavadero, sanitario, lavamanos, ducha, etc.) incluye 2m de tubería contempladas por punto  y toda actividad adicional para su correcta instalación.</v>
      </c>
      <c r="C819" s="360" t="s">
        <v>85</v>
      </c>
      <c r="D819" s="361" t="s">
        <v>274</v>
      </c>
      <c r="E819" s="362" t="s">
        <v>275</v>
      </c>
      <c r="F819" s="360" t="s">
        <v>276</v>
      </c>
      <c r="G819" s="363" t="s">
        <v>277</v>
      </c>
    </row>
    <row r="820" spans="1:7" x14ac:dyDescent="0.3">
      <c r="A820" s="1" t="s">
        <v>288</v>
      </c>
      <c r="B820" s="51" t="s">
        <v>278</v>
      </c>
      <c r="C820" s="43"/>
      <c r="D820" s="43"/>
      <c r="E820" s="44"/>
      <c r="F820" s="52"/>
      <c r="G820" s="7"/>
    </row>
    <row r="821" spans="1:7" x14ac:dyDescent="0.3">
      <c r="A821" s="1"/>
      <c r="B821" s="68" t="s">
        <v>421</v>
      </c>
      <c r="C821" s="54" t="str">
        <f>VLOOKUP(B821,INSUMOS!$B$2:$D$562,2,0)</f>
        <v>un</v>
      </c>
      <c r="D821" s="11"/>
      <c r="E821" s="124">
        <v>0.11667</v>
      </c>
      <c r="F821" s="54">
        <f>VLOOKUP(B821,INSUMOS!$B$2:$D$562,3,0)</f>
        <v>3500</v>
      </c>
      <c r="G821" s="13">
        <f>+ROUND((1+D821)*E821*F821,0)</f>
        <v>408</v>
      </c>
    </row>
    <row r="822" spans="1:7" x14ac:dyDescent="0.3">
      <c r="A822" s="1"/>
      <c r="B822" s="68" t="s">
        <v>422</v>
      </c>
      <c r="C822" s="54" t="str">
        <f>VLOOKUP(B822,INSUMOS!$B$2:$D$562,2,0)</f>
        <v>m</v>
      </c>
      <c r="D822" s="11">
        <v>0.05</v>
      </c>
      <c r="E822" s="124">
        <v>2</v>
      </c>
      <c r="F822" s="54">
        <f>VLOOKUP(B822,INSUMOS!$B$2:$D$562,3,0)</f>
        <v>58000</v>
      </c>
      <c r="G822" s="13">
        <f>+ROUND((1+D822)*E822*F822,0)</f>
        <v>121800</v>
      </c>
    </row>
    <row r="823" spans="1:7" x14ac:dyDescent="0.3">
      <c r="A823" s="1"/>
      <c r="B823" s="68" t="s">
        <v>423</v>
      </c>
      <c r="C823" s="54" t="str">
        <f>VLOOKUP(B823,INSUMOS!$B$2:$D$562,2,0)</f>
        <v>un</v>
      </c>
      <c r="D823" s="11"/>
      <c r="E823" s="124">
        <v>8.7499999999999994E-2</v>
      </c>
      <c r="F823" s="54">
        <f>VLOOKUP(B823,INSUMOS!$B$2:$D$562,3,0)</f>
        <v>3000</v>
      </c>
      <c r="G823" s="13">
        <f>+ROUND((1+D823)*E823*F823,0)</f>
        <v>263</v>
      </c>
    </row>
    <row r="824" spans="1:7" x14ac:dyDescent="0.3">
      <c r="A824" s="1"/>
      <c r="B824" s="68" t="s">
        <v>424</v>
      </c>
      <c r="C824" s="54" t="str">
        <f>VLOOKUP(B824,INSUMOS!$B$2:$D$562,2,0)</f>
        <v>un</v>
      </c>
      <c r="D824" s="11"/>
      <c r="E824" s="124">
        <v>0.11667</v>
      </c>
      <c r="F824" s="54">
        <f>VLOOKUP(B824,INSUMOS!$B$2:$D$562,3,0)</f>
        <v>6000</v>
      </c>
      <c r="G824" s="13">
        <f>+ROUND((1+D824)*E824*F824,0)</f>
        <v>700</v>
      </c>
    </row>
    <row r="825" spans="1:7" x14ac:dyDescent="0.3">
      <c r="A825" s="1"/>
      <c r="B825" s="68" t="s">
        <v>425</v>
      </c>
      <c r="C825" s="54" t="str">
        <f>VLOOKUP(B825,INSUMOS!$B$2:$D$562,2,0)</f>
        <v>un</v>
      </c>
      <c r="D825" s="11"/>
      <c r="E825" s="124">
        <v>0.11667</v>
      </c>
      <c r="F825" s="54">
        <f>VLOOKUP(B825,INSUMOS!$B$2:$D$562,3,0)</f>
        <v>10000</v>
      </c>
      <c r="G825" s="13">
        <f t="shared" ref="G825:G828" si="42">+ROUND((1+D825)*E825*F825,0)</f>
        <v>1167</v>
      </c>
    </row>
    <row r="826" spans="1:7" x14ac:dyDescent="0.3">
      <c r="A826" s="1"/>
      <c r="B826" s="68" t="s">
        <v>426</v>
      </c>
      <c r="C826" s="54" t="str">
        <f>VLOOKUP(B826,INSUMOS!$B$2:$D$562,2,0)</f>
        <v>un</v>
      </c>
      <c r="D826" s="11"/>
      <c r="E826" s="124">
        <v>0.17499999999999999</v>
      </c>
      <c r="F826" s="54">
        <f>VLOOKUP(B826,INSUMOS!$B$2:$D$562,3,0)</f>
        <v>4000</v>
      </c>
      <c r="G826" s="13">
        <f t="shared" si="42"/>
        <v>700</v>
      </c>
    </row>
    <row r="827" spans="1:7" x14ac:dyDescent="0.3">
      <c r="A827" s="1"/>
      <c r="B827" s="68" t="s">
        <v>372</v>
      </c>
      <c r="C827" s="54" t="str">
        <f>VLOOKUP(B827,INSUMOS!$B$2:$D$562,2,0)</f>
        <v>galon</v>
      </c>
      <c r="D827" s="11"/>
      <c r="E827" s="124">
        <v>2.1850000000000001E-2</v>
      </c>
      <c r="F827" s="54">
        <f>VLOOKUP(B827,INSUMOS!$B$2:$D$562,3,0)</f>
        <v>80000</v>
      </c>
      <c r="G827" s="13">
        <f t="shared" si="42"/>
        <v>1748</v>
      </c>
    </row>
    <row r="828" spans="1:7" x14ac:dyDescent="0.3">
      <c r="A828" s="1"/>
      <c r="B828" s="68" t="s">
        <v>419</v>
      </c>
      <c r="C828" s="54" t="str">
        <f>VLOOKUP(B828,INSUMOS!$B$2:$D$562,2,0)</f>
        <v>un</v>
      </c>
      <c r="D828" s="11"/>
      <c r="E828" s="124">
        <v>2.1850000000000001E-2</v>
      </c>
      <c r="F828" s="54">
        <f>VLOOKUP(B828,INSUMOS!$B$2:$D$562,3,0)</f>
        <v>50000</v>
      </c>
      <c r="G828" s="13">
        <f t="shared" si="42"/>
        <v>1093</v>
      </c>
    </row>
    <row r="829" spans="1:7" ht="17.25" thickBot="1" x14ac:dyDescent="0.35">
      <c r="A829" s="1"/>
      <c r="B829" s="68"/>
      <c r="C829" s="33"/>
      <c r="D829" s="30"/>
      <c r="E829" s="31"/>
      <c r="F829" s="33"/>
      <c r="G829" s="32">
        <f t="shared" ref="G829" si="43">+ROUND((1+D829)*E829*F829,0)</f>
        <v>0</v>
      </c>
    </row>
    <row r="830" spans="1:7" ht="17.25" thickBot="1" x14ac:dyDescent="0.35">
      <c r="A830" s="1"/>
      <c r="B830" s="55" t="s">
        <v>281</v>
      </c>
      <c r="C830" s="56"/>
      <c r="D830" s="56"/>
      <c r="E830" s="57"/>
      <c r="F830" s="58" t="s">
        <v>288</v>
      </c>
      <c r="G830" s="59"/>
    </row>
    <row r="831" spans="1:7" ht="17.25" thickBot="1" x14ac:dyDescent="0.35">
      <c r="A831" s="1"/>
      <c r="B831" s="15" t="s">
        <v>420</v>
      </c>
      <c r="C831" s="16" t="s">
        <v>374</v>
      </c>
      <c r="D831" s="60"/>
      <c r="E831" s="61">
        <v>0.5</v>
      </c>
      <c r="F831" s="16">
        <f>+F808</f>
        <v>34050.787165828959</v>
      </c>
      <c r="G831" s="17">
        <f>F831*E831</f>
        <v>17025.393582914479</v>
      </c>
    </row>
    <row r="832" spans="1:7" ht="17.25" thickBot="1" x14ac:dyDescent="0.35">
      <c r="A832" s="1"/>
      <c r="B832" s="55" t="s">
        <v>283</v>
      </c>
      <c r="C832" s="56"/>
      <c r="D832" s="56"/>
      <c r="E832" s="57"/>
      <c r="F832" s="58"/>
      <c r="G832" s="59"/>
    </row>
    <row r="833" spans="1:7" ht="17.25" thickBot="1" x14ac:dyDescent="0.35">
      <c r="A833" s="1"/>
      <c r="B833" s="15" t="s">
        <v>310</v>
      </c>
      <c r="C833" s="16" t="s">
        <v>169</v>
      </c>
      <c r="D833" s="60"/>
      <c r="E833" s="61">
        <v>5</v>
      </c>
      <c r="F833" s="16">
        <v>150</v>
      </c>
      <c r="G833" s="17">
        <f>+ROUND((1+D833)*E833*F833,0)</f>
        <v>750</v>
      </c>
    </row>
    <row r="834" spans="1:7" ht="17.25" thickBot="1" x14ac:dyDescent="0.35">
      <c r="A834" s="1"/>
      <c r="B834" s="62" t="s">
        <v>286</v>
      </c>
      <c r="C834" s="5"/>
      <c r="D834" s="5"/>
      <c r="E834" s="6"/>
      <c r="F834" s="63"/>
      <c r="G834" s="64"/>
    </row>
    <row r="835" spans="1:7" ht="17.25" thickBot="1" x14ac:dyDescent="0.35">
      <c r="A835" s="1"/>
      <c r="B835" s="38" t="s">
        <v>286</v>
      </c>
      <c r="C835" s="47" t="s">
        <v>124</v>
      </c>
      <c r="D835" s="45"/>
      <c r="E835" s="46">
        <v>0.05</v>
      </c>
      <c r="F835" s="41">
        <f>G831</f>
        <v>17025.393582914479</v>
      </c>
      <c r="G835" s="40">
        <f>+ROUND(E835*F835,0)</f>
        <v>851</v>
      </c>
    </row>
    <row r="836" spans="1:7" ht="17.25" thickBot="1" x14ac:dyDescent="0.35">
      <c r="A836" s="1"/>
      <c r="B836" s="2"/>
      <c r="C836" s="39"/>
      <c r="D836" s="18" t="s">
        <v>287</v>
      </c>
      <c r="E836" s="19"/>
      <c r="F836" s="20"/>
      <c r="G836" s="17">
        <f>SUM(G821:G835)</f>
        <v>146505.39358291449</v>
      </c>
    </row>
    <row r="837" spans="1:7" hidden="1" x14ac:dyDescent="0.3">
      <c r="A837" s="1"/>
      <c r="B837" s="2"/>
      <c r="C837" s="3"/>
      <c r="D837" s="21" t="s">
        <v>289</v>
      </c>
      <c r="E837" s="22"/>
      <c r="F837" s="23">
        <f>+F814</f>
        <v>0.25</v>
      </c>
      <c r="G837" s="24">
        <f>+ROUND(G836*F837,0)</f>
        <v>36626</v>
      </c>
    </row>
    <row r="838" spans="1:7" hidden="1" x14ac:dyDescent="0.3">
      <c r="A838" s="1"/>
      <c r="B838" s="2"/>
      <c r="C838" s="3"/>
      <c r="D838" s="25" t="s">
        <v>290</v>
      </c>
      <c r="E838" s="26"/>
      <c r="F838" s="23">
        <f t="shared" ref="F838:F839" si="44">+F815</f>
        <v>0</v>
      </c>
      <c r="G838" s="14">
        <f>+ROUND(G836*F838,0)</f>
        <v>0</v>
      </c>
    </row>
    <row r="839" spans="1:7" ht="17.25" hidden="1" thickBot="1" x14ac:dyDescent="0.35">
      <c r="A839" s="1"/>
      <c r="B839" s="2"/>
      <c r="C839" s="3"/>
      <c r="D839" s="25" t="s">
        <v>291</v>
      </c>
      <c r="E839" s="26"/>
      <c r="F839" s="23">
        <f t="shared" si="44"/>
        <v>0.05</v>
      </c>
      <c r="G839" s="14">
        <f>+ROUND(G836*F839,0)</f>
        <v>7325</v>
      </c>
    </row>
    <row r="840" spans="1:7" ht="17.25" hidden="1" thickBot="1" x14ac:dyDescent="0.35">
      <c r="A840" s="1"/>
      <c r="B840" s="2"/>
      <c r="C840" s="3"/>
      <c r="D840" s="18" t="s">
        <v>10</v>
      </c>
      <c r="E840" s="29"/>
      <c r="F840" s="20"/>
      <c r="G840" s="17">
        <f>SUM(G836:G839)</f>
        <v>190456.39358291449</v>
      </c>
    </row>
    <row r="841" spans="1:7" ht="17.25" thickBot="1" x14ac:dyDescent="0.35">
      <c r="A841" s="1"/>
    </row>
    <row r="842" spans="1:7" ht="66.75" thickBot="1" x14ac:dyDescent="0.35">
      <c r="A842" s="358">
        <f>PPTO!B63</f>
        <v>7.3</v>
      </c>
      <c r="B842" s="359" t="str">
        <f>VLOOKUP(A842,PPTO!$B$8:$D$94,2,0)</f>
        <v>SUMINISTRO, TRANSPORTE  E INSTALACION de tubería para Bajante sanitario en tubería de 3" PVC. Bajante de ventilación incluye: (tubería por m, amarres, accesorios de empalme, equipos de alturas y todo lo relacionado para su instalación, altura elemento 1,5m.máx)</v>
      </c>
      <c r="C842" s="360" t="s">
        <v>85</v>
      </c>
      <c r="D842" s="361" t="s">
        <v>274</v>
      </c>
      <c r="E842" s="362" t="s">
        <v>275</v>
      </c>
      <c r="F842" s="360" t="s">
        <v>276</v>
      </c>
      <c r="G842" s="363" t="s">
        <v>277</v>
      </c>
    </row>
    <row r="843" spans="1:7" x14ac:dyDescent="0.3">
      <c r="A843" s="1" t="s">
        <v>288</v>
      </c>
      <c r="B843" s="51" t="s">
        <v>278</v>
      </c>
      <c r="C843" s="43"/>
      <c r="D843" s="43"/>
      <c r="E843" s="44"/>
      <c r="F843" s="52"/>
      <c r="G843" s="7"/>
    </row>
    <row r="844" spans="1:7" x14ac:dyDescent="0.3">
      <c r="A844" s="1"/>
      <c r="B844" s="68" t="s">
        <v>427</v>
      </c>
      <c r="C844" s="54" t="str">
        <f>VLOOKUP(B844,INSUMOS!$B$2:$D$562,2,0)</f>
        <v>ML</v>
      </c>
      <c r="D844" s="11"/>
      <c r="E844" s="495">
        <v>1.5</v>
      </c>
      <c r="F844" s="54">
        <f>VLOOKUP(B844,INSUMOS!$B$2:$D$562,3,0)</f>
        <v>72000</v>
      </c>
      <c r="G844" s="13">
        <f>+ROUND((1+D844)*E844*F844,0)</f>
        <v>108000</v>
      </c>
    </row>
    <row r="845" spans="1:7" x14ac:dyDescent="0.3">
      <c r="A845" s="1"/>
      <c r="B845" s="68" t="s">
        <v>421</v>
      </c>
      <c r="C845" s="54" t="str">
        <f>VLOOKUP(B845,INSUMOS!$B$2:$D$562,2,0)</f>
        <v>un</v>
      </c>
      <c r="D845" s="11"/>
      <c r="E845" s="495">
        <v>0.11667</v>
      </c>
      <c r="F845" s="54">
        <f>VLOOKUP(B845,INSUMOS!$B$2:$D$562,3,0)</f>
        <v>3500</v>
      </c>
      <c r="G845" s="13">
        <f>+ROUND((1+D845)*E845*F845,0)</f>
        <v>408</v>
      </c>
    </row>
    <row r="846" spans="1:7" x14ac:dyDescent="0.3">
      <c r="A846" s="1"/>
      <c r="B846" s="68" t="s">
        <v>423</v>
      </c>
      <c r="C846" s="54" t="str">
        <f>VLOOKUP(B846,INSUMOS!$B$2:$D$562,2,0)</f>
        <v>un</v>
      </c>
      <c r="D846" s="11"/>
      <c r="E846" s="495">
        <v>8.7499999999999994E-2</v>
      </c>
      <c r="F846" s="54">
        <f>VLOOKUP(B846,INSUMOS!$B$2:$D$562,3,0)</f>
        <v>3000</v>
      </c>
      <c r="G846" s="13">
        <f>+ROUND((1+D846)*E846*F846,0)</f>
        <v>263</v>
      </c>
    </row>
    <row r="847" spans="1:7" x14ac:dyDescent="0.3">
      <c r="A847" s="1"/>
      <c r="B847" s="68" t="s">
        <v>424</v>
      </c>
      <c r="C847" s="54" t="str">
        <f>VLOOKUP(B847,INSUMOS!$B$2:$D$562,2,0)</f>
        <v>un</v>
      </c>
      <c r="D847" s="11"/>
      <c r="E847" s="495">
        <v>0.11667</v>
      </c>
      <c r="F847" s="54">
        <f>VLOOKUP(B847,INSUMOS!$B$2:$D$562,3,0)</f>
        <v>6000</v>
      </c>
      <c r="G847" s="13">
        <f>+ROUND((1+D847)*E847*F847,0)</f>
        <v>700</v>
      </c>
    </row>
    <row r="848" spans="1:7" x14ac:dyDescent="0.3">
      <c r="A848" s="1"/>
      <c r="B848" s="68" t="s">
        <v>425</v>
      </c>
      <c r="C848" s="54" t="str">
        <f>VLOOKUP(B848,INSUMOS!$B$2:$D$562,2,0)</f>
        <v>un</v>
      </c>
      <c r="D848" s="11"/>
      <c r="E848" s="495">
        <v>0.11667</v>
      </c>
      <c r="F848" s="54">
        <f>VLOOKUP(B848,INSUMOS!$B$2:$D$562,3,0)</f>
        <v>10000</v>
      </c>
      <c r="G848" s="13">
        <f t="shared" ref="G848:G851" si="45">+ROUND((1+D848)*E848*F848,0)</f>
        <v>1167</v>
      </c>
    </row>
    <row r="849" spans="1:7" x14ac:dyDescent="0.3">
      <c r="A849" s="1"/>
      <c r="B849" s="68" t="s">
        <v>426</v>
      </c>
      <c r="C849" s="54" t="str">
        <f>VLOOKUP(B849,INSUMOS!$B$2:$D$562,2,0)</f>
        <v>un</v>
      </c>
      <c r="D849" s="11"/>
      <c r="E849" s="495">
        <v>0.17499999999999999</v>
      </c>
      <c r="F849" s="54">
        <f>VLOOKUP(B849,INSUMOS!$B$2:$D$562,3,0)</f>
        <v>4000</v>
      </c>
      <c r="G849" s="13">
        <f t="shared" si="45"/>
        <v>700</v>
      </c>
    </row>
    <row r="850" spans="1:7" x14ac:dyDescent="0.3">
      <c r="A850" s="1"/>
      <c r="B850" s="68" t="s">
        <v>372</v>
      </c>
      <c r="C850" s="54" t="str">
        <f>VLOOKUP(B850,INSUMOS!$B$2:$D$562,2,0)</f>
        <v>galon</v>
      </c>
      <c r="D850" s="11"/>
      <c r="E850" s="495">
        <v>2.1850000000000001E-2</v>
      </c>
      <c r="F850" s="54">
        <f>VLOOKUP(B850,INSUMOS!$B$2:$D$562,3,0)</f>
        <v>80000</v>
      </c>
      <c r="G850" s="13">
        <f t="shared" si="45"/>
        <v>1748</v>
      </c>
    </row>
    <row r="851" spans="1:7" x14ac:dyDescent="0.3">
      <c r="A851" s="1"/>
      <c r="B851" s="68" t="s">
        <v>419</v>
      </c>
      <c r="C851" s="54" t="str">
        <f>VLOOKUP(B851,INSUMOS!$B$2:$D$562,2,0)</f>
        <v>un</v>
      </c>
      <c r="D851" s="11"/>
      <c r="E851" s="495">
        <v>2.1850000000000001E-2</v>
      </c>
      <c r="F851" s="54">
        <f>VLOOKUP(B851,INSUMOS!$B$2:$D$562,3,0)</f>
        <v>50000</v>
      </c>
      <c r="G851" s="13">
        <f t="shared" si="45"/>
        <v>1093</v>
      </c>
    </row>
    <row r="852" spans="1:7" ht="17.25" thickBot="1" x14ac:dyDescent="0.35">
      <c r="A852" s="1"/>
      <c r="B852" s="68"/>
      <c r="C852" s="33"/>
      <c r="D852" s="30"/>
      <c r="E852" s="31"/>
      <c r="F852" s="33"/>
      <c r="G852" s="32">
        <f t="shared" ref="G852" si="46">+ROUND((1+D852)*E852*F852,0)</f>
        <v>0</v>
      </c>
    </row>
    <row r="853" spans="1:7" ht="17.25" thickBot="1" x14ac:dyDescent="0.35">
      <c r="A853" s="1"/>
      <c r="B853" s="55" t="s">
        <v>281</v>
      </c>
      <c r="C853" s="56"/>
      <c r="D853" s="56"/>
      <c r="E853" s="57"/>
      <c r="F853" s="58" t="s">
        <v>288</v>
      </c>
      <c r="G853" s="59"/>
    </row>
    <row r="854" spans="1:7" ht="17.25" thickBot="1" x14ac:dyDescent="0.35">
      <c r="A854" s="1"/>
      <c r="B854" s="15" t="s">
        <v>420</v>
      </c>
      <c r="C854" s="16" t="s">
        <v>374</v>
      </c>
      <c r="D854" s="60"/>
      <c r="E854" s="61">
        <v>0.6</v>
      </c>
      <c r="F854" s="16">
        <f>+'FACTOR PRESTACIONAL'!L9+'FACTOR PRESTACIONAL'!L10</f>
        <v>34050.787165828959</v>
      </c>
      <c r="G854" s="17">
        <f>F854*E854</f>
        <v>20430.472299497374</v>
      </c>
    </row>
    <row r="855" spans="1:7" ht="17.25" thickBot="1" x14ac:dyDescent="0.35">
      <c r="A855" s="1"/>
      <c r="B855" s="55" t="s">
        <v>283</v>
      </c>
      <c r="C855" s="56"/>
      <c r="D855" s="56"/>
      <c r="E855" s="57"/>
      <c r="F855" s="58"/>
      <c r="G855" s="59"/>
    </row>
    <row r="856" spans="1:7" ht="17.25" thickBot="1" x14ac:dyDescent="0.35">
      <c r="A856" s="1"/>
      <c r="B856" s="15" t="s">
        <v>310</v>
      </c>
      <c r="C856" s="16" t="s">
        <v>169</v>
      </c>
      <c r="D856" s="60"/>
      <c r="E856" s="61">
        <v>5</v>
      </c>
      <c r="F856" s="16">
        <v>150</v>
      </c>
      <c r="G856" s="17">
        <f>+ROUND((1+D856)*E856*F856,0)</f>
        <v>750</v>
      </c>
    </row>
    <row r="857" spans="1:7" ht="17.25" thickBot="1" x14ac:dyDescent="0.35">
      <c r="A857" s="1"/>
      <c r="B857" s="62" t="s">
        <v>286</v>
      </c>
      <c r="C857" s="5"/>
      <c r="D857" s="5"/>
      <c r="E857" s="6"/>
      <c r="F857" s="63"/>
      <c r="G857" s="64"/>
    </row>
    <row r="858" spans="1:7" ht="17.25" thickBot="1" x14ac:dyDescent="0.35">
      <c r="A858" s="1"/>
      <c r="B858" s="38" t="s">
        <v>286</v>
      </c>
      <c r="C858" s="47" t="s">
        <v>124</v>
      </c>
      <c r="D858" s="45"/>
      <c r="E858" s="46">
        <v>0.05</v>
      </c>
      <c r="F858" s="41">
        <f>G854</f>
        <v>20430.472299497374</v>
      </c>
      <c r="G858" s="40">
        <f>+ROUND(E858*F858,0)</f>
        <v>1022</v>
      </c>
    </row>
    <row r="859" spans="1:7" ht="17.25" thickBot="1" x14ac:dyDescent="0.35">
      <c r="A859" s="1"/>
      <c r="B859" s="2"/>
      <c r="C859" s="39"/>
      <c r="D859" s="18" t="s">
        <v>287</v>
      </c>
      <c r="E859" s="19"/>
      <c r="F859" s="20"/>
      <c r="G859" s="17">
        <f>SUM(G844:G858)</f>
        <v>136281.47229949737</v>
      </c>
    </row>
    <row r="860" spans="1:7" hidden="1" x14ac:dyDescent="0.3">
      <c r="A860" s="1"/>
      <c r="B860" s="2"/>
      <c r="C860" s="3"/>
      <c r="D860" s="21" t="s">
        <v>289</v>
      </c>
      <c r="E860" s="22"/>
      <c r="F860" s="23">
        <f>+F837</f>
        <v>0.25</v>
      </c>
      <c r="G860" s="24">
        <f>+ROUND(G859*F860,0)</f>
        <v>34070</v>
      </c>
    </row>
    <row r="861" spans="1:7" hidden="1" x14ac:dyDescent="0.3">
      <c r="A861" s="1"/>
      <c r="B861" s="2"/>
      <c r="C861" s="3"/>
      <c r="D861" s="25" t="s">
        <v>290</v>
      </c>
      <c r="E861" s="26"/>
      <c r="F861" s="23">
        <f t="shared" ref="F861:F862" si="47">+F838</f>
        <v>0</v>
      </c>
      <c r="G861" s="14">
        <f>+ROUND(G859*F861,0)</f>
        <v>0</v>
      </c>
    </row>
    <row r="862" spans="1:7" ht="17.25" hidden="1" thickBot="1" x14ac:dyDescent="0.35">
      <c r="A862" s="1"/>
      <c r="B862" s="2"/>
      <c r="C862" s="3"/>
      <c r="D862" s="25" t="s">
        <v>291</v>
      </c>
      <c r="E862" s="26"/>
      <c r="F862" s="23">
        <f t="shared" si="47"/>
        <v>0.05</v>
      </c>
      <c r="G862" s="14">
        <f>+ROUND(G859*F862,0)</f>
        <v>6814</v>
      </c>
    </row>
    <row r="863" spans="1:7" ht="17.25" hidden="1" thickBot="1" x14ac:dyDescent="0.35">
      <c r="A863" s="1"/>
      <c r="B863" s="2"/>
      <c r="C863" s="3"/>
      <c r="D863" s="18" t="s">
        <v>10</v>
      </c>
      <c r="E863" s="29"/>
      <c r="F863" s="20"/>
      <c r="G863" s="17">
        <f>SUM(G859:G862)</f>
        <v>177165.47229949737</v>
      </c>
    </row>
    <row r="864" spans="1:7" ht="17.25" thickBot="1" x14ac:dyDescent="0.35">
      <c r="A864" s="1"/>
    </row>
    <row r="865" spans="1:7" ht="50.25" thickBot="1" x14ac:dyDescent="0.35">
      <c r="A865" s="358">
        <v>7.4</v>
      </c>
      <c r="B865" s="359" t="str">
        <f>VLOOKUP(A865,PPTO!$B$8:$D$94,2,0)</f>
        <v>SUMINISTRO, TRANSPORTE  E INSTALACION de Tubería ALL D=4" en desagües primer piso incluye: excavación primer por metro lineal con pendiente, tubería, y accesorios.)</v>
      </c>
      <c r="C865" s="360" t="s">
        <v>85</v>
      </c>
      <c r="D865" s="361" t="s">
        <v>274</v>
      </c>
      <c r="E865" s="362" t="s">
        <v>275</v>
      </c>
      <c r="F865" s="360" t="s">
        <v>276</v>
      </c>
      <c r="G865" s="363" t="s">
        <v>277</v>
      </c>
    </row>
    <row r="866" spans="1:7" x14ac:dyDescent="0.3">
      <c r="A866" s="1" t="s">
        <v>288</v>
      </c>
      <c r="B866" s="51" t="s">
        <v>278</v>
      </c>
      <c r="C866" s="43"/>
      <c r="D866" s="43"/>
      <c r="E866" s="44"/>
      <c r="F866" s="52"/>
      <c r="G866" s="7"/>
    </row>
    <row r="867" spans="1:7" x14ac:dyDescent="0.3">
      <c r="A867" s="1"/>
      <c r="B867" s="68" t="s">
        <v>428</v>
      </c>
      <c r="C867" s="54" t="str">
        <f>VLOOKUP(B867,INSUMOS!$B$2:$D$562,2,0)</f>
        <v>ML</v>
      </c>
      <c r="D867" s="11">
        <v>0.05</v>
      </c>
      <c r="E867" s="124">
        <v>1</v>
      </c>
      <c r="F867" s="54">
        <f>VLOOKUP(B867,INSUMOS!$B$2:$D$562,3,0)</f>
        <v>18333.333333333332</v>
      </c>
      <c r="G867" s="13">
        <f>+ROUND((1+D867)*E867*F867,0)</f>
        <v>19250</v>
      </c>
    </row>
    <row r="868" spans="1:7" x14ac:dyDescent="0.3">
      <c r="A868" s="1"/>
      <c r="B868" s="68" t="s">
        <v>429</v>
      </c>
      <c r="C868" s="54" t="str">
        <f>VLOOKUP(B868,INSUMOS!$B$2:$D$562,2,0)</f>
        <v>UND</v>
      </c>
      <c r="D868" s="11"/>
      <c r="E868" s="124">
        <v>0.5</v>
      </c>
      <c r="F868" s="54">
        <f>VLOOKUP(B868,INSUMOS!$B$2:$D$562,3,0)</f>
        <v>3800</v>
      </c>
      <c r="G868" s="13">
        <f>+ROUND((1+D868)*E868*F868,0)</f>
        <v>1900</v>
      </c>
    </row>
    <row r="869" spans="1:7" x14ac:dyDescent="0.3">
      <c r="A869" s="1"/>
      <c r="B869" s="68" t="s">
        <v>430</v>
      </c>
      <c r="C869" s="54" t="str">
        <f>VLOOKUP(B869,INSUMOS!$B$2:$D$562,2,0)</f>
        <v>und</v>
      </c>
      <c r="D869" s="11"/>
      <c r="E869" s="124">
        <v>0.11667</v>
      </c>
      <c r="F869" s="54">
        <f>VLOOKUP(B869,INSUMOS!$B$2:$D$562,3,0)</f>
        <v>15000</v>
      </c>
      <c r="G869" s="13">
        <f>+ROUND((1+D869)*E869*F869,0)</f>
        <v>1750</v>
      </c>
    </row>
    <row r="870" spans="1:7" x14ac:dyDescent="0.3">
      <c r="A870" s="1"/>
      <c r="B870" s="68" t="s">
        <v>372</v>
      </c>
      <c r="C870" s="54" t="str">
        <f>VLOOKUP(B870,INSUMOS!$B$2:$D$562,2,0)</f>
        <v>galon</v>
      </c>
      <c r="D870" s="11"/>
      <c r="E870" s="124">
        <v>2.1999999999999999E-2</v>
      </c>
      <c r="F870" s="54">
        <f>VLOOKUP(B870,INSUMOS!$B$2:$D$562,3,0)</f>
        <v>80000</v>
      </c>
      <c r="G870" s="13">
        <f>+ROUND((1+D870)*E870*F870,0)</f>
        <v>1760</v>
      </c>
    </row>
    <row r="871" spans="1:7" x14ac:dyDescent="0.3">
      <c r="A871" s="1"/>
      <c r="B871" s="68"/>
      <c r="C871" s="54"/>
      <c r="D871" s="11"/>
      <c r="E871" s="124"/>
      <c r="F871" s="54"/>
      <c r="G871" s="13"/>
    </row>
    <row r="872" spans="1:7" x14ac:dyDescent="0.3">
      <c r="A872" s="1"/>
      <c r="B872" s="68"/>
      <c r="C872" s="54"/>
      <c r="D872" s="11"/>
      <c r="E872" s="124"/>
      <c r="F872" s="54"/>
      <c r="G872" s="13"/>
    </row>
    <row r="873" spans="1:7" x14ac:dyDescent="0.3">
      <c r="A873" s="1"/>
      <c r="B873" s="68"/>
      <c r="C873" s="54"/>
      <c r="D873" s="11"/>
      <c r="E873" s="124"/>
      <c r="F873" s="54"/>
      <c r="G873" s="13"/>
    </row>
    <row r="874" spans="1:7" x14ac:dyDescent="0.3">
      <c r="A874" s="1"/>
      <c r="B874" s="68"/>
      <c r="C874" s="54"/>
      <c r="D874" s="11"/>
      <c r="E874" s="124"/>
      <c r="F874" s="54"/>
      <c r="G874" s="13"/>
    </row>
    <row r="875" spans="1:7" ht="17.25" thickBot="1" x14ac:dyDescent="0.35">
      <c r="A875" s="1"/>
      <c r="B875" s="68"/>
      <c r="C875" s="33"/>
      <c r="D875" s="30"/>
      <c r="E875" s="31"/>
      <c r="F875" s="33"/>
      <c r="G875" s="13"/>
    </row>
    <row r="876" spans="1:7" ht="17.25" thickBot="1" x14ac:dyDescent="0.35">
      <c r="A876" s="1"/>
      <c r="B876" s="55" t="s">
        <v>281</v>
      </c>
      <c r="C876" s="56"/>
      <c r="D876" s="56"/>
      <c r="E876" s="57"/>
      <c r="F876" s="58" t="s">
        <v>288</v>
      </c>
      <c r="G876" s="59"/>
    </row>
    <row r="877" spans="1:7" ht="17.25" thickBot="1" x14ac:dyDescent="0.35">
      <c r="A877" s="1"/>
      <c r="B877" s="15" t="s">
        <v>420</v>
      </c>
      <c r="C877" s="16" t="s">
        <v>383</v>
      </c>
      <c r="D877" s="60"/>
      <c r="E877" s="61">
        <v>0.7</v>
      </c>
      <c r="F877" s="16">
        <f>+'FACTOR PRESTACIONAL'!L9</f>
        <v>21501.663682495626</v>
      </c>
      <c r="G877" s="17">
        <f>F877*E877</f>
        <v>15051.164577746937</v>
      </c>
    </row>
    <row r="878" spans="1:7" ht="17.25" thickBot="1" x14ac:dyDescent="0.35">
      <c r="A878" s="1"/>
      <c r="B878" s="15" t="s">
        <v>431</v>
      </c>
      <c r="C878" s="16" t="s">
        <v>374</v>
      </c>
      <c r="D878" s="60"/>
      <c r="E878" s="61">
        <v>1</v>
      </c>
      <c r="F878" s="16">
        <f>+'FACTOR PRESTACIONAL'!L10</f>
        <v>12549.123483333335</v>
      </c>
      <c r="G878" s="17">
        <f>F878*E878</f>
        <v>12549.123483333335</v>
      </c>
    </row>
    <row r="879" spans="1:7" ht="17.25" thickBot="1" x14ac:dyDescent="0.35">
      <c r="A879" s="1"/>
      <c r="B879" s="55" t="s">
        <v>283</v>
      </c>
      <c r="C879" s="56"/>
      <c r="D879" s="56"/>
      <c r="E879" s="57"/>
      <c r="F879" s="58"/>
      <c r="G879" s="59"/>
    </row>
    <row r="880" spans="1:7" ht="17.25" thickBot="1" x14ac:dyDescent="0.35">
      <c r="A880" s="1"/>
      <c r="B880" s="15" t="s">
        <v>310</v>
      </c>
      <c r="C880" s="16" t="s">
        <v>169</v>
      </c>
      <c r="D880" s="60"/>
      <c r="E880" s="61">
        <v>5</v>
      </c>
      <c r="F880" s="16">
        <v>150</v>
      </c>
      <c r="G880" s="17">
        <f>+ROUND((1+D880)*E880*F880,0)</f>
        <v>750</v>
      </c>
    </row>
    <row r="881" spans="1:7" ht="16.5" customHeight="1" thickBot="1" x14ac:dyDescent="0.35">
      <c r="A881" s="1"/>
      <c r="B881" s="62" t="s">
        <v>286</v>
      </c>
      <c r="C881" s="5"/>
      <c r="D881" s="5"/>
      <c r="E881" s="6"/>
      <c r="F881" s="63"/>
      <c r="G881" s="64"/>
    </row>
    <row r="882" spans="1:7" ht="17.25" thickBot="1" x14ac:dyDescent="0.35">
      <c r="A882" s="1"/>
      <c r="B882" s="38" t="s">
        <v>286</v>
      </c>
      <c r="C882" s="47" t="s">
        <v>124</v>
      </c>
      <c r="D882" s="45"/>
      <c r="E882" s="46">
        <v>0.05</v>
      </c>
      <c r="F882" s="41">
        <f>+G878+G877</f>
        <v>27600.288061080271</v>
      </c>
      <c r="G882" s="40">
        <f>+ROUND(E882*F882,0)</f>
        <v>1380</v>
      </c>
    </row>
    <row r="883" spans="1:7" ht="15.6" customHeight="1" thickBot="1" x14ac:dyDescent="0.35">
      <c r="A883" s="1"/>
      <c r="B883" s="2"/>
      <c r="C883" s="39"/>
      <c r="D883" s="18" t="s">
        <v>287</v>
      </c>
      <c r="E883" s="19"/>
      <c r="F883" s="20"/>
      <c r="G883" s="17">
        <f>SUM(G867:G882)</f>
        <v>54390.288061080275</v>
      </c>
    </row>
    <row r="884" spans="1:7" hidden="1" x14ac:dyDescent="0.3">
      <c r="A884" s="1"/>
      <c r="B884" s="2"/>
      <c r="C884" s="3"/>
      <c r="D884" s="21" t="s">
        <v>289</v>
      </c>
      <c r="E884" s="22"/>
      <c r="F884" s="23">
        <f>+F860</f>
        <v>0.25</v>
      </c>
      <c r="G884" s="24">
        <f>+ROUND(G883*F884,0)</f>
        <v>13598</v>
      </c>
    </row>
    <row r="885" spans="1:7" hidden="1" x14ac:dyDescent="0.3">
      <c r="A885" s="1"/>
      <c r="B885" s="2"/>
      <c r="C885" s="3"/>
      <c r="D885" s="25" t="s">
        <v>290</v>
      </c>
      <c r="E885" s="26"/>
      <c r="F885" s="23">
        <f t="shared" ref="F885:F886" si="48">+F861</f>
        <v>0</v>
      </c>
      <c r="G885" s="14">
        <f>+ROUND(G883*F885,0)</f>
        <v>0</v>
      </c>
    </row>
    <row r="886" spans="1:7" ht="17.25" hidden="1" thickBot="1" x14ac:dyDescent="0.35">
      <c r="A886" s="1"/>
      <c r="B886" s="2"/>
      <c r="C886" s="3"/>
      <c r="D886" s="25" t="s">
        <v>291</v>
      </c>
      <c r="E886" s="26"/>
      <c r="F886" s="23">
        <f t="shared" si="48"/>
        <v>0.05</v>
      </c>
      <c r="G886" s="14">
        <f>+ROUND(G883*F886,0)</f>
        <v>2720</v>
      </c>
    </row>
    <row r="887" spans="1:7" ht="17.25" hidden="1" thickBot="1" x14ac:dyDescent="0.35">
      <c r="A887" s="1"/>
      <c r="B887" s="2"/>
      <c r="C887" s="3"/>
      <c r="D887" s="18" t="s">
        <v>10</v>
      </c>
      <c r="E887" s="29"/>
      <c r="F887" s="20"/>
      <c r="G887" s="17">
        <f>SUM(G883:G886)</f>
        <v>70708.288061080268</v>
      </c>
    </row>
    <row r="888" spans="1:7" ht="17.25" thickBot="1" x14ac:dyDescent="0.35">
      <c r="A888" s="1"/>
      <c r="B888" s="2"/>
      <c r="C888" s="3"/>
      <c r="D888" s="121"/>
      <c r="E888" s="122"/>
      <c r="F888" s="39"/>
      <c r="G888" s="39"/>
    </row>
    <row r="889" spans="1:7" ht="50.25" thickBot="1" x14ac:dyDescent="0.35">
      <c r="A889" s="358">
        <f>PPTO!B65</f>
        <v>7.5</v>
      </c>
      <c r="B889" s="359" t="str">
        <f>VLOOKUP(A889,PPTO!$B$8:$D$94,2,0)</f>
        <v>SUMINISTRO, TRANSPORTE  E INSTALACION de Tubería ALL D=6" en desagües primer piso incluye: excavación por metro lineal con pendiente, tubería, y accesorios.)</v>
      </c>
      <c r="C889" s="360" t="s">
        <v>85</v>
      </c>
      <c r="D889" s="361" t="s">
        <v>274</v>
      </c>
      <c r="E889" s="362" t="s">
        <v>275</v>
      </c>
      <c r="F889" s="360" t="s">
        <v>276</v>
      </c>
      <c r="G889" s="363" t="s">
        <v>277</v>
      </c>
    </row>
    <row r="890" spans="1:7" x14ac:dyDescent="0.3">
      <c r="A890" s="1" t="s">
        <v>288</v>
      </c>
      <c r="B890" s="51" t="s">
        <v>278</v>
      </c>
      <c r="C890" s="43"/>
      <c r="D890" s="43"/>
      <c r="E890" s="44"/>
      <c r="F890" s="52"/>
      <c r="G890" s="7"/>
    </row>
    <row r="891" spans="1:7" x14ac:dyDescent="0.3">
      <c r="A891" s="1"/>
      <c r="B891" s="68" t="s">
        <v>432</v>
      </c>
      <c r="C891" s="54" t="str">
        <f>VLOOKUP(B891,INSUMOS!$B$2:$D$562,2,0)</f>
        <v>ML</v>
      </c>
      <c r="D891" s="11"/>
      <c r="E891" s="124">
        <v>1.05</v>
      </c>
      <c r="F891" s="54">
        <v>45000</v>
      </c>
      <c r="G891" s="13">
        <f>+ROUND((1+D891)*E891*F891,0)</f>
        <v>47250</v>
      </c>
    </row>
    <row r="892" spans="1:7" x14ac:dyDescent="0.3">
      <c r="A892" s="1"/>
      <c r="B892" s="68" t="s">
        <v>433</v>
      </c>
      <c r="C892" s="54" t="str">
        <f>VLOOKUP(B892,INSUMOS!$B$2:$D$562,2,0)</f>
        <v>UND</v>
      </c>
      <c r="D892" s="11"/>
      <c r="E892" s="124">
        <v>0.5</v>
      </c>
      <c r="F892" s="54">
        <f>VLOOKUP(B892,INSUMOS!$B$2:$D$562,3,0)</f>
        <v>15000</v>
      </c>
      <c r="G892" s="13">
        <f>+ROUND((1+D892)*E892*F892,0)</f>
        <v>7500</v>
      </c>
    </row>
    <row r="893" spans="1:7" x14ac:dyDescent="0.3">
      <c r="A893" s="1"/>
      <c r="B893" s="68" t="s">
        <v>434</v>
      </c>
      <c r="C893" s="54" t="str">
        <f>VLOOKUP(B893,INSUMOS!$B$2:$D$562,2,0)</f>
        <v>und</v>
      </c>
      <c r="D893" s="11"/>
      <c r="E893" s="124">
        <v>0.11667</v>
      </c>
      <c r="F893" s="54">
        <f>VLOOKUP(B893,INSUMOS!$B$2:$D$562,3,0)</f>
        <v>78000</v>
      </c>
      <c r="G893" s="13">
        <f>+ROUND((1+D893)*E893*F893,0)</f>
        <v>9100</v>
      </c>
    </row>
    <row r="894" spans="1:7" x14ac:dyDescent="0.3">
      <c r="A894" s="1"/>
      <c r="B894" s="68" t="s">
        <v>372</v>
      </c>
      <c r="C894" s="54" t="str">
        <f>VLOOKUP(B894,INSUMOS!$B$2:$D$562,2,0)</f>
        <v>galon</v>
      </c>
      <c r="D894" s="11"/>
      <c r="E894" s="124">
        <v>2.1999999999999999E-2</v>
      </c>
      <c r="F894" s="54">
        <f>VLOOKUP(B894,INSUMOS!$B$2:$D$562,3,0)</f>
        <v>80000</v>
      </c>
      <c r="G894" s="13">
        <f>+ROUND((1+D894)*E894*F894,0)</f>
        <v>1760</v>
      </c>
    </row>
    <row r="895" spans="1:7" x14ac:dyDescent="0.3">
      <c r="A895" s="1"/>
      <c r="B895" s="68"/>
      <c r="C895" s="54"/>
      <c r="D895" s="11"/>
      <c r="E895" s="124"/>
      <c r="F895" s="54"/>
      <c r="G895" s="13"/>
    </row>
    <row r="896" spans="1:7" x14ac:dyDescent="0.3">
      <c r="A896" s="1"/>
      <c r="B896" s="68"/>
      <c r="C896" s="54"/>
      <c r="D896" s="11"/>
      <c r="E896" s="124"/>
      <c r="F896" s="54"/>
      <c r="G896" s="13"/>
    </row>
    <row r="897" spans="1:7" x14ac:dyDescent="0.3">
      <c r="A897" s="1"/>
      <c r="B897" s="68"/>
      <c r="C897" s="54"/>
      <c r="D897" s="11"/>
      <c r="E897" s="124"/>
      <c r="F897" s="54"/>
      <c r="G897" s="13">
        <f t="shared" ref="G897:G899" si="49">+ROUND((1+D897)*E897*F897,0)</f>
        <v>0</v>
      </c>
    </row>
    <row r="898" spans="1:7" x14ac:dyDescent="0.3">
      <c r="A898" s="1"/>
      <c r="B898" s="68"/>
      <c r="C898" s="54"/>
      <c r="D898" s="11"/>
      <c r="E898" s="124"/>
      <c r="F898" s="54"/>
      <c r="G898" s="13">
        <f t="shared" si="49"/>
        <v>0</v>
      </c>
    </row>
    <row r="899" spans="1:7" ht="17.25" thickBot="1" x14ac:dyDescent="0.35">
      <c r="A899" s="1"/>
      <c r="B899" s="68"/>
      <c r="C899" s="33"/>
      <c r="D899" s="30"/>
      <c r="E899" s="31"/>
      <c r="F899" s="33"/>
      <c r="G899" s="32">
        <f t="shared" si="49"/>
        <v>0</v>
      </c>
    </row>
    <row r="900" spans="1:7" ht="17.25" thickBot="1" x14ac:dyDescent="0.35">
      <c r="A900" s="1"/>
      <c r="B900" s="55" t="s">
        <v>281</v>
      </c>
      <c r="C900" s="56"/>
      <c r="D900" s="56"/>
      <c r="E900" s="57"/>
      <c r="F900" s="58" t="s">
        <v>288</v>
      </c>
      <c r="G900" s="59"/>
    </row>
    <row r="901" spans="1:7" ht="17.25" thickBot="1" x14ac:dyDescent="0.35">
      <c r="A901" s="1"/>
      <c r="B901" s="15" t="s">
        <v>420</v>
      </c>
      <c r="C901" s="16" t="s">
        <v>169</v>
      </c>
      <c r="D901" s="60"/>
      <c r="E901" s="61">
        <v>0.7</v>
      </c>
      <c r="F901" s="16">
        <f>+F877</f>
        <v>21501.663682495626</v>
      </c>
      <c r="G901" s="17">
        <f>F901*E901</f>
        <v>15051.164577746937</v>
      </c>
    </row>
    <row r="902" spans="1:7" ht="17.25" thickBot="1" x14ac:dyDescent="0.35">
      <c r="A902" s="1"/>
      <c r="B902" s="15" t="s">
        <v>431</v>
      </c>
      <c r="C902" s="16" t="s">
        <v>15</v>
      </c>
      <c r="D902" s="60"/>
      <c r="E902" s="61">
        <v>1</v>
      </c>
      <c r="F902" s="16">
        <f>+F878</f>
        <v>12549.123483333335</v>
      </c>
      <c r="G902" s="17">
        <f>F902*E902</f>
        <v>12549.123483333335</v>
      </c>
    </row>
    <row r="903" spans="1:7" ht="17.25" thickBot="1" x14ac:dyDescent="0.35">
      <c r="A903" s="1"/>
      <c r="B903" s="55" t="s">
        <v>283</v>
      </c>
      <c r="C903" s="56"/>
      <c r="D903" s="56"/>
      <c r="E903" s="57"/>
      <c r="F903" s="58"/>
      <c r="G903" s="59"/>
    </row>
    <row r="904" spans="1:7" ht="17.25" thickBot="1" x14ac:dyDescent="0.35">
      <c r="A904" s="1"/>
      <c r="B904" s="15" t="s">
        <v>310</v>
      </c>
      <c r="C904" s="16" t="s">
        <v>169</v>
      </c>
      <c r="D904" s="60"/>
      <c r="E904" s="61">
        <v>5</v>
      </c>
      <c r="F904" s="16">
        <v>150</v>
      </c>
      <c r="G904" s="17">
        <f>+ROUND((1+D904)*E904*F904,0)</f>
        <v>750</v>
      </c>
    </row>
    <row r="905" spans="1:7" ht="17.25" thickBot="1" x14ac:dyDescent="0.35">
      <c r="A905" s="1"/>
      <c r="B905" s="62" t="s">
        <v>286</v>
      </c>
      <c r="C905" s="5"/>
      <c r="D905" s="5"/>
      <c r="E905" s="6"/>
      <c r="F905" s="63"/>
      <c r="G905" s="64"/>
    </row>
    <row r="906" spans="1:7" ht="17.25" thickBot="1" x14ac:dyDescent="0.35">
      <c r="A906" s="1"/>
      <c r="B906" s="38" t="s">
        <v>286</v>
      </c>
      <c r="C906" s="47" t="s">
        <v>124</v>
      </c>
      <c r="D906" s="45"/>
      <c r="E906" s="46">
        <v>0.05</v>
      </c>
      <c r="F906" s="41">
        <f>+G902+G901</f>
        <v>27600.288061080271</v>
      </c>
      <c r="G906" s="40">
        <f>+ROUND(E906*F906,0)</f>
        <v>1380</v>
      </c>
    </row>
    <row r="907" spans="1:7" ht="17.25" thickBot="1" x14ac:dyDescent="0.35">
      <c r="A907" s="1"/>
      <c r="B907" s="2"/>
      <c r="C907" s="39"/>
      <c r="D907" s="18" t="s">
        <v>287</v>
      </c>
      <c r="E907" s="19"/>
      <c r="F907" s="20"/>
      <c r="G907" s="17">
        <f>SUM(G891:G906)</f>
        <v>95340.288061080268</v>
      </c>
    </row>
    <row r="908" spans="1:7" hidden="1" x14ac:dyDescent="0.3">
      <c r="A908" s="1"/>
      <c r="B908" s="2"/>
      <c r="C908" s="3"/>
      <c r="D908" s="21" t="s">
        <v>289</v>
      </c>
      <c r="E908" s="22"/>
      <c r="F908" s="23">
        <f>+F883</f>
        <v>0</v>
      </c>
      <c r="G908" s="24">
        <f>+ROUND(G907*F908,0)</f>
        <v>0</v>
      </c>
    </row>
    <row r="909" spans="1:7" hidden="1" x14ac:dyDescent="0.3">
      <c r="A909" s="1"/>
      <c r="B909" s="2"/>
      <c r="C909" s="3"/>
      <c r="D909" s="25" t="s">
        <v>290</v>
      </c>
      <c r="E909" s="26"/>
      <c r="F909" s="23">
        <f>+F884</f>
        <v>0.25</v>
      </c>
      <c r="G909" s="14">
        <f>+ROUND(G907*F909,0)</f>
        <v>23835</v>
      </c>
    </row>
    <row r="910" spans="1:7" ht="17.25" hidden="1" thickBot="1" x14ac:dyDescent="0.35">
      <c r="A910" s="1"/>
      <c r="B910" s="2"/>
      <c r="C910" s="3"/>
      <c r="D910" s="25" t="s">
        <v>291</v>
      </c>
      <c r="E910" s="26"/>
      <c r="F910" s="23">
        <f>+F885</f>
        <v>0</v>
      </c>
      <c r="G910" s="14">
        <f>+ROUND(G907*F910,0)</f>
        <v>0</v>
      </c>
    </row>
    <row r="911" spans="1:7" ht="17.25" hidden="1" thickBot="1" x14ac:dyDescent="0.35">
      <c r="A911" s="1"/>
      <c r="B911" s="2"/>
      <c r="C911" s="3"/>
      <c r="D911" s="18" t="s">
        <v>10</v>
      </c>
      <c r="E911" s="29"/>
      <c r="F911" s="20"/>
      <c r="G911" s="17">
        <f>SUM(G907:G910)</f>
        <v>119175.28806108027</v>
      </c>
    </row>
    <row r="912" spans="1:7" ht="17.25" thickBot="1" x14ac:dyDescent="0.35">
      <c r="A912" s="1"/>
      <c r="B912" s="2"/>
      <c r="C912" s="3"/>
      <c r="D912" s="121"/>
      <c r="E912" s="122"/>
      <c r="F912" s="39"/>
      <c r="G912" s="39"/>
    </row>
    <row r="913" spans="1:7" ht="50.25" thickBot="1" x14ac:dyDescent="0.35">
      <c r="A913" s="358">
        <v>7.6</v>
      </c>
      <c r="B913" s="359" t="str">
        <f>VLOOKUP(A913,PPTO!$B$8:$D$94,2,0)</f>
        <v>SUMINISTRO, TRANSPORTE  E INSTALACION de Tubería PVC 4" en desagües primer piso incluye: excavación por metro lineal con pendiente, tubería, y accesorios.)</v>
      </c>
      <c r="C913" s="360" t="s">
        <v>85</v>
      </c>
      <c r="D913" s="361" t="s">
        <v>274</v>
      </c>
      <c r="E913" s="362" t="s">
        <v>275</v>
      </c>
      <c r="F913" s="360" t="s">
        <v>276</v>
      </c>
      <c r="G913" s="363" t="s">
        <v>277</v>
      </c>
    </row>
    <row r="914" spans="1:7" x14ac:dyDescent="0.3">
      <c r="A914" s="1" t="s">
        <v>288</v>
      </c>
      <c r="B914" s="51" t="s">
        <v>278</v>
      </c>
      <c r="C914" s="43"/>
      <c r="D914" s="43"/>
      <c r="E914" s="44"/>
      <c r="F914" s="52"/>
      <c r="G914" s="7"/>
    </row>
    <row r="915" spans="1:7" x14ac:dyDescent="0.3">
      <c r="A915" s="1"/>
      <c r="B915" s="68" t="s">
        <v>428</v>
      </c>
      <c r="C915" s="54" t="str">
        <f>VLOOKUP(B915,INSUMOS!$B$2:$D$562,2,0)</f>
        <v>ML</v>
      </c>
      <c r="D915" s="11">
        <v>0.05</v>
      </c>
      <c r="E915" s="124">
        <v>1</v>
      </c>
      <c r="F915" s="54">
        <f>VLOOKUP(B915,INSUMOS!$B$2:$D$562,3,0)</f>
        <v>18333.333333333332</v>
      </c>
      <c r="G915" s="13">
        <f>+ROUND((1+D915)*E915*F915,0)</f>
        <v>19250</v>
      </c>
    </row>
    <row r="916" spans="1:7" x14ac:dyDescent="0.3">
      <c r="A916" s="1"/>
      <c r="B916" s="68" t="s">
        <v>429</v>
      </c>
      <c r="C916" s="54" t="str">
        <f>VLOOKUP(B916,INSUMOS!$B$2:$D$562,2,0)</f>
        <v>UND</v>
      </c>
      <c r="D916" s="11"/>
      <c r="E916" s="124">
        <v>0.5</v>
      </c>
      <c r="F916" s="54">
        <f>VLOOKUP(B916,INSUMOS!$B$2:$D$562,3,0)</f>
        <v>3800</v>
      </c>
      <c r="G916" s="13">
        <f>+ROUND((1+D916)*E916*F916,0)</f>
        <v>1900</v>
      </c>
    </row>
    <row r="917" spans="1:7" x14ac:dyDescent="0.3">
      <c r="A917" s="1"/>
      <c r="B917" s="68" t="s">
        <v>430</v>
      </c>
      <c r="C917" s="54" t="str">
        <f>VLOOKUP(B917,INSUMOS!$B$2:$D$562,2,0)</f>
        <v>und</v>
      </c>
      <c r="D917" s="11"/>
      <c r="E917" s="124">
        <v>0.11667</v>
      </c>
      <c r="F917" s="54">
        <f>VLOOKUP(B917,INSUMOS!$B$2:$D$562,3,0)</f>
        <v>15000</v>
      </c>
      <c r="G917" s="13">
        <f>+ROUND((1+D917)*E917*F917,0)</f>
        <v>1750</v>
      </c>
    </row>
    <row r="918" spans="1:7" x14ac:dyDescent="0.3">
      <c r="A918" s="1"/>
      <c r="B918" s="68" t="s">
        <v>372</v>
      </c>
      <c r="C918" s="54" t="str">
        <f>VLOOKUP(B918,INSUMOS!$B$2:$D$562,2,0)</f>
        <v>galon</v>
      </c>
      <c r="D918" s="11"/>
      <c r="E918" s="124">
        <v>2.1999999999999999E-2</v>
      </c>
      <c r="F918" s="54">
        <f>VLOOKUP(B918,INSUMOS!$B$2:$D$562,3,0)</f>
        <v>80000</v>
      </c>
      <c r="G918" s="13">
        <f>+ROUND((1+D918)*E918*F918,0)</f>
        <v>1760</v>
      </c>
    </row>
    <row r="919" spans="1:7" x14ac:dyDescent="0.3">
      <c r="A919" s="1"/>
      <c r="B919" s="68"/>
      <c r="C919" s="54"/>
      <c r="D919" s="11"/>
      <c r="E919" s="124"/>
      <c r="F919" s="54"/>
      <c r="G919" s="13"/>
    </row>
    <row r="920" spans="1:7" x14ac:dyDescent="0.3">
      <c r="A920" s="1"/>
      <c r="B920" s="68"/>
      <c r="C920" s="54"/>
      <c r="D920" s="11"/>
      <c r="E920" s="124"/>
      <c r="F920" s="54"/>
      <c r="G920" s="13"/>
    </row>
    <row r="921" spans="1:7" x14ac:dyDescent="0.3">
      <c r="A921" s="1"/>
      <c r="B921" s="68"/>
      <c r="C921" s="54"/>
      <c r="D921" s="11"/>
      <c r="E921" s="124"/>
      <c r="F921" s="54"/>
      <c r="G921" s="13"/>
    </row>
    <row r="922" spans="1:7" x14ac:dyDescent="0.3">
      <c r="A922" s="1"/>
      <c r="B922" s="68"/>
      <c r="C922" s="54"/>
      <c r="D922" s="11"/>
      <c r="E922" s="124"/>
      <c r="F922" s="54"/>
      <c r="G922" s="13"/>
    </row>
    <row r="923" spans="1:7" ht="17.25" thickBot="1" x14ac:dyDescent="0.35">
      <c r="A923" s="1"/>
      <c r="B923" s="68"/>
      <c r="C923" s="33"/>
      <c r="D923" s="30"/>
      <c r="E923" s="31"/>
      <c r="F923" s="33"/>
      <c r="G923" s="13"/>
    </row>
    <row r="924" spans="1:7" ht="17.25" thickBot="1" x14ac:dyDescent="0.35">
      <c r="A924" s="1"/>
      <c r="B924" s="55" t="s">
        <v>281</v>
      </c>
      <c r="C924" s="56"/>
      <c r="D924" s="56"/>
      <c r="E924" s="57"/>
      <c r="F924" s="58" t="s">
        <v>288</v>
      </c>
      <c r="G924" s="59"/>
    </row>
    <row r="925" spans="1:7" ht="17.25" thickBot="1" x14ac:dyDescent="0.35">
      <c r="A925" s="1"/>
      <c r="B925" s="15" t="s">
        <v>420</v>
      </c>
      <c r="C925" s="16" t="s">
        <v>383</v>
      </c>
      <c r="D925" s="60"/>
      <c r="E925" s="61">
        <v>0.7</v>
      </c>
      <c r="F925" s="16">
        <f>+F901</f>
        <v>21501.663682495626</v>
      </c>
      <c r="G925" s="17">
        <f>F925*E925</f>
        <v>15051.164577746937</v>
      </c>
    </row>
    <row r="926" spans="1:7" ht="17.25" thickBot="1" x14ac:dyDescent="0.35">
      <c r="A926" s="1"/>
      <c r="B926" s="15" t="s">
        <v>431</v>
      </c>
      <c r="C926" s="16" t="s">
        <v>374</v>
      </c>
      <c r="D926" s="60"/>
      <c r="E926" s="61">
        <v>1</v>
      </c>
      <c r="F926" s="16">
        <f>+F902</f>
        <v>12549.123483333335</v>
      </c>
      <c r="G926" s="17">
        <f>F926*E926</f>
        <v>12549.123483333335</v>
      </c>
    </row>
    <row r="927" spans="1:7" ht="17.25" thickBot="1" x14ac:dyDescent="0.35">
      <c r="A927" s="1"/>
      <c r="B927" s="55" t="s">
        <v>283</v>
      </c>
      <c r="C927" s="56"/>
      <c r="D927" s="56"/>
      <c r="E927" s="57"/>
      <c r="F927" s="58"/>
      <c r="G927" s="59"/>
    </row>
    <row r="928" spans="1:7" ht="17.25" thickBot="1" x14ac:dyDescent="0.35">
      <c r="A928" s="1"/>
      <c r="B928" s="15" t="s">
        <v>310</v>
      </c>
      <c r="C928" s="16" t="s">
        <v>169</v>
      </c>
      <c r="D928" s="60"/>
      <c r="E928" s="61">
        <v>5</v>
      </c>
      <c r="F928" s="16">
        <v>150</v>
      </c>
      <c r="G928" s="17">
        <f>+ROUND((1+D928)*E928*F928,0)</f>
        <v>750</v>
      </c>
    </row>
    <row r="929" spans="1:7" ht="17.25" thickBot="1" x14ac:dyDescent="0.35">
      <c r="A929" s="1"/>
      <c r="B929" s="62" t="s">
        <v>286</v>
      </c>
      <c r="C929" s="5"/>
      <c r="D929" s="5"/>
      <c r="E929" s="6"/>
      <c r="F929" s="63"/>
      <c r="G929" s="64"/>
    </row>
    <row r="930" spans="1:7" ht="17.25" thickBot="1" x14ac:dyDescent="0.35">
      <c r="A930" s="1"/>
      <c r="B930" s="38" t="s">
        <v>286</v>
      </c>
      <c r="C930" s="47" t="s">
        <v>124</v>
      </c>
      <c r="D930" s="45"/>
      <c r="E930" s="46">
        <v>0.05</v>
      </c>
      <c r="F930" s="41">
        <f>+G926+G925</f>
        <v>27600.288061080271</v>
      </c>
      <c r="G930" s="40">
        <f>+ROUND(E930*F930,0)</f>
        <v>1380</v>
      </c>
    </row>
    <row r="931" spans="1:7" ht="17.25" thickBot="1" x14ac:dyDescent="0.35">
      <c r="A931" s="1"/>
      <c r="B931" s="2"/>
      <c r="C931" s="39"/>
      <c r="D931" s="18" t="s">
        <v>287</v>
      </c>
      <c r="E931" s="19"/>
      <c r="F931" s="20"/>
      <c r="G931" s="17">
        <f>SUM(G915:G930)</f>
        <v>54390.288061080275</v>
      </c>
    </row>
    <row r="932" spans="1:7" hidden="1" x14ac:dyDescent="0.3">
      <c r="A932" s="1"/>
      <c r="B932" s="2"/>
      <c r="C932" s="3"/>
      <c r="D932" s="21" t="s">
        <v>289</v>
      </c>
      <c r="E932" s="22"/>
      <c r="F932" s="23">
        <f>+F908</f>
        <v>0</v>
      </c>
      <c r="G932" s="24">
        <f>+ROUND(G931*F932,0)</f>
        <v>0</v>
      </c>
    </row>
    <row r="933" spans="1:7" hidden="1" x14ac:dyDescent="0.3">
      <c r="A933" s="1"/>
      <c r="B933" s="2"/>
      <c r="C933" s="3"/>
      <c r="D933" s="25" t="s">
        <v>290</v>
      </c>
      <c r="E933" s="26"/>
      <c r="F933" s="23">
        <f t="shared" ref="F933:F934" si="50">+F909</f>
        <v>0.25</v>
      </c>
      <c r="G933" s="14">
        <f>+ROUND(G931*F933,0)</f>
        <v>13598</v>
      </c>
    </row>
    <row r="934" spans="1:7" ht="17.25" hidden="1" thickBot="1" x14ac:dyDescent="0.35">
      <c r="A934" s="1"/>
      <c r="B934" s="2"/>
      <c r="C934" s="3"/>
      <c r="D934" s="25" t="s">
        <v>291</v>
      </c>
      <c r="E934" s="26"/>
      <c r="F934" s="23">
        <f t="shared" si="50"/>
        <v>0</v>
      </c>
      <c r="G934" s="14">
        <f>+ROUND(G931*F934,0)</f>
        <v>0</v>
      </c>
    </row>
    <row r="935" spans="1:7" ht="17.25" hidden="1" thickBot="1" x14ac:dyDescent="0.35">
      <c r="A935" s="1"/>
      <c r="B935" s="2"/>
      <c r="C935" s="3"/>
      <c r="D935" s="18" t="s">
        <v>10</v>
      </c>
      <c r="E935" s="29"/>
      <c r="F935" s="20"/>
      <c r="G935" s="17">
        <f>SUM(G931:G934)</f>
        <v>67988.288061080268</v>
      </c>
    </row>
    <row r="936" spans="1:7" ht="17.25" thickBot="1" x14ac:dyDescent="0.35">
      <c r="A936" s="1"/>
      <c r="B936" s="2"/>
      <c r="C936" s="3"/>
      <c r="D936" s="121"/>
      <c r="E936" s="122"/>
      <c r="F936" s="39"/>
      <c r="G936" s="39"/>
    </row>
    <row r="937" spans="1:7" ht="50.25" thickBot="1" x14ac:dyDescent="0.35">
      <c r="A937" s="358">
        <f>PPTO!B67</f>
        <v>7.7</v>
      </c>
      <c r="B937" s="359" t="str">
        <f>VLOOKUP(A937,PPTO!$B$8:$D$94,2,0)</f>
        <v xml:space="preserve"> SUMINISTRO, TRANSPORTE  E INSTALACION de Canastilla para lavaplatos con rejilla extraíble, set de tubería y empaques incluidos para evitar fugas, dos mangueras de alimentación con acoples para el agua</v>
      </c>
      <c r="C937" s="360" t="s">
        <v>85</v>
      </c>
      <c r="D937" s="361" t="s">
        <v>274</v>
      </c>
      <c r="E937" s="362" t="s">
        <v>275</v>
      </c>
      <c r="F937" s="360" t="s">
        <v>276</v>
      </c>
      <c r="G937" s="363" t="s">
        <v>277</v>
      </c>
    </row>
    <row r="938" spans="1:7" x14ac:dyDescent="0.3">
      <c r="A938" s="1" t="s">
        <v>288</v>
      </c>
      <c r="B938" s="51" t="s">
        <v>278</v>
      </c>
      <c r="C938" s="43"/>
      <c r="D938" s="43"/>
      <c r="E938" s="44"/>
      <c r="F938" s="52"/>
      <c r="G938" s="7"/>
    </row>
    <row r="939" spans="1:7" x14ac:dyDescent="0.3">
      <c r="A939" s="1"/>
      <c r="B939" s="68" t="s">
        <v>435</v>
      </c>
      <c r="C939" s="54" t="str">
        <f>VLOOKUP(B939,INSUMOS!$B$2:$D$562,2,0)</f>
        <v>un</v>
      </c>
      <c r="D939" s="11"/>
      <c r="E939" s="124">
        <v>1</v>
      </c>
      <c r="F939" s="54">
        <f>VLOOKUP(B939,INSUMOS!$B$2:$D$562,3,0)</f>
        <v>1190000</v>
      </c>
      <c r="G939" s="13">
        <f>+ROUND((1+D939)*E939*F939,0)</f>
        <v>1190000</v>
      </c>
    </row>
    <row r="940" spans="1:7" x14ac:dyDescent="0.3">
      <c r="A940" s="1"/>
      <c r="B940" s="68"/>
      <c r="C940" s="54"/>
      <c r="D940" s="11"/>
      <c r="E940" s="124"/>
      <c r="F940" s="54"/>
      <c r="G940" s="13">
        <f>+ROUND((1+D940)*E940*F940,0)</f>
        <v>0</v>
      </c>
    </row>
    <row r="941" spans="1:7" x14ac:dyDescent="0.3">
      <c r="A941" s="1"/>
      <c r="B941" s="68"/>
      <c r="C941" s="54"/>
      <c r="D941" s="11"/>
      <c r="E941" s="124"/>
      <c r="F941" s="54"/>
      <c r="G941" s="13">
        <f>+ROUND((1+D941)*E941*F941,0)</f>
        <v>0</v>
      </c>
    </row>
    <row r="942" spans="1:7" x14ac:dyDescent="0.3">
      <c r="A942" s="1"/>
      <c r="B942" s="68"/>
      <c r="C942" s="54"/>
      <c r="D942" s="11"/>
      <c r="E942" s="124"/>
      <c r="F942" s="54"/>
      <c r="G942" s="13">
        <f>+ROUND((1+D942)*E942*F942,0)</f>
        <v>0</v>
      </c>
    </row>
    <row r="943" spans="1:7" x14ac:dyDescent="0.3">
      <c r="A943" s="1"/>
      <c r="B943" s="68"/>
      <c r="C943" s="54"/>
      <c r="D943" s="11"/>
      <c r="E943" s="124"/>
      <c r="F943" s="54"/>
      <c r="G943" s="13"/>
    </row>
    <row r="944" spans="1:7" x14ac:dyDescent="0.3">
      <c r="A944" s="1"/>
      <c r="B944" s="68"/>
      <c r="C944" s="54"/>
      <c r="D944" s="11"/>
      <c r="E944" s="124"/>
      <c r="F944" s="54"/>
      <c r="G944" s="13"/>
    </row>
    <row r="945" spans="1:7" x14ac:dyDescent="0.3">
      <c r="A945" s="1"/>
      <c r="B945" s="68"/>
      <c r="C945" s="54"/>
      <c r="D945" s="11"/>
      <c r="E945" s="124"/>
      <c r="F945" s="54"/>
      <c r="G945" s="13">
        <f t="shared" ref="G945:G947" si="51">+ROUND((1+D945)*E945*F945,0)</f>
        <v>0</v>
      </c>
    </row>
    <row r="946" spans="1:7" x14ac:dyDescent="0.3">
      <c r="A946" s="1"/>
      <c r="B946" s="68"/>
      <c r="C946" s="54"/>
      <c r="D946" s="11"/>
      <c r="E946" s="124"/>
      <c r="F946" s="54"/>
      <c r="G946" s="13">
        <f t="shared" si="51"/>
        <v>0</v>
      </c>
    </row>
    <row r="947" spans="1:7" ht="17.25" thickBot="1" x14ac:dyDescent="0.35">
      <c r="A947" s="1"/>
      <c r="B947" s="68"/>
      <c r="C947" s="33"/>
      <c r="D947" s="30"/>
      <c r="E947" s="31"/>
      <c r="F947" s="33"/>
      <c r="G947" s="32">
        <f t="shared" si="51"/>
        <v>0</v>
      </c>
    </row>
    <row r="948" spans="1:7" ht="17.25" thickBot="1" x14ac:dyDescent="0.35">
      <c r="A948" s="1"/>
      <c r="B948" s="55" t="s">
        <v>281</v>
      </c>
      <c r="C948" s="56"/>
      <c r="D948" s="56"/>
      <c r="E948" s="57"/>
      <c r="F948" s="58" t="s">
        <v>288</v>
      </c>
      <c r="G948" s="59"/>
    </row>
    <row r="949" spans="1:7" ht="17.25" thickBot="1" x14ac:dyDescent="0.35">
      <c r="A949" s="1"/>
      <c r="B949" s="15" t="s">
        <v>420</v>
      </c>
      <c r="C949" s="16" t="s">
        <v>374</v>
      </c>
      <c r="D949" s="60"/>
      <c r="E949" s="61">
        <v>0.3</v>
      </c>
      <c r="F949" s="16">
        <f>+'FACTOR PRESTACIONAL'!L9+'FACTOR PRESTACIONAL'!L10</f>
        <v>34050.787165828959</v>
      </c>
      <c r="G949" s="17">
        <f>F949*E949</f>
        <v>10215.236149748687</v>
      </c>
    </row>
    <row r="950" spans="1:7" ht="17.25" thickBot="1" x14ac:dyDescent="0.35">
      <c r="A950" s="1"/>
      <c r="B950" s="55" t="s">
        <v>283</v>
      </c>
      <c r="C950" s="56"/>
      <c r="D950" s="56"/>
      <c r="E950" s="57"/>
      <c r="F950" s="58"/>
      <c r="G950" s="59"/>
    </row>
    <row r="951" spans="1:7" ht="17.25" thickBot="1" x14ac:dyDescent="0.35">
      <c r="A951" s="1"/>
      <c r="B951" s="15" t="s">
        <v>310</v>
      </c>
      <c r="C951" s="16" t="s">
        <v>169</v>
      </c>
      <c r="D951" s="60"/>
      <c r="E951" s="61">
        <v>5</v>
      </c>
      <c r="F951" s="16">
        <v>150</v>
      </c>
      <c r="G951" s="17">
        <f>+ROUND((1+D951)*E951*F951,0)</f>
        <v>750</v>
      </c>
    </row>
    <row r="952" spans="1:7" ht="17.25" thickBot="1" x14ac:dyDescent="0.35">
      <c r="A952" s="1"/>
      <c r="B952" s="62" t="s">
        <v>286</v>
      </c>
      <c r="C952" s="5"/>
      <c r="D952" s="5"/>
      <c r="E952" s="6"/>
      <c r="F952" s="63"/>
      <c r="G952" s="64"/>
    </row>
    <row r="953" spans="1:7" ht="17.25" thickBot="1" x14ac:dyDescent="0.35">
      <c r="A953" s="1"/>
      <c r="B953" s="38" t="s">
        <v>286</v>
      </c>
      <c r="C953" s="47" t="s">
        <v>124</v>
      </c>
      <c r="D953" s="45"/>
      <c r="E953" s="46">
        <v>0.05</v>
      </c>
      <c r="F953" s="41">
        <f>G949</f>
        <v>10215.236149748687</v>
      </c>
      <c r="G953" s="40">
        <f>+ROUND(E953*F953,0)</f>
        <v>511</v>
      </c>
    </row>
    <row r="954" spans="1:7" ht="17.25" thickBot="1" x14ac:dyDescent="0.35">
      <c r="A954" s="1"/>
      <c r="B954" s="2"/>
      <c r="C954" s="39"/>
      <c r="D954" s="18" t="s">
        <v>287</v>
      </c>
      <c r="E954" s="19"/>
      <c r="F954" s="20"/>
      <c r="G954" s="17">
        <f>SUM(G939:G953)</f>
        <v>1201476.2361497488</v>
      </c>
    </row>
    <row r="955" spans="1:7" hidden="1" x14ac:dyDescent="0.3">
      <c r="A955" s="1"/>
      <c r="B955" s="2"/>
      <c r="C955" s="3"/>
      <c r="D955" s="21" t="s">
        <v>289</v>
      </c>
      <c r="E955" s="22"/>
      <c r="F955" s="23" t="e">
        <f>+#REF!</f>
        <v>#REF!</v>
      </c>
      <c r="G955" s="24" t="e">
        <f>+ROUND(G954*F955,0)</f>
        <v>#REF!</v>
      </c>
    </row>
    <row r="956" spans="1:7" hidden="1" x14ac:dyDescent="0.3">
      <c r="A956" s="1"/>
      <c r="B956" s="2"/>
      <c r="C956" s="3"/>
      <c r="D956" s="25" t="s">
        <v>290</v>
      </c>
      <c r="E956" s="26"/>
      <c r="F956" s="23" t="e">
        <f>+#REF!</f>
        <v>#REF!</v>
      </c>
      <c r="G956" s="14" t="e">
        <f>+ROUND(G954*F956,0)</f>
        <v>#REF!</v>
      </c>
    </row>
    <row r="957" spans="1:7" ht="17.25" hidden="1" thickBot="1" x14ac:dyDescent="0.35">
      <c r="A957" s="1"/>
      <c r="B957" s="2"/>
      <c r="C957" s="3"/>
      <c r="D957" s="25" t="s">
        <v>291</v>
      </c>
      <c r="E957" s="26"/>
      <c r="F957" s="23" t="e">
        <f>+#REF!</f>
        <v>#REF!</v>
      </c>
      <c r="G957" s="14" t="e">
        <f>+ROUND(G954*F957,0)</f>
        <v>#REF!</v>
      </c>
    </row>
    <row r="958" spans="1:7" ht="17.25" hidden="1" thickBot="1" x14ac:dyDescent="0.35">
      <c r="A958" s="1"/>
      <c r="B958" s="2"/>
      <c r="C958" s="3"/>
      <c r="D958" s="18" t="s">
        <v>10</v>
      </c>
      <c r="E958" s="29"/>
      <c r="F958" s="20"/>
      <c r="G958" s="17" t="e">
        <f>SUM(G954:G957)</f>
        <v>#REF!</v>
      </c>
    </row>
    <row r="959" spans="1:7" ht="17.25" thickBot="1" x14ac:dyDescent="0.35">
      <c r="A959" s="1"/>
      <c r="B959" s="2"/>
      <c r="C959" s="3"/>
      <c r="D959" s="121"/>
      <c r="E959" s="122"/>
      <c r="F959" s="39"/>
      <c r="G959" s="39"/>
    </row>
    <row r="960" spans="1:7" ht="30.6" customHeight="1" thickBot="1" x14ac:dyDescent="0.35">
      <c r="A960" s="358">
        <f>PPTO!B68</f>
        <v>7.8</v>
      </c>
      <c r="B960" s="359" t="str">
        <f>VLOOKUP(A960,PPTO!$B$8:$D$94,2,0)</f>
        <v>SUMINISTO, TRANSPORTE E INSTALACION DE CANOA EN LAMINA GALVANIZADA Cal .22 d/ 0.40 m. Suministro e instalación con 2 manos de anticorrosivo WASH PRIMER + esmalte + anclaje a muro + sikaflex 1A</v>
      </c>
      <c r="C960" s="360" t="s">
        <v>85</v>
      </c>
      <c r="D960" s="361" t="s">
        <v>274</v>
      </c>
      <c r="E960" s="362" t="s">
        <v>275</v>
      </c>
      <c r="F960" s="360" t="s">
        <v>276</v>
      </c>
      <c r="G960" s="363" t="s">
        <v>277</v>
      </c>
    </row>
    <row r="961" spans="1:7" x14ac:dyDescent="0.3">
      <c r="A961" s="1" t="s">
        <v>288</v>
      </c>
      <c r="B961" s="51" t="s">
        <v>278</v>
      </c>
      <c r="C961" s="43"/>
      <c r="D961" s="43"/>
      <c r="E961" s="44"/>
      <c r="F961" s="52"/>
      <c r="G961" s="7"/>
    </row>
    <row r="962" spans="1:7" x14ac:dyDescent="0.3">
      <c r="A962" s="1"/>
      <c r="B962" s="68" t="s">
        <v>436</v>
      </c>
      <c r="C962" s="54" t="str">
        <f>VLOOKUP(B962,INSUMOS!$B$2:$D$562,2,0)</f>
        <v>m</v>
      </c>
      <c r="D962" s="11"/>
      <c r="E962" s="124">
        <v>1</v>
      </c>
      <c r="F962" s="54">
        <f>VLOOKUP(B962,INSUMOS!$B$2:$D$562,3,0)</f>
        <v>60000</v>
      </c>
      <c r="G962" s="13">
        <f t="shared" ref="G962:G967" si="52">+ROUND((1+D962)*E962*F962,0)</f>
        <v>60000</v>
      </c>
    </row>
    <row r="963" spans="1:7" x14ac:dyDescent="0.3">
      <c r="A963" s="1"/>
      <c r="B963" s="68" t="s">
        <v>337</v>
      </c>
      <c r="C963" s="54" t="str">
        <f>VLOOKUP(B963,INSUMOS!$B$2:$D$562,2,0)</f>
        <v>GLN</v>
      </c>
      <c r="D963" s="11"/>
      <c r="E963" s="124">
        <v>2.5000000000000001E-2</v>
      </c>
      <c r="F963" s="54">
        <f>VLOOKUP(B963,INSUMOS!$B$2:$D$562,3,0)</f>
        <v>89375</v>
      </c>
      <c r="G963" s="13">
        <f t="shared" si="52"/>
        <v>2234</v>
      </c>
    </row>
    <row r="964" spans="1:7" x14ac:dyDescent="0.3">
      <c r="A964" s="1"/>
      <c r="B964" s="68" t="s">
        <v>338</v>
      </c>
      <c r="C964" s="54" t="str">
        <f>VLOOKUP(B964,INSUMOS!$B$2:$D$562,2,0)</f>
        <v>GLN</v>
      </c>
      <c r="D964" s="11"/>
      <c r="E964" s="124">
        <v>1.4999999999999999E-2</v>
      </c>
      <c r="F964" s="54">
        <f>VLOOKUP(B964,INSUMOS!$B$2:$D$562,3,0)</f>
        <v>103125.00000000001</v>
      </c>
      <c r="G964" s="13">
        <f t="shared" si="52"/>
        <v>1547</v>
      </c>
    </row>
    <row r="965" spans="1:7" x14ac:dyDescent="0.3">
      <c r="A965" s="1"/>
      <c r="B965" s="68" t="s">
        <v>363</v>
      </c>
      <c r="C965" s="54" t="str">
        <f>VLOOKUP(B965,INSUMOS!$B$2:$D$562,2,0)</f>
        <v>un</v>
      </c>
      <c r="D965" s="11"/>
      <c r="E965" s="124">
        <v>14</v>
      </c>
      <c r="F965" s="54">
        <f>VLOOKUP(B965,INSUMOS!$B$2:$D$562,3,0)</f>
        <v>121.00000000000001</v>
      </c>
      <c r="G965" s="13">
        <f t="shared" si="52"/>
        <v>1694</v>
      </c>
    </row>
    <row r="966" spans="1:7" x14ac:dyDescent="0.3">
      <c r="A966" s="1"/>
      <c r="B966" s="68" t="s">
        <v>324</v>
      </c>
      <c r="C966" s="54" t="str">
        <f>VLOOKUP(B966,INSUMOS!$B$2:$D$562,2,0)</f>
        <v>día</v>
      </c>
      <c r="D966" s="11"/>
      <c r="E966" s="124">
        <v>0.5</v>
      </c>
      <c r="F966" s="54">
        <f>VLOOKUP(B966,INSUMOS!$B$2:$D$562,3,0)</f>
        <v>3500</v>
      </c>
      <c r="G966" s="13">
        <f t="shared" si="52"/>
        <v>1750</v>
      </c>
    </row>
    <row r="967" spans="1:7" x14ac:dyDescent="0.3">
      <c r="A967" s="1"/>
      <c r="B967" s="68" t="s">
        <v>334</v>
      </c>
      <c r="C967" s="54" t="str">
        <f>VLOOKUP(B967,INSUMOS!$B$2:$D$562,2,0)</f>
        <v>KG</v>
      </c>
      <c r="D967" s="11"/>
      <c r="E967" s="124">
        <v>0.05</v>
      </c>
      <c r="F967" s="54">
        <f>VLOOKUP(B967,INSUMOS!$B$2:$D$562,3,0)</f>
        <v>22687.500000000004</v>
      </c>
      <c r="G967" s="13">
        <f t="shared" si="52"/>
        <v>1134</v>
      </c>
    </row>
    <row r="968" spans="1:7" x14ac:dyDescent="0.3">
      <c r="A968" s="1"/>
      <c r="B968" s="68"/>
      <c r="C968" s="54"/>
      <c r="D968" s="11"/>
      <c r="E968" s="124"/>
      <c r="F968" s="54"/>
      <c r="G968" s="13">
        <f t="shared" ref="G968:G970" si="53">+ROUND((1+D968)*E968*F968,0)</f>
        <v>0</v>
      </c>
    </row>
    <row r="969" spans="1:7" x14ac:dyDescent="0.3">
      <c r="A969" s="1"/>
      <c r="B969" s="68"/>
      <c r="C969" s="54"/>
      <c r="D969" s="11"/>
      <c r="E969" s="124"/>
      <c r="F969" s="54"/>
      <c r="G969" s="13">
        <f t="shared" si="53"/>
        <v>0</v>
      </c>
    </row>
    <row r="970" spans="1:7" ht="17.25" thickBot="1" x14ac:dyDescent="0.35">
      <c r="A970" s="1"/>
      <c r="B970" s="68"/>
      <c r="C970" s="33"/>
      <c r="D970" s="30"/>
      <c r="E970" s="31"/>
      <c r="F970" s="33"/>
      <c r="G970" s="32">
        <f t="shared" si="53"/>
        <v>0</v>
      </c>
    </row>
    <row r="971" spans="1:7" ht="17.25" thickBot="1" x14ac:dyDescent="0.35">
      <c r="A971" s="1"/>
      <c r="B971" s="55" t="s">
        <v>281</v>
      </c>
      <c r="C971" s="56"/>
      <c r="D971" s="56"/>
      <c r="E971" s="57"/>
      <c r="F971" s="58" t="s">
        <v>288</v>
      </c>
      <c r="G971" s="59"/>
    </row>
    <row r="972" spans="1:7" ht="17.25" thickBot="1" x14ac:dyDescent="0.35">
      <c r="A972" s="1"/>
      <c r="B972" s="15" t="s">
        <v>437</v>
      </c>
      <c r="C972" s="16" t="s">
        <v>374</v>
      </c>
      <c r="D972" s="60"/>
      <c r="E972" s="61">
        <v>1</v>
      </c>
      <c r="F972" s="16">
        <f>+'FACTOR PRESTACIONAL'!L9+'FACTOR PRESTACIONAL'!L10</f>
        <v>34050.787165828959</v>
      </c>
      <c r="G972" s="17">
        <f>F972*E972</f>
        <v>34050.787165828959</v>
      </c>
    </row>
    <row r="973" spans="1:7" ht="17.25" thickBot="1" x14ac:dyDescent="0.35">
      <c r="A973" s="1"/>
      <c r="B973" s="55" t="s">
        <v>283</v>
      </c>
      <c r="C973" s="56"/>
      <c r="D973" s="56"/>
      <c r="E973" s="57"/>
      <c r="F973" s="58"/>
      <c r="G973" s="59"/>
    </row>
    <row r="974" spans="1:7" ht="17.25" thickBot="1" x14ac:dyDescent="0.35">
      <c r="A974" s="1"/>
      <c r="B974" s="15" t="s">
        <v>310</v>
      </c>
      <c r="C974" s="16" t="s">
        <v>169</v>
      </c>
      <c r="D974" s="60"/>
      <c r="E974" s="61">
        <v>1</v>
      </c>
      <c r="F974" s="16">
        <v>5000</v>
      </c>
      <c r="G974" s="17">
        <f>+ROUND((1+D974)*E974*F974,0)</f>
        <v>5000</v>
      </c>
    </row>
    <row r="975" spans="1:7" ht="17.25" thickBot="1" x14ac:dyDescent="0.35">
      <c r="A975" s="1"/>
      <c r="B975" s="62" t="s">
        <v>286</v>
      </c>
      <c r="C975" s="5"/>
      <c r="D975" s="5"/>
      <c r="E975" s="6"/>
      <c r="F975" s="63"/>
      <c r="G975" s="64"/>
    </row>
    <row r="976" spans="1:7" ht="17.25" thickBot="1" x14ac:dyDescent="0.35">
      <c r="A976" s="1"/>
      <c r="B976" s="38" t="s">
        <v>286</v>
      </c>
      <c r="C976" s="47" t="s">
        <v>124</v>
      </c>
      <c r="D976" s="45"/>
      <c r="E976" s="46">
        <v>0.05</v>
      </c>
      <c r="F976" s="41">
        <f>G972</f>
        <v>34050.787165828959</v>
      </c>
      <c r="G976" s="40">
        <f>+ROUND(E976*F976,0)</f>
        <v>1703</v>
      </c>
    </row>
    <row r="977" spans="1:7" ht="17.25" thickBot="1" x14ac:dyDescent="0.35">
      <c r="A977" s="1"/>
      <c r="B977" s="2"/>
      <c r="C977" s="39"/>
      <c r="D977" s="18" t="s">
        <v>287</v>
      </c>
      <c r="E977" s="19"/>
      <c r="F977" s="20"/>
      <c r="G977" s="17">
        <f>SUM(G962:G976)</f>
        <v>109112.78716582895</v>
      </c>
    </row>
    <row r="978" spans="1:7" hidden="1" x14ac:dyDescent="0.3">
      <c r="A978" s="1"/>
      <c r="B978" s="2"/>
      <c r="C978" s="3"/>
      <c r="D978" s="21" t="s">
        <v>289</v>
      </c>
      <c r="E978" s="22"/>
      <c r="F978" s="23" t="e">
        <f>+F955</f>
        <v>#REF!</v>
      </c>
      <c r="G978" s="24" t="e">
        <f>+ROUND(G977*F978,0)</f>
        <v>#REF!</v>
      </c>
    </row>
    <row r="979" spans="1:7" hidden="1" x14ac:dyDescent="0.3">
      <c r="A979" s="1"/>
      <c r="B979" s="2"/>
      <c r="C979" s="3"/>
      <c r="D979" s="25" t="s">
        <v>290</v>
      </c>
      <c r="E979" s="26"/>
      <c r="F979" s="23" t="e">
        <f t="shared" ref="F979:F980" si="54">+F956</f>
        <v>#REF!</v>
      </c>
      <c r="G979" s="14" t="e">
        <f>+ROUND(G977*F979,0)</f>
        <v>#REF!</v>
      </c>
    </row>
    <row r="980" spans="1:7" ht="17.25" hidden="1" thickBot="1" x14ac:dyDescent="0.35">
      <c r="A980" s="1"/>
      <c r="B980" s="2"/>
      <c r="C980" s="3"/>
      <c r="D980" s="25" t="s">
        <v>291</v>
      </c>
      <c r="E980" s="26"/>
      <c r="F980" s="23" t="e">
        <f t="shared" si="54"/>
        <v>#REF!</v>
      </c>
      <c r="G980" s="14" t="e">
        <f>+ROUND(G977*F980,0)</f>
        <v>#REF!</v>
      </c>
    </row>
    <row r="981" spans="1:7" ht="17.25" hidden="1" thickBot="1" x14ac:dyDescent="0.35">
      <c r="A981" s="1"/>
      <c r="B981" s="2"/>
      <c r="C981" s="3"/>
      <c r="D981" s="18" t="s">
        <v>10</v>
      </c>
      <c r="E981" s="29"/>
      <c r="F981" s="20"/>
      <c r="G981" s="17" t="e">
        <f>SUM(G977:G980)</f>
        <v>#REF!</v>
      </c>
    </row>
    <row r="982" spans="1:7" ht="17.25" thickBot="1" x14ac:dyDescent="0.35">
      <c r="A982" s="1"/>
      <c r="B982" s="2"/>
      <c r="C982" s="3"/>
      <c r="D982" s="121"/>
      <c r="E982" s="122"/>
      <c r="F982" s="39"/>
      <c r="G982" s="39"/>
    </row>
    <row r="983" spans="1:7" ht="33.75" thickBot="1" x14ac:dyDescent="0.35">
      <c r="A983" s="358">
        <f>PPTO!B69</f>
        <v>7.9</v>
      </c>
      <c r="B983" s="359" t="str">
        <f>VLOOKUP(A983,PPTO!$B$8:$D$94,2,0)</f>
        <v>SUMINISTO, TRANSPORTE E INSTALACION de embudos en lamina galvanizada Cal .26</v>
      </c>
      <c r="C983" s="360" t="s">
        <v>85</v>
      </c>
      <c r="D983" s="361" t="s">
        <v>274</v>
      </c>
      <c r="E983" s="362" t="s">
        <v>275</v>
      </c>
      <c r="F983" s="360" t="s">
        <v>276</v>
      </c>
      <c r="G983" s="363" t="s">
        <v>277</v>
      </c>
    </row>
    <row r="984" spans="1:7" x14ac:dyDescent="0.3">
      <c r="A984" s="1" t="s">
        <v>288</v>
      </c>
      <c r="B984" s="51" t="s">
        <v>278</v>
      </c>
      <c r="C984" s="43"/>
      <c r="D984" s="43"/>
      <c r="E984" s="44"/>
      <c r="F984" s="52"/>
      <c r="G984" s="7"/>
    </row>
    <row r="985" spans="1:7" x14ac:dyDescent="0.3">
      <c r="A985" s="1"/>
      <c r="B985" s="68" t="s">
        <v>438</v>
      </c>
      <c r="C985" s="54" t="str">
        <f>VLOOKUP(B985,INSUMOS!$B$2:$D$562,2,0)</f>
        <v>un</v>
      </c>
      <c r="D985" s="11"/>
      <c r="E985" s="124">
        <v>1</v>
      </c>
      <c r="F985" s="54">
        <f>VLOOKUP(B985,INSUMOS!$B$2:$D$562,3,0)</f>
        <v>40000</v>
      </c>
      <c r="G985" s="13">
        <f>+ROUND((1+D985)*E985*F985,0)</f>
        <v>40000</v>
      </c>
    </row>
    <row r="986" spans="1:7" x14ac:dyDescent="0.3">
      <c r="A986" s="1"/>
      <c r="B986" s="68" t="s">
        <v>337</v>
      </c>
      <c r="C986" s="54" t="str">
        <f>VLOOKUP(B986,INSUMOS!$B$2:$D$562,2,0)</f>
        <v>GLN</v>
      </c>
      <c r="D986" s="11"/>
      <c r="E986" s="124">
        <v>0.01</v>
      </c>
      <c r="F986" s="54">
        <f>VLOOKUP(B986,INSUMOS!$B$2:$D$562,3,0)</f>
        <v>89375</v>
      </c>
      <c r="G986" s="13">
        <f>+ROUND((1+D986)*E986*F986,0)</f>
        <v>894</v>
      </c>
    </row>
    <row r="987" spans="1:7" x14ac:dyDescent="0.3">
      <c r="A987" s="1"/>
      <c r="B987" s="68" t="s">
        <v>338</v>
      </c>
      <c r="C987" s="54" t="str">
        <f>VLOOKUP(B987,INSUMOS!$B$2:$D$562,2,0)</f>
        <v>GLN</v>
      </c>
      <c r="D987" s="11"/>
      <c r="E987" s="124">
        <v>5.0000000000000001E-3</v>
      </c>
      <c r="F987" s="54">
        <f>VLOOKUP(B987,INSUMOS!$B$2:$D$562,3,0)</f>
        <v>103125.00000000001</v>
      </c>
      <c r="G987" s="13">
        <f>+ROUND((1+D987)*E987*F987,0)</f>
        <v>516</v>
      </c>
    </row>
    <row r="988" spans="1:7" x14ac:dyDescent="0.3">
      <c r="A988" s="1"/>
      <c r="B988" s="68" t="s">
        <v>324</v>
      </c>
      <c r="C988" s="54" t="str">
        <f>VLOOKUP(B988,INSUMOS!$B$2:$D$562,2,0)</f>
        <v>día</v>
      </c>
      <c r="D988" s="11"/>
      <c r="E988" s="124">
        <v>0.5</v>
      </c>
      <c r="F988" s="54">
        <f>VLOOKUP(B988,INSUMOS!$B$2:$D$562,3,0)</f>
        <v>3500</v>
      </c>
      <c r="G988" s="13">
        <f>+ROUND((1+D988)*E988*F988,0)</f>
        <v>1750</v>
      </c>
    </row>
    <row r="989" spans="1:7" x14ac:dyDescent="0.3">
      <c r="A989" s="1"/>
      <c r="B989" s="68" t="s">
        <v>334</v>
      </c>
      <c r="C989" s="54" t="str">
        <f>VLOOKUP(B989,INSUMOS!$B$2:$D$562,2,0)</f>
        <v>KG</v>
      </c>
      <c r="D989" s="11"/>
      <c r="E989" s="124">
        <v>0.01</v>
      </c>
      <c r="F989" s="54">
        <f>VLOOKUP(B989,INSUMOS!$B$2:$D$562,3,0)</f>
        <v>22687.500000000004</v>
      </c>
      <c r="G989" s="13">
        <f>+ROUND((1+D989)*E989*F989,0)</f>
        <v>227</v>
      </c>
    </row>
    <row r="990" spans="1:7" x14ac:dyDescent="0.3">
      <c r="A990" s="1"/>
      <c r="B990" s="68"/>
      <c r="C990" s="54"/>
      <c r="D990" s="11"/>
      <c r="E990" s="124"/>
      <c r="F990" s="54"/>
      <c r="G990" s="13">
        <f t="shared" ref="G990:G992" si="55">+ROUND((1+D990)*E990*F990,0)</f>
        <v>0</v>
      </c>
    </row>
    <row r="991" spans="1:7" x14ac:dyDescent="0.3">
      <c r="A991" s="1"/>
      <c r="B991" s="68"/>
      <c r="C991" s="54"/>
      <c r="D991" s="11"/>
      <c r="E991" s="124"/>
      <c r="F991" s="54"/>
      <c r="G991" s="13">
        <f t="shared" si="55"/>
        <v>0</v>
      </c>
    </row>
    <row r="992" spans="1:7" ht="17.25" thickBot="1" x14ac:dyDescent="0.35">
      <c r="A992" s="1"/>
      <c r="B992" s="68"/>
      <c r="C992" s="33"/>
      <c r="D992" s="30"/>
      <c r="E992" s="31"/>
      <c r="F992" s="33"/>
      <c r="G992" s="32">
        <f t="shared" si="55"/>
        <v>0</v>
      </c>
    </row>
    <row r="993" spans="1:7" ht="17.25" thickBot="1" x14ac:dyDescent="0.35">
      <c r="A993" s="1"/>
      <c r="B993" s="55" t="s">
        <v>281</v>
      </c>
      <c r="C993" s="56"/>
      <c r="D993" s="56"/>
      <c r="E993" s="57"/>
      <c r="F993" s="58" t="s">
        <v>288</v>
      </c>
      <c r="G993" s="59"/>
    </row>
    <row r="994" spans="1:7" ht="17.25" thickBot="1" x14ac:dyDescent="0.35">
      <c r="A994" s="1"/>
      <c r="B994" s="15" t="s">
        <v>437</v>
      </c>
      <c r="C994" s="16" t="s">
        <v>374</v>
      </c>
      <c r="D994" s="60"/>
      <c r="E994" s="61">
        <v>0.25</v>
      </c>
      <c r="F994" s="16">
        <f>+'FACTOR PRESTACIONAL'!L9</f>
        <v>21501.663682495626</v>
      </c>
      <c r="G994" s="17">
        <f>F994*E994</f>
        <v>5375.4159206239065</v>
      </c>
    </row>
    <row r="995" spans="1:7" ht="17.25" thickBot="1" x14ac:dyDescent="0.35">
      <c r="A995" s="1"/>
      <c r="B995" s="55" t="s">
        <v>283</v>
      </c>
      <c r="C995" s="56"/>
      <c r="D995" s="56"/>
      <c r="E995" s="57"/>
      <c r="F995" s="58"/>
      <c r="G995" s="59"/>
    </row>
    <row r="996" spans="1:7" ht="17.25" thickBot="1" x14ac:dyDescent="0.35">
      <c r="A996" s="1"/>
      <c r="B996" s="15" t="s">
        <v>310</v>
      </c>
      <c r="C996" s="16" t="s">
        <v>169</v>
      </c>
      <c r="D996" s="60"/>
      <c r="E996" s="61">
        <v>5</v>
      </c>
      <c r="F996" s="16">
        <v>150</v>
      </c>
      <c r="G996" s="17">
        <f>+ROUND((1+D996)*E996*F996,0)</f>
        <v>750</v>
      </c>
    </row>
    <row r="997" spans="1:7" ht="17.25" thickBot="1" x14ac:dyDescent="0.35">
      <c r="A997" s="1"/>
      <c r="B997" s="62" t="s">
        <v>286</v>
      </c>
      <c r="C997" s="5"/>
      <c r="D997" s="5"/>
      <c r="E997" s="6"/>
      <c r="F997" s="63"/>
      <c r="G997" s="64"/>
    </row>
    <row r="998" spans="1:7" ht="17.25" thickBot="1" x14ac:dyDescent="0.35">
      <c r="A998" s="1"/>
      <c r="B998" s="38" t="s">
        <v>286</v>
      </c>
      <c r="C998" s="47" t="s">
        <v>124</v>
      </c>
      <c r="D998" s="45"/>
      <c r="E998" s="46">
        <v>0.05</v>
      </c>
      <c r="F998" s="41">
        <f>G994</f>
        <v>5375.4159206239065</v>
      </c>
      <c r="G998" s="40">
        <f>+ROUND(E998*F998,0)</f>
        <v>269</v>
      </c>
    </row>
    <row r="999" spans="1:7" ht="17.25" thickBot="1" x14ac:dyDescent="0.35">
      <c r="A999" s="1"/>
      <c r="B999" s="2"/>
      <c r="C999" s="39"/>
      <c r="D999" s="18" t="s">
        <v>287</v>
      </c>
      <c r="E999" s="19"/>
      <c r="F999" s="20"/>
      <c r="G999" s="17">
        <f>SUM(G985:G998)</f>
        <v>49781.415920623906</v>
      </c>
    </row>
    <row r="1000" spans="1:7" hidden="1" x14ac:dyDescent="0.3">
      <c r="A1000" s="1"/>
      <c r="B1000" s="2"/>
      <c r="C1000" s="3"/>
      <c r="D1000" s="21" t="s">
        <v>289</v>
      </c>
      <c r="E1000" s="22"/>
      <c r="F1000" s="23" t="e">
        <f>+F978</f>
        <v>#REF!</v>
      </c>
      <c r="G1000" s="24" t="e">
        <f>+ROUND(G999*F1000,0)</f>
        <v>#REF!</v>
      </c>
    </row>
    <row r="1001" spans="1:7" hidden="1" x14ac:dyDescent="0.3">
      <c r="A1001" s="1"/>
      <c r="B1001" s="2"/>
      <c r="C1001" s="3"/>
      <c r="D1001" s="25" t="s">
        <v>290</v>
      </c>
      <c r="E1001" s="26"/>
      <c r="F1001" s="23" t="e">
        <f>+F979</f>
        <v>#REF!</v>
      </c>
      <c r="G1001" s="14" t="e">
        <f>+ROUND(G999*F1001,0)</f>
        <v>#REF!</v>
      </c>
    </row>
    <row r="1002" spans="1:7" ht="17.25" hidden="1" thickBot="1" x14ac:dyDescent="0.35">
      <c r="A1002" s="1"/>
      <c r="B1002" s="2"/>
      <c r="C1002" s="3"/>
      <c r="D1002" s="25" t="s">
        <v>291</v>
      </c>
      <c r="E1002" s="26"/>
      <c r="F1002" s="23" t="e">
        <f>+F980</f>
        <v>#REF!</v>
      </c>
      <c r="G1002" s="14" t="e">
        <f>+ROUND(G999*F1002,0)</f>
        <v>#REF!</v>
      </c>
    </row>
    <row r="1003" spans="1:7" ht="17.25" hidden="1" thickBot="1" x14ac:dyDescent="0.35">
      <c r="A1003" s="1"/>
      <c r="B1003" s="2"/>
      <c r="C1003" s="3"/>
      <c r="D1003" s="18" t="s">
        <v>10</v>
      </c>
      <c r="E1003" s="29"/>
      <c r="F1003" s="20"/>
      <c r="G1003" s="17" t="e">
        <f>SUM(G999:G1002)</f>
        <v>#REF!</v>
      </c>
    </row>
    <row r="1004" spans="1:7" ht="17.25" hidden="1" thickBot="1" x14ac:dyDescent="0.35">
      <c r="A1004" s="1"/>
      <c r="B1004" s="2"/>
      <c r="C1004" s="3"/>
      <c r="D1004" s="121"/>
      <c r="E1004" s="122"/>
      <c r="F1004" s="39"/>
      <c r="G1004" s="39"/>
    </row>
    <row r="1005" spans="1:7" ht="17.25" hidden="1" thickBot="1" x14ac:dyDescent="0.35">
      <c r="A1005" s="1"/>
      <c r="B1005" s="2"/>
      <c r="C1005" s="39"/>
      <c r="D1005" s="18" t="s">
        <v>287</v>
      </c>
      <c r="E1005" s="19"/>
      <c r="F1005" s="20"/>
      <c r="G1005" s="17"/>
    </row>
    <row r="1006" spans="1:7" hidden="1" x14ac:dyDescent="0.3">
      <c r="A1006" s="1"/>
      <c r="B1006" s="2"/>
      <c r="C1006" s="3"/>
      <c r="D1006" s="21" t="s">
        <v>289</v>
      </c>
      <c r="E1006" s="22"/>
      <c r="F1006" s="23" t="e">
        <f>+F1000</f>
        <v>#REF!</v>
      </c>
      <c r="G1006" s="24" t="e">
        <f>+ROUND(G1005*F1006,0)</f>
        <v>#REF!</v>
      </c>
    </row>
    <row r="1007" spans="1:7" hidden="1" x14ac:dyDescent="0.3">
      <c r="A1007" s="1"/>
      <c r="B1007" s="2"/>
      <c r="C1007" s="3"/>
      <c r="D1007" s="25" t="s">
        <v>290</v>
      </c>
      <c r="E1007" s="26"/>
      <c r="F1007" s="23" t="e">
        <f>+F1001</f>
        <v>#REF!</v>
      </c>
      <c r="G1007" s="14" t="e">
        <f>+ROUND(G1005*F1007,0)</f>
        <v>#REF!</v>
      </c>
    </row>
    <row r="1008" spans="1:7" ht="17.25" hidden="1" thickBot="1" x14ac:dyDescent="0.35">
      <c r="A1008" s="1"/>
      <c r="B1008" s="2"/>
      <c r="C1008" s="3"/>
      <c r="D1008" s="25" t="s">
        <v>291</v>
      </c>
      <c r="E1008" s="26"/>
      <c r="F1008" s="23" t="e">
        <f>+F1002</f>
        <v>#REF!</v>
      </c>
      <c r="G1008" s="14" t="e">
        <f>+ROUND(G1005*F1008,0)</f>
        <v>#REF!</v>
      </c>
    </row>
    <row r="1009" spans="1:7" ht="17.25" hidden="1" thickBot="1" x14ac:dyDescent="0.35">
      <c r="A1009" s="1"/>
      <c r="B1009" s="2"/>
      <c r="C1009" s="3"/>
      <c r="D1009" s="18" t="s">
        <v>10</v>
      </c>
      <c r="E1009" s="29"/>
      <c r="F1009" s="20"/>
      <c r="G1009" s="17" t="e">
        <f>SUM(G1005:G1008)</f>
        <v>#REF!</v>
      </c>
    </row>
    <row r="1010" spans="1:7" ht="17.25" thickBot="1" x14ac:dyDescent="0.35">
      <c r="A1010" s="1"/>
      <c r="B1010" s="2"/>
      <c r="C1010" s="3"/>
      <c r="D1010" s="121"/>
      <c r="E1010" s="122"/>
      <c r="F1010" s="39"/>
      <c r="G1010" s="39"/>
    </row>
    <row r="1011" spans="1:7" ht="33.75" thickBot="1" x14ac:dyDescent="0.35">
      <c r="A1011" s="471">
        <f>PPTO!B70</f>
        <v>7.1</v>
      </c>
      <c r="B1011" s="359" t="str">
        <f>+PPTO!C70</f>
        <v>suministro y construcción de caja sanitaria de 80x80 cm vaciada en concreto de 21MPa,  incluye tapa reforzada y todo lo requerido para su construcción .</v>
      </c>
      <c r="C1011" s="360" t="s">
        <v>85</v>
      </c>
      <c r="D1011" s="361" t="s">
        <v>274</v>
      </c>
      <c r="E1011" s="362" t="s">
        <v>275</v>
      </c>
      <c r="F1011" s="360" t="s">
        <v>276</v>
      </c>
      <c r="G1011" s="363" t="s">
        <v>277</v>
      </c>
    </row>
    <row r="1012" spans="1:7" x14ac:dyDescent="0.3">
      <c r="A1012" s="1" t="s">
        <v>288</v>
      </c>
      <c r="B1012" s="51" t="s">
        <v>278</v>
      </c>
      <c r="C1012" s="43"/>
      <c r="D1012" s="43"/>
      <c r="E1012" s="44"/>
      <c r="F1012" s="52"/>
      <c r="G1012" s="7"/>
    </row>
    <row r="1013" spans="1:7" x14ac:dyDescent="0.3">
      <c r="A1013" s="1"/>
      <c r="B1013" s="68" t="s">
        <v>311</v>
      </c>
      <c r="C1013" s="54" t="str">
        <f>VLOOKUP(B1013,INSUMOS!$B$2:$D$562,2,0)</f>
        <v>M3</v>
      </c>
      <c r="D1013" s="11"/>
      <c r="E1013" s="124">
        <f>(0.8*0.8*0.1*2)+(0.6*0.8*0.1*2)</f>
        <v>0.22400000000000003</v>
      </c>
      <c r="F1013" s="54">
        <f>VLOOKUP(B1013,INSUMOS!$B$2:$D$562,3,0)</f>
        <v>460985</v>
      </c>
      <c r="G1013" s="13">
        <f>+ROUND((1+D1013)*E1013*F1013,0)</f>
        <v>103261</v>
      </c>
    </row>
    <row r="1014" spans="1:7" x14ac:dyDescent="0.3">
      <c r="A1014" s="1"/>
      <c r="B1014" s="68" t="s">
        <v>296</v>
      </c>
      <c r="C1014" s="54" t="str">
        <f>VLOOKUP(B1014,INSUMOS!$B$2:$D$562,2,0)</f>
        <v>und</v>
      </c>
      <c r="D1014" s="11"/>
      <c r="E1014" s="124">
        <v>8</v>
      </c>
      <c r="F1014" s="54">
        <f>VLOOKUP(B1014,INSUMOS!$B$2:$D$562,3,0)</f>
        <v>17000</v>
      </c>
      <c r="G1014" s="13">
        <f>+ROUND((1+D1014)*E1014*F1014,0)</f>
        <v>136000</v>
      </c>
    </row>
    <row r="1015" spans="1:7" x14ac:dyDescent="0.3">
      <c r="A1015" s="1"/>
      <c r="B1015" s="68" t="s">
        <v>439</v>
      </c>
      <c r="C1015" s="54" t="str">
        <f>VLOOKUP(B1015,INSUMOS!$B$2:$D$562,2,0)</f>
        <v>KG</v>
      </c>
      <c r="D1015" s="11"/>
      <c r="E1015" s="124">
        <v>30</v>
      </c>
      <c r="F1015" s="54">
        <f>VLOOKUP(B1015,INSUMOS!$B$2:$D$562,3,0)</f>
        <v>9500</v>
      </c>
      <c r="G1015" s="13">
        <f>+ROUND((1+D1015)*E1015*F1015,0)</f>
        <v>285000</v>
      </c>
    </row>
    <row r="1016" spans="1:7" x14ac:dyDescent="0.3">
      <c r="A1016" s="1"/>
      <c r="B1016" s="68"/>
      <c r="C1016" s="54"/>
      <c r="D1016" s="11"/>
      <c r="E1016" s="124"/>
      <c r="F1016" s="54"/>
      <c r="G1016" s="13">
        <f>+ROUND((1+D1016)*E1016*F1016,0)</f>
        <v>0</v>
      </c>
    </row>
    <row r="1017" spans="1:7" x14ac:dyDescent="0.3">
      <c r="A1017" s="1"/>
      <c r="B1017" s="68"/>
      <c r="C1017" s="54"/>
      <c r="D1017" s="11"/>
      <c r="E1017" s="124"/>
      <c r="F1017" s="54"/>
      <c r="G1017" s="13"/>
    </row>
    <row r="1018" spans="1:7" x14ac:dyDescent="0.3">
      <c r="A1018" s="1"/>
      <c r="B1018" s="68"/>
      <c r="C1018" s="54"/>
      <c r="D1018" s="11"/>
      <c r="E1018" s="124"/>
      <c r="F1018" s="54"/>
      <c r="G1018" s="13"/>
    </row>
    <row r="1019" spans="1:7" x14ac:dyDescent="0.3">
      <c r="A1019" s="1"/>
      <c r="B1019" s="68"/>
      <c r="C1019" s="54"/>
      <c r="D1019" s="11"/>
      <c r="E1019" s="124"/>
      <c r="F1019" s="54"/>
      <c r="G1019" s="13">
        <f t="shared" ref="G1019:G1021" si="56">+ROUND((1+D1019)*E1019*F1019,0)</f>
        <v>0</v>
      </c>
    </row>
    <row r="1020" spans="1:7" x14ac:dyDescent="0.3">
      <c r="A1020" s="1"/>
      <c r="B1020" s="68"/>
      <c r="C1020" s="54"/>
      <c r="D1020" s="11"/>
      <c r="E1020" s="124"/>
      <c r="F1020" s="54"/>
      <c r="G1020" s="13">
        <f t="shared" si="56"/>
        <v>0</v>
      </c>
    </row>
    <row r="1021" spans="1:7" ht="17.25" thickBot="1" x14ac:dyDescent="0.35">
      <c r="A1021" s="1"/>
      <c r="B1021" s="68"/>
      <c r="C1021" s="33"/>
      <c r="D1021" s="30"/>
      <c r="E1021" s="31"/>
      <c r="F1021" s="33"/>
      <c r="G1021" s="32">
        <f t="shared" si="56"/>
        <v>0</v>
      </c>
    </row>
    <row r="1022" spans="1:7" ht="17.25" thickBot="1" x14ac:dyDescent="0.35">
      <c r="A1022" s="1"/>
      <c r="B1022" s="55" t="s">
        <v>281</v>
      </c>
      <c r="C1022" s="56"/>
      <c r="D1022" s="56"/>
      <c r="E1022" s="57"/>
      <c r="F1022" s="58" t="s">
        <v>288</v>
      </c>
      <c r="G1022" s="59"/>
    </row>
    <row r="1023" spans="1:7" ht="17.25" thickBot="1" x14ac:dyDescent="0.35">
      <c r="A1023" s="1"/>
      <c r="B1023" s="15" t="s">
        <v>440</v>
      </c>
      <c r="C1023" s="16" t="s">
        <v>321</v>
      </c>
      <c r="D1023" s="60"/>
      <c r="E1023" s="61">
        <v>1</v>
      </c>
      <c r="F1023" s="16">
        <v>130000</v>
      </c>
      <c r="G1023" s="17">
        <f>F1023*E1023</f>
        <v>130000</v>
      </c>
    </row>
    <row r="1024" spans="1:7" ht="17.25" thickBot="1" x14ac:dyDescent="0.35">
      <c r="A1024" s="1"/>
      <c r="B1024" s="55" t="s">
        <v>283</v>
      </c>
      <c r="C1024" s="56"/>
      <c r="D1024" s="56"/>
      <c r="E1024" s="57"/>
      <c r="F1024" s="58"/>
      <c r="G1024" s="59"/>
    </row>
    <row r="1025" spans="1:7" ht="17.25" thickBot="1" x14ac:dyDescent="0.35">
      <c r="A1025" s="1"/>
      <c r="B1025" s="15" t="s">
        <v>310</v>
      </c>
      <c r="C1025" s="16" t="s">
        <v>169</v>
      </c>
      <c r="D1025" s="60"/>
      <c r="E1025" s="61">
        <v>100</v>
      </c>
      <c r="F1025" s="16">
        <v>150</v>
      </c>
      <c r="G1025" s="17">
        <f>+ROUND((1+D1025)*E1025*F1025,0)</f>
        <v>15000</v>
      </c>
    </row>
    <row r="1026" spans="1:7" ht="17.25" thickBot="1" x14ac:dyDescent="0.35">
      <c r="A1026" s="1"/>
      <c r="B1026" s="62" t="s">
        <v>286</v>
      </c>
      <c r="C1026" s="5"/>
      <c r="D1026" s="5"/>
      <c r="E1026" s="6"/>
      <c r="F1026" s="63"/>
      <c r="G1026" s="64"/>
    </row>
    <row r="1027" spans="1:7" ht="17.25" thickBot="1" x14ac:dyDescent="0.35">
      <c r="A1027" s="1"/>
      <c r="B1027" s="38" t="s">
        <v>286</v>
      </c>
      <c r="C1027" s="47" t="s">
        <v>124</v>
      </c>
      <c r="D1027" s="45"/>
      <c r="E1027" s="46">
        <v>0.05</v>
      </c>
      <c r="F1027" s="41">
        <f>F1023</f>
        <v>130000</v>
      </c>
      <c r="G1027" s="40">
        <f>+ROUND(E1027*F1027,0)</f>
        <v>6500</v>
      </c>
    </row>
    <row r="1028" spans="1:7" ht="17.25" thickBot="1" x14ac:dyDescent="0.35">
      <c r="A1028" s="1"/>
      <c r="B1028" s="2"/>
      <c r="C1028" s="39"/>
      <c r="D1028" s="18" t="s">
        <v>287</v>
      </c>
      <c r="E1028" s="19"/>
      <c r="F1028" s="20"/>
      <c r="G1028" s="17">
        <f>SUM(G1013:G1027)</f>
        <v>675761</v>
      </c>
    </row>
    <row r="1029" spans="1:7" hidden="1" x14ac:dyDescent="0.3">
      <c r="A1029" s="1"/>
      <c r="B1029" s="2"/>
      <c r="C1029" s="3"/>
      <c r="D1029" s="21" t="s">
        <v>289</v>
      </c>
      <c r="E1029" s="22"/>
      <c r="F1029" s="23" t="e">
        <f>+F1006</f>
        <v>#REF!</v>
      </c>
      <c r="G1029" s="24" t="e">
        <f>+ROUND(G1028*F1029,0)</f>
        <v>#REF!</v>
      </c>
    </row>
    <row r="1030" spans="1:7" hidden="1" x14ac:dyDescent="0.3">
      <c r="A1030" s="1"/>
      <c r="B1030" s="2"/>
      <c r="C1030" s="3"/>
      <c r="D1030" s="25" t="s">
        <v>290</v>
      </c>
      <c r="E1030" s="26"/>
      <c r="F1030" s="23" t="e">
        <f t="shared" ref="F1030:F1031" si="57">+F1007</f>
        <v>#REF!</v>
      </c>
      <c r="G1030" s="14" t="e">
        <f>+ROUND(G1028*F1030,0)</f>
        <v>#REF!</v>
      </c>
    </row>
    <row r="1031" spans="1:7" ht="17.25" hidden="1" thickBot="1" x14ac:dyDescent="0.35">
      <c r="A1031" s="1"/>
      <c r="B1031" s="2"/>
      <c r="C1031" s="3"/>
      <c r="D1031" s="25" t="s">
        <v>291</v>
      </c>
      <c r="E1031" s="26"/>
      <c r="F1031" s="23" t="e">
        <f t="shared" si="57"/>
        <v>#REF!</v>
      </c>
      <c r="G1031" s="14" t="e">
        <f>+ROUND(G1028*F1031,0)</f>
        <v>#REF!</v>
      </c>
    </row>
    <row r="1032" spans="1:7" ht="17.25" hidden="1" thickBot="1" x14ac:dyDescent="0.35">
      <c r="A1032" s="1"/>
      <c r="B1032" s="2"/>
      <c r="C1032" s="3"/>
      <c r="D1032" s="18" t="s">
        <v>10</v>
      </c>
      <c r="E1032" s="29"/>
      <c r="F1032" s="20"/>
      <c r="G1032" s="17" t="e">
        <f>SUM(G1028:G1031)</f>
        <v>#REF!</v>
      </c>
    </row>
    <row r="1033" spans="1:7" ht="17.25" thickBot="1" x14ac:dyDescent="0.35">
      <c r="A1033" s="1"/>
      <c r="B1033" s="2"/>
      <c r="C1033" s="3"/>
      <c r="D1033" s="121"/>
      <c r="E1033" s="122"/>
      <c r="F1033" s="39"/>
      <c r="G1033" s="39"/>
    </row>
    <row r="1034" spans="1:7" ht="50.25" thickBot="1" x14ac:dyDescent="0.35">
      <c r="A1034" s="358">
        <f>PPTO!B72</f>
        <v>8.1</v>
      </c>
      <c r="B1034" s="359" t="str">
        <f>VLOOKUP(A1034,PPTO!$B$8:$D$94,2,0)</f>
        <v>Suministro e instalación de ventanas en aluminio mate o negro, sistema fijo corredizo 50-20 y vidrio claro 6mm. Incluye alfajía, sello y todos sus accesorios para su correcta instalación y funcionamiento</v>
      </c>
      <c r="C1034" s="360" t="s">
        <v>85</v>
      </c>
      <c r="D1034" s="361" t="s">
        <v>274</v>
      </c>
      <c r="E1034" s="362" t="s">
        <v>275</v>
      </c>
      <c r="F1034" s="360" t="s">
        <v>276</v>
      </c>
      <c r="G1034" s="363" t="s">
        <v>277</v>
      </c>
    </row>
    <row r="1035" spans="1:7" x14ac:dyDescent="0.3">
      <c r="A1035" s="1" t="s">
        <v>288</v>
      </c>
      <c r="B1035" s="51" t="s">
        <v>278</v>
      </c>
      <c r="C1035" s="43"/>
      <c r="D1035" s="43"/>
      <c r="E1035" s="44"/>
      <c r="F1035" s="52"/>
      <c r="G1035" s="7"/>
    </row>
    <row r="1036" spans="1:7" x14ac:dyDescent="0.3">
      <c r="A1036" s="1"/>
      <c r="B1036" s="68" t="s">
        <v>441</v>
      </c>
      <c r="C1036" s="54" t="str">
        <f>VLOOKUP(B1036,INSUMOS!$B$2:$D$562,2,0)</f>
        <v>m2</v>
      </c>
      <c r="D1036" s="11"/>
      <c r="E1036" s="124">
        <v>1</v>
      </c>
      <c r="F1036" s="54">
        <f>VLOOKUP(B1036,INSUMOS!$B$2:$D$562,3,0)</f>
        <v>350000</v>
      </c>
      <c r="G1036" s="13">
        <f>+ROUND((1+D1036)*E1036*F1036,0)</f>
        <v>350000</v>
      </c>
    </row>
    <row r="1037" spans="1:7" x14ac:dyDescent="0.3">
      <c r="A1037" s="1"/>
      <c r="B1037" s="68" t="s">
        <v>442</v>
      </c>
      <c r="C1037" s="54" t="str">
        <f>VLOOKUP(B1037,INSUMOS!$B$2:$D$562,2,0)</f>
        <v>un</v>
      </c>
      <c r="D1037" s="11"/>
      <c r="E1037" s="124">
        <v>3.3333333333333333E-2</v>
      </c>
      <c r="F1037" s="54">
        <f>VLOOKUP(B1037,INSUMOS!$B$2:$D$562,3,0)</f>
        <v>58900</v>
      </c>
      <c r="G1037" s="13">
        <f>+ROUND((1+D1037)*E1037*F1037,0)</f>
        <v>1963</v>
      </c>
    </row>
    <row r="1038" spans="1:7" x14ac:dyDescent="0.3">
      <c r="A1038" s="1"/>
      <c r="B1038" s="68" t="s">
        <v>443</v>
      </c>
      <c r="C1038" s="54" t="str">
        <f>VLOOKUP(B1038,INSUMOS!$B$2:$D$562,2,0)</f>
        <v>ml</v>
      </c>
      <c r="D1038" s="11"/>
      <c r="E1038" s="124">
        <v>1</v>
      </c>
      <c r="F1038" s="54">
        <f>VLOOKUP(B1038,INSUMOS!$B$2:$D$562,3,0)</f>
        <v>15000</v>
      </c>
      <c r="G1038" s="13">
        <f>+ROUND((1+D1038)*E1038*F1038,0)</f>
        <v>15000</v>
      </c>
    </row>
    <row r="1039" spans="1:7" x14ac:dyDescent="0.3">
      <c r="A1039" s="1"/>
      <c r="B1039" s="68" t="s">
        <v>363</v>
      </c>
      <c r="C1039" s="54" t="str">
        <f>VLOOKUP(B1039,INSUMOS!$B$2:$D$562,2,0)</f>
        <v>un</v>
      </c>
      <c r="D1039" s="11"/>
      <c r="E1039" s="124">
        <v>10</v>
      </c>
      <c r="F1039" s="54">
        <f>VLOOKUP(B1039,INSUMOS!$B$2:$D$562,3,0)</f>
        <v>121.00000000000001</v>
      </c>
      <c r="G1039" s="13">
        <f>+ROUND((1+D1039)*E1039*F1039,0)</f>
        <v>1210</v>
      </c>
    </row>
    <row r="1040" spans="1:7" x14ac:dyDescent="0.3">
      <c r="A1040" s="1"/>
      <c r="B1040" s="68"/>
      <c r="C1040" s="54"/>
      <c r="D1040" s="11"/>
      <c r="E1040" s="124"/>
      <c r="F1040" s="54"/>
      <c r="G1040" s="13"/>
    </row>
    <row r="1041" spans="1:7" x14ac:dyDescent="0.3">
      <c r="A1041" s="1"/>
      <c r="B1041" s="68"/>
      <c r="C1041" s="54"/>
      <c r="D1041" s="11"/>
      <c r="E1041" s="124"/>
      <c r="F1041" s="54"/>
      <c r="G1041" s="13"/>
    </row>
    <row r="1042" spans="1:7" x14ac:dyDescent="0.3">
      <c r="A1042" s="1"/>
      <c r="B1042" s="68"/>
      <c r="C1042" s="54"/>
      <c r="D1042" s="11"/>
      <c r="E1042" s="124"/>
      <c r="F1042" s="54"/>
      <c r="G1042" s="13">
        <f t="shared" ref="G1042:G1044" si="58">+ROUND((1+D1042)*E1042*F1042,0)</f>
        <v>0</v>
      </c>
    </row>
    <row r="1043" spans="1:7" x14ac:dyDescent="0.3">
      <c r="A1043" s="1"/>
      <c r="B1043" s="68"/>
      <c r="C1043" s="54"/>
      <c r="D1043" s="11"/>
      <c r="E1043" s="124"/>
      <c r="F1043" s="54"/>
      <c r="G1043" s="13">
        <f t="shared" si="58"/>
        <v>0</v>
      </c>
    </row>
    <row r="1044" spans="1:7" ht="17.25" thickBot="1" x14ac:dyDescent="0.35">
      <c r="A1044" s="1"/>
      <c r="B1044" s="68"/>
      <c r="C1044" s="33"/>
      <c r="D1044" s="30"/>
      <c r="E1044" s="31"/>
      <c r="F1044" s="33"/>
      <c r="G1044" s="32">
        <f t="shared" si="58"/>
        <v>0</v>
      </c>
    </row>
    <row r="1045" spans="1:7" ht="17.25" thickBot="1" x14ac:dyDescent="0.35">
      <c r="A1045" s="1"/>
      <c r="B1045" s="55" t="s">
        <v>281</v>
      </c>
      <c r="C1045" s="56"/>
      <c r="D1045" s="56"/>
      <c r="E1045" s="57"/>
      <c r="F1045" s="58" t="s">
        <v>288</v>
      </c>
      <c r="G1045" s="59"/>
    </row>
    <row r="1046" spans="1:7" ht="17.25" thickBot="1" x14ac:dyDescent="0.35">
      <c r="A1046" s="1"/>
      <c r="B1046" s="15" t="s">
        <v>440</v>
      </c>
      <c r="C1046" s="16" t="s">
        <v>321</v>
      </c>
      <c r="D1046" s="60"/>
      <c r="E1046" s="61">
        <v>0.5</v>
      </c>
      <c r="F1046" s="16">
        <f>+'FACTOR PRESTACIONAL'!K9+'FACTOR PRESTACIONAL'!K10</f>
        <v>272406.29732663167</v>
      </c>
      <c r="G1046" s="17">
        <f>F1046*E1046</f>
        <v>136203.14866331583</v>
      </c>
    </row>
    <row r="1047" spans="1:7" ht="17.25" thickBot="1" x14ac:dyDescent="0.35">
      <c r="A1047" s="1"/>
      <c r="B1047" s="55" t="s">
        <v>283</v>
      </c>
      <c r="C1047" s="56"/>
      <c r="D1047" s="56"/>
      <c r="E1047" s="57"/>
      <c r="F1047" s="58"/>
      <c r="G1047" s="59"/>
    </row>
    <row r="1048" spans="1:7" ht="17.25" thickBot="1" x14ac:dyDescent="0.35">
      <c r="A1048" s="1"/>
      <c r="B1048" s="15" t="s">
        <v>310</v>
      </c>
      <c r="C1048" s="16" t="s">
        <v>169</v>
      </c>
      <c r="D1048" s="60"/>
      <c r="E1048" s="61">
        <v>1</v>
      </c>
      <c r="F1048" s="16">
        <v>15000</v>
      </c>
      <c r="G1048" s="17">
        <f>+ROUND((1+D1048)*E1048*F1048,0)</f>
        <v>15000</v>
      </c>
    </row>
    <row r="1049" spans="1:7" ht="17.25" thickBot="1" x14ac:dyDescent="0.35">
      <c r="A1049" s="1"/>
      <c r="B1049" s="62" t="s">
        <v>286</v>
      </c>
      <c r="C1049" s="5"/>
      <c r="D1049" s="5"/>
      <c r="E1049" s="6"/>
      <c r="F1049" s="63"/>
      <c r="G1049" s="64"/>
    </row>
    <row r="1050" spans="1:7" ht="17.25" thickBot="1" x14ac:dyDescent="0.35">
      <c r="A1050" s="1"/>
      <c r="B1050" s="38" t="s">
        <v>286</v>
      </c>
      <c r="C1050" s="47" t="s">
        <v>124</v>
      </c>
      <c r="D1050" s="45"/>
      <c r="E1050" s="46">
        <v>0.05</v>
      </c>
      <c r="F1050" s="41">
        <f>+G1046</f>
        <v>136203.14866331583</v>
      </c>
      <c r="G1050" s="40">
        <f>+ROUND(E1050*F1050,0)</f>
        <v>6810</v>
      </c>
    </row>
    <row r="1051" spans="1:7" ht="17.25" thickBot="1" x14ac:dyDescent="0.35">
      <c r="A1051" s="1"/>
      <c r="B1051" s="2"/>
      <c r="C1051" s="39"/>
      <c r="D1051" s="18" t="s">
        <v>287</v>
      </c>
      <c r="E1051" s="19"/>
      <c r="F1051" s="20"/>
      <c r="G1051" s="17">
        <f>SUM(G1036:G1050)</f>
        <v>526186.14866331581</v>
      </c>
    </row>
    <row r="1052" spans="1:7" hidden="1" x14ac:dyDescent="0.3">
      <c r="A1052" s="1"/>
      <c r="B1052" s="2"/>
      <c r="C1052" s="3"/>
      <c r="D1052" s="21" t="s">
        <v>289</v>
      </c>
      <c r="E1052" s="22"/>
      <c r="F1052" s="23" t="e">
        <f>+F1029</f>
        <v>#REF!</v>
      </c>
      <c r="G1052" s="24" t="e">
        <f>+ROUND(G1051*F1052,0)</f>
        <v>#REF!</v>
      </c>
    </row>
    <row r="1053" spans="1:7" hidden="1" x14ac:dyDescent="0.3">
      <c r="A1053" s="1"/>
      <c r="B1053" s="2"/>
      <c r="C1053" s="3"/>
      <c r="D1053" s="25" t="s">
        <v>290</v>
      </c>
      <c r="E1053" s="26"/>
      <c r="F1053" s="23" t="e">
        <f t="shared" ref="F1053:F1054" si="59">+F1030</f>
        <v>#REF!</v>
      </c>
      <c r="G1053" s="14" t="e">
        <f>+ROUND(G1051*F1053,0)</f>
        <v>#REF!</v>
      </c>
    </row>
    <row r="1054" spans="1:7" ht="17.25" hidden="1" thickBot="1" x14ac:dyDescent="0.35">
      <c r="A1054" s="1"/>
      <c r="B1054" s="2"/>
      <c r="C1054" s="3"/>
      <c r="D1054" s="25" t="s">
        <v>291</v>
      </c>
      <c r="E1054" s="26"/>
      <c r="F1054" s="23" t="e">
        <f t="shared" si="59"/>
        <v>#REF!</v>
      </c>
      <c r="G1054" s="14" t="e">
        <f>+ROUND(G1051*F1054,0)</f>
        <v>#REF!</v>
      </c>
    </row>
    <row r="1055" spans="1:7" ht="17.25" hidden="1" thickBot="1" x14ac:dyDescent="0.35">
      <c r="A1055" s="1"/>
      <c r="B1055" s="2"/>
      <c r="C1055" s="3"/>
      <c r="D1055" s="18" t="s">
        <v>10</v>
      </c>
      <c r="E1055" s="29"/>
      <c r="F1055" s="20"/>
      <c r="G1055" s="17" t="e">
        <f>SUM(G1051:G1054)</f>
        <v>#REF!</v>
      </c>
    </row>
    <row r="1056" spans="1:7" ht="17.25" thickBot="1" x14ac:dyDescent="0.35">
      <c r="A1056" s="1"/>
      <c r="B1056" s="2"/>
      <c r="C1056" s="3"/>
      <c r="D1056" s="121"/>
      <c r="E1056" s="122"/>
      <c r="F1056" s="39"/>
      <c r="G1056" s="39"/>
    </row>
    <row r="1057" spans="1:7" ht="50.25" thickBot="1" x14ac:dyDescent="0.35">
      <c r="A1057" s="358">
        <f>PPTO!B73</f>
        <v>8.1999999999999993</v>
      </c>
      <c r="B1057" s="359" t="str">
        <f>VLOOKUP(A1057,PPTO!$B$8:$D$94,2,0)</f>
        <v xml:space="preserve">Suministro e instalación de Puerta metálica: ala incrustada en perfil metálico cerramiento en perfiles tipo Z y marco metálico. Incluye sello y todos sus accesorios para su correcta instalación y funcionamiento.Color negro mate                                                                                                           </v>
      </c>
      <c r="C1057" s="360" t="s">
        <v>85</v>
      </c>
      <c r="D1057" s="361" t="s">
        <v>274</v>
      </c>
      <c r="E1057" s="362" t="s">
        <v>275</v>
      </c>
      <c r="F1057" s="360" t="s">
        <v>276</v>
      </c>
      <c r="G1057" s="363" t="s">
        <v>277</v>
      </c>
    </row>
    <row r="1058" spans="1:7" x14ac:dyDescent="0.3">
      <c r="A1058" s="1" t="s">
        <v>288</v>
      </c>
      <c r="B1058" s="51" t="s">
        <v>278</v>
      </c>
      <c r="C1058" s="43"/>
      <c r="D1058" s="43"/>
      <c r="E1058" s="44"/>
      <c r="F1058" s="52"/>
      <c r="G1058" s="7"/>
    </row>
    <row r="1059" spans="1:7" x14ac:dyDescent="0.3">
      <c r="A1059" s="1"/>
      <c r="B1059" s="68" t="s">
        <v>444</v>
      </c>
      <c r="C1059" s="54" t="str">
        <f>VLOOKUP(B1059,INSUMOS!$B$2:$D$562,2,0)</f>
        <v xml:space="preserve">m2 </v>
      </c>
      <c r="D1059" s="11"/>
      <c r="E1059" s="124">
        <v>1</v>
      </c>
      <c r="F1059" s="54">
        <f>VLOOKUP(B1059,INSUMOS!$B$2:$D$562,3,0)</f>
        <v>450000</v>
      </c>
      <c r="G1059" s="13">
        <f>+ROUND((1+D1059)*E1059*F1059,0)</f>
        <v>450000</v>
      </c>
    </row>
    <row r="1060" spans="1:7" x14ac:dyDescent="0.3">
      <c r="A1060" s="1"/>
      <c r="B1060" s="68" t="s">
        <v>442</v>
      </c>
      <c r="C1060" s="54" t="str">
        <f>VLOOKUP(B1060,INSUMOS!$B$2:$D$562,2,0)</f>
        <v>un</v>
      </c>
      <c r="D1060" s="11"/>
      <c r="E1060" s="124">
        <v>3.3000000000000002E-2</v>
      </c>
      <c r="F1060" s="54">
        <f>VLOOKUP(B1060,INSUMOS!$B$2:$D$562,3,0)</f>
        <v>58900</v>
      </c>
      <c r="G1060" s="13">
        <f>+ROUND((1+D1060)*E1060*F1060,0)</f>
        <v>1944</v>
      </c>
    </row>
    <row r="1061" spans="1:7" x14ac:dyDescent="0.3">
      <c r="A1061" s="1"/>
      <c r="B1061" s="68" t="s">
        <v>363</v>
      </c>
      <c r="C1061" s="54" t="str">
        <f>VLOOKUP(B1061,INSUMOS!$B$2:$D$562,2,0)</f>
        <v>un</v>
      </c>
      <c r="D1061" s="11"/>
      <c r="E1061" s="124">
        <v>10</v>
      </c>
      <c r="F1061" s="54">
        <f>VLOOKUP(B1061,INSUMOS!$B$2:$D$562,3,0)</f>
        <v>121.00000000000001</v>
      </c>
      <c r="G1061" s="13">
        <f>+ROUND((1+D1061)*E1061*F1061,0)</f>
        <v>1210</v>
      </c>
    </row>
    <row r="1062" spans="1:7" x14ac:dyDescent="0.3">
      <c r="A1062" s="1"/>
      <c r="B1062" s="68"/>
      <c r="C1062" s="54"/>
      <c r="D1062" s="11"/>
      <c r="E1062" s="124"/>
      <c r="F1062" s="54"/>
      <c r="G1062" s="13">
        <f>+ROUND((1+D1062)*E1062*F1062,0)</f>
        <v>0</v>
      </c>
    </row>
    <row r="1063" spans="1:7" x14ac:dyDescent="0.3">
      <c r="A1063" s="1"/>
      <c r="B1063" s="68"/>
      <c r="C1063" s="54"/>
      <c r="D1063" s="11"/>
      <c r="E1063" s="124"/>
      <c r="F1063" s="54"/>
      <c r="G1063" s="13"/>
    </row>
    <row r="1064" spans="1:7" x14ac:dyDescent="0.3">
      <c r="A1064" s="1"/>
      <c r="B1064" s="68"/>
      <c r="C1064" s="54"/>
      <c r="D1064" s="11"/>
      <c r="E1064" s="124"/>
      <c r="F1064" s="54"/>
      <c r="G1064" s="13"/>
    </row>
    <row r="1065" spans="1:7" x14ac:dyDescent="0.3">
      <c r="A1065" s="1"/>
      <c r="B1065" s="68"/>
      <c r="C1065" s="54"/>
      <c r="D1065" s="11"/>
      <c r="E1065" s="124"/>
      <c r="F1065" s="54"/>
      <c r="G1065" s="13">
        <f t="shared" ref="G1065:G1067" si="60">+ROUND((1+D1065)*E1065*F1065,0)</f>
        <v>0</v>
      </c>
    </row>
    <row r="1066" spans="1:7" x14ac:dyDescent="0.3">
      <c r="A1066" s="1"/>
      <c r="B1066" s="68"/>
      <c r="C1066" s="54"/>
      <c r="D1066" s="11"/>
      <c r="E1066" s="124"/>
      <c r="F1066" s="54"/>
      <c r="G1066" s="13">
        <f t="shared" si="60"/>
        <v>0</v>
      </c>
    </row>
    <row r="1067" spans="1:7" ht="17.25" thickBot="1" x14ac:dyDescent="0.35">
      <c r="A1067" s="1"/>
      <c r="B1067" s="68"/>
      <c r="C1067" s="33"/>
      <c r="D1067" s="30"/>
      <c r="E1067" s="31"/>
      <c r="F1067" s="33"/>
      <c r="G1067" s="32">
        <f t="shared" si="60"/>
        <v>0</v>
      </c>
    </row>
    <row r="1068" spans="1:7" ht="17.25" thickBot="1" x14ac:dyDescent="0.35">
      <c r="A1068" s="1"/>
      <c r="B1068" s="55" t="s">
        <v>281</v>
      </c>
      <c r="C1068" s="56"/>
      <c r="D1068" s="56"/>
      <c r="E1068" s="57"/>
      <c r="F1068" s="58" t="s">
        <v>288</v>
      </c>
      <c r="G1068" s="59"/>
    </row>
    <row r="1069" spans="1:7" ht="17.25" thickBot="1" x14ac:dyDescent="0.35">
      <c r="A1069" s="1"/>
      <c r="B1069" s="15" t="s">
        <v>440</v>
      </c>
      <c r="C1069" s="16" t="s">
        <v>169</v>
      </c>
      <c r="D1069" s="60"/>
      <c r="E1069" s="61">
        <v>0.5</v>
      </c>
      <c r="F1069" s="16">
        <f>+F1046</f>
        <v>272406.29732663167</v>
      </c>
      <c r="G1069" s="17">
        <f>F1069*E1069</f>
        <v>136203.14866331583</v>
      </c>
    </row>
    <row r="1070" spans="1:7" ht="17.25" thickBot="1" x14ac:dyDescent="0.35">
      <c r="A1070" s="1"/>
      <c r="B1070" s="55" t="s">
        <v>283</v>
      </c>
      <c r="C1070" s="56"/>
      <c r="D1070" s="56"/>
      <c r="E1070" s="57"/>
      <c r="F1070" s="58"/>
      <c r="G1070" s="59"/>
    </row>
    <row r="1071" spans="1:7" ht="17.25" thickBot="1" x14ac:dyDescent="0.35">
      <c r="A1071" s="1"/>
      <c r="B1071" s="15" t="s">
        <v>310</v>
      </c>
      <c r="C1071" s="16" t="s">
        <v>169</v>
      </c>
      <c r="D1071" s="60"/>
      <c r="E1071" s="61">
        <v>1</v>
      </c>
      <c r="F1071" s="16">
        <v>15000</v>
      </c>
      <c r="G1071" s="17">
        <f>+ROUND((1+D1071)*E1071*F1071,0)</f>
        <v>15000</v>
      </c>
    </row>
    <row r="1072" spans="1:7" ht="17.25" thickBot="1" x14ac:dyDescent="0.35">
      <c r="A1072" s="1"/>
      <c r="B1072" s="62" t="s">
        <v>286</v>
      </c>
      <c r="C1072" s="5"/>
      <c r="D1072" s="5"/>
      <c r="E1072" s="6"/>
      <c r="F1072" s="63"/>
      <c r="G1072" s="64"/>
    </row>
    <row r="1073" spans="1:7" ht="17.25" thickBot="1" x14ac:dyDescent="0.35">
      <c r="A1073" s="1"/>
      <c r="B1073" s="38" t="s">
        <v>286</v>
      </c>
      <c r="C1073" s="47" t="s">
        <v>124</v>
      </c>
      <c r="D1073" s="45"/>
      <c r="E1073" s="46">
        <v>0.05</v>
      </c>
      <c r="F1073" s="41">
        <f>G1069</f>
        <v>136203.14866331583</v>
      </c>
      <c r="G1073" s="40">
        <f>+ROUND(E1073*F1073,0)</f>
        <v>6810</v>
      </c>
    </row>
    <row r="1074" spans="1:7" ht="17.25" thickBot="1" x14ac:dyDescent="0.35">
      <c r="A1074" s="1"/>
      <c r="B1074" s="2"/>
      <c r="C1074" s="39"/>
      <c r="D1074" s="18" t="s">
        <v>287</v>
      </c>
      <c r="E1074" s="19"/>
      <c r="F1074" s="20"/>
      <c r="G1074" s="17">
        <f>SUM(G1059:G1073)</f>
        <v>611167.14866331581</v>
      </c>
    </row>
    <row r="1075" spans="1:7" hidden="1" x14ac:dyDescent="0.3">
      <c r="A1075" s="1"/>
      <c r="B1075" s="2"/>
      <c r="C1075" s="3"/>
      <c r="D1075" s="21" t="s">
        <v>289</v>
      </c>
      <c r="E1075" s="22"/>
      <c r="F1075" s="23" t="e">
        <f>+F1052</f>
        <v>#REF!</v>
      </c>
      <c r="G1075" s="24" t="e">
        <f>+ROUND(G1074*F1075,0)</f>
        <v>#REF!</v>
      </c>
    </row>
    <row r="1076" spans="1:7" hidden="1" x14ac:dyDescent="0.3">
      <c r="A1076" s="1"/>
      <c r="B1076" s="2"/>
      <c r="C1076" s="3"/>
      <c r="D1076" s="25" t="s">
        <v>290</v>
      </c>
      <c r="E1076" s="26"/>
      <c r="F1076" s="23" t="e">
        <f t="shared" ref="F1076:F1077" si="61">+F1053</f>
        <v>#REF!</v>
      </c>
      <c r="G1076" s="14" t="e">
        <f>+ROUND(G1074*F1076,0)</f>
        <v>#REF!</v>
      </c>
    </row>
    <row r="1077" spans="1:7" ht="17.25" hidden="1" thickBot="1" x14ac:dyDescent="0.35">
      <c r="A1077" s="1"/>
      <c r="B1077" s="2"/>
      <c r="C1077" s="3"/>
      <c r="D1077" s="25" t="s">
        <v>291</v>
      </c>
      <c r="E1077" s="26"/>
      <c r="F1077" s="23" t="e">
        <f t="shared" si="61"/>
        <v>#REF!</v>
      </c>
      <c r="G1077" s="14" t="e">
        <f>+ROUND(G1074*F1077,0)</f>
        <v>#REF!</v>
      </c>
    </row>
    <row r="1078" spans="1:7" ht="17.25" hidden="1" thickBot="1" x14ac:dyDescent="0.35">
      <c r="A1078" s="1"/>
      <c r="B1078" s="2"/>
      <c r="C1078" s="3"/>
      <c r="D1078" s="18" t="s">
        <v>10</v>
      </c>
      <c r="E1078" s="29"/>
      <c r="F1078" s="20"/>
      <c r="G1078" s="17" t="e">
        <f>SUM(G1074:G1077)</f>
        <v>#REF!</v>
      </c>
    </row>
    <row r="1079" spans="1:7" ht="17.25" thickBot="1" x14ac:dyDescent="0.35">
      <c r="A1079" s="1"/>
      <c r="B1079" s="2"/>
      <c r="C1079" s="3"/>
      <c r="D1079" s="121"/>
      <c r="E1079" s="122"/>
      <c r="F1079" s="39"/>
      <c r="G1079" s="39"/>
    </row>
    <row r="1080" spans="1:7" ht="50.25" thickBot="1" x14ac:dyDescent="0.35">
      <c r="A1080" s="358">
        <v>8.3000000000000007</v>
      </c>
      <c r="B1080" s="359" t="str">
        <f>VLOOKUP(A1080,PPTO!$B$8:$D$94,2,0)</f>
        <v xml:space="preserve">Suministro e instalación de ventanas con rejilla metálica: perfil metálico con rejillas tipo persiana Incluye sello y todos sus accesorios para su correcta instalación y funcionamiento. Color negro mate                                                                                                           </v>
      </c>
      <c r="C1080" s="360" t="s">
        <v>85</v>
      </c>
      <c r="D1080" s="361" t="s">
        <v>274</v>
      </c>
      <c r="E1080" s="362" t="s">
        <v>275</v>
      </c>
      <c r="F1080" s="360" t="s">
        <v>276</v>
      </c>
      <c r="G1080" s="363" t="s">
        <v>277</v>
      </c>
    </row>
    <row r="1081" spans="1:7" x14ac:dyDescent="0.3">
      <c r="A1081" s="1" t="s">
        <v>288</v>
      </c>
      <c r="B1081" s="51" t="s">
        <v>278</v>
      </c>
      <c r="C1081" s="43"/>
      <c r="D1081" s="43"/>
      <c r="E1081" s="44"/>
      <c r="F1081" s="52"/>
      <c r="G1081" s="7"/>
    </row>
    <row r="1082" spans="1:7" x14ac:dyDescent="0.3">
      <c r="A1082" s="1"/>
      <c r="B1082" s="68" t="s">
        <v>445</v>
      </c>
      <c r="C1082" s="54" t="str">
        <f>VLOOKUP(B1082,INSUMOS!$B$2:$D$562,2,0)</f>
        <v>m2</v>
      </c>
      <c r="D1082" s="11"/>
      <c r="E1082" s="124">
        <v>1</v>
      </c>
      <c r="F1082" s="54">
        <f>VLOOKUP(B1082,INSUMOS!$B$2:$D$562,3,0)</f>
        <v>150000</v>
      </c>
      <c r="G1082" s="13">
        <f>+ROUND((1+D1082)*E1082*F1082,0)</f>
        <v>150000</v>
      </c>
    </row>
    <row r="1083" spans="1:7" x14ac:dyDescent="0.3">
      <c r="A1083" s="1"/>
      <c r="B1083" s="68" t="s">
        <v>442</v>
      </c>
      <c r="C1083" s="54" t="str">
        <f>VLOOKUP(B1083,INSUMOS!$B$2:$D$562,2,0)</f>
        <v>un</v>
      </c>
      <c r="D1083" s="11"/>
      <c r="E1083" s="124">
        <v>3.3000000000000002E-2</v>
      </c>
      <c r="F1083" s="54">
        <f>VLOOKUP(B1083,INSUMOS!$B$2:$D$562,3,0)</f>
        <v>58900</v>
      </c>
      <c r="G1083" s="13">
        <f>+ROUND((1+D1083)*E1083*F1083,0)</f>
        <v>1944</v>
      </c>
    </row>
    <row r="1084" spans="1:7" x14ac:dyDescent="0.3">
      <c r="A1084" s="1"/>
      <c r="B1084" s="68" t="s">
        <v>363</v>
      </c>
      <c r="C1084" s="54" t="str">
        <f>VLOOKUP(B1084,INSUMOS!$B$2:$D$562,2,0)</f>
        <v>un</v>
      </c>
      <c r="D1084" s="11"/>
      <c r="E1084" s="124">
        <v>10</v>
      </c>
      <c r="F1084" s="54">
        <f>VLOOKUP(B1084,INSUMOS!$B$2:$D$562,3,0)</f>
        <v>121.00000000000001</v>
      </c>
      <c r="G1084" s="13">
        <f>+ROUND((1+D1084)*E1084*F1084,0)</f>
        <v>1210</v>
      </c>
    </row>
    <row r="1085" spans="1:7" x14ac:dyDescent="0.3">
      <c r="A1085" s="1"/>
      <c r="B1085" s="68"/>
      <c r="C1085" s="54"/>
      <c r="D1085" s="11"/>
      <c r="E1085" s="124"/>
      <c r="F1085" s="54"/>
      <c r="G1085" s="13">
        <f>+ROUND((1+D1085)*E1085*F1085,0)</f>
        <v>0</v>
      </c>
    </row>
    <row r="1086" spans="1:7" x14ac:dyDescent="0.3">
      <c r="A1086" s="1"/>
      <c r="B1086" s="68"/>
      <c r="C1086" s="54"/>
      <c r="D1086" s="11"/>
      <c r="E1086" s="124"/>
      <c r="F1086" s="54"/>
      <c r="G1086" s="13"/>
    </row>
    <row r="1087" spans="1:7" x14ac:dyDescent="0.3">
      <c r="A1087" s="1"/>
      <c r="B1087" s="68"/>
      <c r="C1087" s="54"/>
      <c r="D1087" s="11"/>
      <c r="E1087" s="124"/>
      <c r="F1087" s="54"/>
      <c r="G1087" s="13"/>
    </row>
    <row r="1088" spans="1:7" x14ac:dyDescent="0.3">
      <c r="A1088" s="1"/>
      <c r="B1088" s="68"/>
      <c r="C1088" s="54"/>
      <c r="D1088" s="11"/>
      <c r="E1088" s="124"/>
      <c r="F1088" s="54"/>
      <c r="G1088" s="13">
        <f t="shared" ref="G1088:G1090" si="62">+ROUND((1+D1088)*E1088*F1088,0)</f>
        <v>0</v>
      </c>
    </row>
    <row r="1089" spans="1:7" x14ac:dyDescent="0.3">
      <c r="A1089" s="1"/>
      <c r="B1089" s="68"/>
      <c r="C1089" s="54"/>
      <c r="D1089" s="11"/>
      <c r="E1089" s="124"/>
      <c r="F1089" s="54"/>
      <c r="G1089" s="13">
        <f t="shared" si="62"/>
        <v>0</v>
      </c>
    </row>
    <row r="1090" spans="1:7" ht="17.25" thickBot="1" x14ac:dyDescent="0.35">
      <c r="A1090" s="1"/>
      <c r="B1090" s="68"/>
      <c r="C1090" s="33"/>
      <c r="D1090" s="30"/>
      <c r="E1090" s="31"/>
      <c r="F1090" s="33"/>
      <c r="G1090" s="32">
        <f t="shared" si="62"/>
        <v>0</v>
      </c>
    </row>
    <row r="1091" spans="1:7" ht="17.25" thickBot="1" x14ac:dyDescent="0.35">
      <c r="A1091" s="1"/>
      <c r="B1091" s="55" t="s">
        <v>281</v>
      </c>
      <c r="C1091" s="56"/>
      <c r="D1091" s="56"/>
      <c r="E1091" s="57"/>
      <c r="F1091" s="58" t="s">
        <v>288</v>
      </c>
      <c r="G1091" s="59"/>
    </row>
    <row r="1092" spans="1:7" ht="17.25" thickBot="1" x14ac:dyDescent="0.35">
      <c r="A1092" s="1"/>
      <c r="B1092" s="15" t="s">
        <v>440</v>
      </c>
      <c r="C1092" s="16" t="s">
        <v>169</v>
      </c>
      <c r="D1092" s="60"/>
      <c r="E1092" s="61">
        <v>0.5</v>
      </c>
      <c r="F1092" s="16">
        <f>+F1069</f>
        <v>272406.29732663167</v>
      </c>
      <c r="G1092" s="17">
        <f>F1092*E1092</f>
        <v>136203.14866331583</v>
      </c>
    </row>
    <row r="1093" spans="1:7" ht="17.25" thickBot="1" x14ac:dyDescent="0.35">
      <c r="A1093" s="1"/>
      <c r="B1093" s="55" t="s">
        <v>283</v>
      </c>
      <c r="C1093" s="56"/>
      <c r="D1093" s="56"/>
      <c r="E1093" s="57"/>
      <c r="F1093" s="58"/>
      <c r="G1093" s="59"/>
    </row>
    <row r="1094" spans="1:7" ht="17.25" thickBot="1" x14ac:dyDescent="0.35">
      <c r="A1094" s="1"/>
      <c r="B1094" s="15" t="s">
        <v>310</v>
      </c>
      <c r="C1094" s="16" t="s">
        <v>169</v>
      </c>
      <c r="D1094" s="60"/>
      <c r="E1094" s="61">
        <v>1</v>
      </c>
      <c r="F1094" s="16">
        <v>15000</v>
      </c>
      <c r="G1094" s="17">
        <f>+ROUND((1+D1094)*E1094*F1094,0)</f>
        <v>15000</v>
      </c>
    </row>
    <row r="1095" spans="1:7" ht="17.25" thickBot="1" x14ac:dyDescent="0.35">
      <c r="A1095" s="1"/>
      <c r="B1095" s="62" t="s">
        <v>286</v>
      </c>
      <c r="C1095" s="5"/>
      <c r="D1095" s="5"/>
      <c r="E1095" s="6"/>
      <c r="F1095" s="63"/>
      <c r="G1095" s="64"/>
    </row>
    <row r="1096" spans="1:7" ht="17.25" thickBot="1" x14ac:dyDescent="0.35">
      <c r="A1096" s="1"/>
      <c r="B1096" s="38" t="s">
        <v>286</v>
      </c>
      <c r="C1096" s="47" t="s">
        <v>124</v>
      </c>
      <c r="D1096" s="45"/>
      <c r="E1096" s="46">
        <v>0.05</v>
      </c>
      <c r="F1096" s="41">
        <f>G1092</f>
        <v>136203.14866331583</v>
      </c>
      <c r="G1096" s="40">
        <f>+ROUND(E1096*F1096,0)</f>
        <v>6810</v>
      </c>
    </row>
    <row r="1097" spans="1:7" ht="17.25" thickBot="1" x14ac:dyDescent="0.35">
      <c r="A1097" s="1"/>
      <c r="B1097" s="2"/>
      <c r="C1097" s="39"/>
      <c r="D1097" s="18" t="s">
        <v>287</v>
      </c>
      <c r="E1097" s="19"/>
      <c r="F1097" s="20"/>
      <c r="G1097" s="17">
        <f>SUM(G1082:G1096)</f>
        <v>311167.14866331581</v>
      </c>
    </row>
    <row r="1098" spans="1:7" ht="17.25" thickBot="1" x14ac:dyDescent="0.35">
      <c r="A1098" s="1"/>
      <c r="B1098" s="2"/>
      <c r="C1098" s="3"/>
      <c r="D1098" s="121"/>
      <c r="E1098" s="122"/>
      <c r="F1098" s="39"/>
      <c r="G1098" s="39"/>
    </row>
    <row r="1099" spans="1:7" ht="50.25" thickBot="1" x14ac:dyDescent="0.35">
      <c r="A1099" s="358">
        <v>8.4</v>
      </c>
      <c r="B1099" s="359" t="str">
        <f>VLOOKUP(A1099,PPTO!$B$8:$D$94,2,0)</f>
        <v>Suministro e Instalación Divisiones de sanitarios en Acero Inox , Calibre 20 Satinado, con puertas y Tabiques en altura de 1600mm SAE 304 , Incluye Cerrojos , Percheros , Parales Altura de 1800mm.</v>
      </c>
      <c r="C1099" s="360" t="s">
        <v>85</v>
      </c>
      <c r="D1099" s="361" t="s">
        <v>274</v>
      </c>
      <c r="E1099" s="362" t="s">
        <v>275</v>
      </c>
      <c r="F1099" s="360" t="s">
        <v>276</v>
      </c>
      <c r="G1099" s="363" t="s">
        <v>277</v>
      </c>
    </row>
    <row r="1100" spans="1:7" x14ac:dyDescent="0.3">
      <c r="A1100" s="1" t="s">
        <v>288</v>
      </c>
      <c r="B1100" s="51" t="s">
        <v>278</v>
      </c>
      <c r="C1100" s="43"/>
      <c r="D1100" s="43"/>
      <c r="E1100" s="44"/>
      <c r="F1100" s="52"/>
      <c r="G1100" s="7"/>
    </row>
    <row r="1101" spans="1:7" x14ac:dyDescent="0.3">
      <c r="A1101" s="1"/>
      <c r="B1101" s="68" t="s">
        <v>446</v>
      </c>
      <c r="C1101" s="54" t="str">
        <f>VLOOKUP(B1101,INSUMOS!$B$2:$D$562,2,0)</f>
        <v>m2</v>
      </c>
      <c r="D1101" s="11"/>
      <c r="E1101" s="124">
        <v>1</v>
      </c>
      <c r="F1101" s="54">
        <f>VLOOKUP(B1101,INSUMOS!$B$2:$D$562,3,0)</f>
        <v>390000</v>
      </c>
      <c r="G1101" s="13">
        <f t="shared" ref="G1101:G1106" si="63">+ROUND((1+D1101)*E1101*F1101,0)</f>
        <v>390000</v>
      </c>
    </row>
    <row r="1102" spans="1:7" x14ac:dyDescent="0.3">
      <c r="A1102" s="1"/>
      <c r="B1102" s="68" t="s">
        <v>442</v>
      </c>
      <c r="C1102" s="54" t="str">
        <f>VLOOKUP(B1102,INSUMOS!$B$2:$D$562,2,0)</f>
        <v>un</v>
      </c>
      <c r="D1102" s="11"/>
      <c r="E1102" s="124">
        <v>3.3000000000000002E-2</v>
      </c>
      <c r="F1102" s="54">
        <f>VLOOKUP(B1102,INSUMOS!$B$2:$D$562,3,0)</f>
        <v>58900</v>
      </c>
      <c r="G1102" s="13">
        <f t="shared" si="63"/>
        <v>1944</v>
      </c>
    </row>
    <row r="1103" spans="1:7" x14ac:dyDescent="0.3">
      <c r="A1103" s="1"/>
      <c r="B1103" s="68" t="s">
        <v>363</v>
      </c>
      <c r="C1103" s="54" t="str">
        <f>VLOOKUP(B1103,INSUMOS!$B$2:$D$562,2,0)</f>
        <v>un</v>
      </c>
      <c r="D1103" s="11"/>
      <c r="E1103" s="124">
        <v>20</v>
      </c>
      <c r="F1103" s="54">
        <f>VLOOKUP(B1103,INSUMOS!$B$2:$D$562,3,0)</f>
        <v>121.00000000000001</v>
      </c>
      <c r="G1103" s="13">
        <f t="shared" si="63"/>
        <v>2420</v>
      </c>
    </row>
    <row r="1104" spans="1:7" x14ac:dyDescent="0.3">
      <c r="A1104" s="1"/>
      <c r="B1104" s="68" t="s">
        <v>447</v>
      </c>
      <c r="C1104" s="54" t="str">
        <f>VLOOKUP(B1104,INSUMOS!$B$2:$D$562,2,0)</f>
        <v>un</v>
      </c>
      <c r="D1104" s="11"/>
      <c r="E1104" s="124">
        <v>1</v>
      </c>
      <c r="F1104" s="54">
        <f>VLOOKUP(B1104,INSUMOS!$B$2:$D$562,3,0)</f>
        <v>70000</v>
      </c>
      <c r="G1104" s="13">
        <f t="shared" si="63"/>
        <v>70000</v>
      </c>
    </row>
    <row r="1105" spans="1:7" x14ac:dyDescent="0.3">
      <c r="A1105" s="1"/>
      <c r="B1105" s="68" t="s">
        <v>448</v>
      </c>
      <c r="C1105" s="54" t="str">
        <f>VLOOKUP(B1105,INSUMOS!$B$2:$D$562,2,0)</f>
        <v>un</v>
      </c>
      <c r="D1105" s="11"/>
      <c r="E1105" s="124">
        <v>0.5</v>
      </c>
      <c r="F1105" s="54">
        <f>VLOOKUP(B1105,INSUMOS!$B$2:$D$562,3,0)</f>
        <v>50000</v>
      </c>
      <c r="G1105" s="13">
        <f t="shared" si="63"/>
        <v>25000</v>
      </c>
    </row>
    <row r="1106" spans="1:7" x14ac:dyDescent="0.3">
      <c r="A1106" s="1"/>
      <c r="B1106" s="68" t="s">
        <v>449</v>
      </c>
      <c r="C1106" s="54" t="str">
        <f>VLOOKUP(B1106,INSUMOS!$B$2:$D$562,2,0)</f>
        <v>UN</v>
      </c>
      <c r="D1106" s="11"/>
      <c r="E1106" s="124">
        <v>0.5</v>
      </c>
      <c r="F1106" s="54">
        <f>VLOOKUP(B1106,INSUMOS!$B$2:$D$562,3,0)</f>
        <v>9831.2500000000036</v>
      </c>
      <c r="G1106" s="13">
        <f t="shared" si="63"/>
        <v>4916</v>
      </c>
    </row>
    <row r="1107" spans="1:7" x14ac:dyDescent="0.3">
      <c r="A1107" s="1"/>
      <c r="B1107" s="68"/>
      <c r="C1107" s="54"/>
      <c r="D1107" s="11"/>
      <c r="E1107" s="124"/>
      <c r="F1107" s="54"/>
      <c r="G1107" s="13">
        <f t="shared" ref="G1107:G1109" si="64">+ROUND((1+D1107)*E1107*F1107,0)</f>
        <v>0</v>
      </c>
    </row>
    <row r="1108" spans="1:7" x14ac:dyDescent="0.3">
      <c r="A1108" s="1"/>
      <c r="B1108" s="68"/>
      <c r="C1108" s="54"/>
      <c r="D1108" s="11"/>
      <c r="E1108" s="124"/>
      <c r="F1108" s="54"/>
      <c r="G1108" s="13">
        <f t="shared" si="64"/>
        <v>0</v>
      </c>
    </row>
    <row r="1109" spans="1:7" ht="17.25" thickBot="1" x14ac:dyDescent="0.35">
      <c r="A1109" s="1"/>
      <c r="B1109" s="68"/>
      <c r="C1109" s="33"/>
      <c r="D1109" s="30"/>
      <c r="E1109" s="31"/>
      <c r="F1109" s="33"/>
      <c r="G1109" s="32">
        <f t="shared" si="64"/>
        <v>0</v>
      </c>
    </row>
    <row r="1110" spans="1:7" ht="17.25" thickBot="1" x14ac:dyDescent="0.35">
      <c r="A1110" s="1"/>
      <c r="B1110" s="55" t="s">
        <v>281</v>
      </c>
      <c r="C1110" s="56"/>
      <c r="D1110" s="56"/>
      <c r="E1110" s="57"/>
      <c r="F1110" s="58" t="s">
        <v>288</v>
      </c>
      <c r="G1110" s="59"/>
    </row>
    <row r="1111" spans="1:7" ht="17.25" thickBot="1" x14ac:dyDescent="0.35">
      <c r="A1111" s="1"/>
      <c r="B1111" s="15" t="s">
        <v>440</v>
      </c>
      <c r="C1111" s="16" t="s">
        <v>169</v>
      </c>
      <c r="D1111" s="60"/>
      <c r="E1111" s="61">
        <v>0.1</v>
      </c>
      <c r="F1111" s="16">
        <f>+'FACTOR PRESTACIONAL'!K9+'FACTOR PRESTACIONAL'!K10</f>
        <v>272406.29732663167</v>
      </c>
      <c r="G1111" s="17">
        <f>F1111*E1111</f>
        <v>27240.629732663168</v>
      </c>
    </row>
    <row r="1112" spans="1:7" ht="17.25" thickBot="1" x14ac:dyDescent="0.35">
      <c r="A1112" s="1"/>
      <c r="B1112" s="55" t="s">
        <v>283</v>
      </c>
      <c r="C1112" s="56"/>
      <c r="D1112" s="56"/>
      <c r="E1112" s="57"/>
      <c r="F1112" s="58"/>
      <c r="G1112" s="59"/>
    </row>
    <row r="1113" spans="1:7" ht="17.25" thickBot="1" x14ac:dyDescent="0.35">
      <c r="A1113" s="1"/>
      <c r="B1113" s="15" t="s">
        <v>310</v>
      </c>
      <c r="C1113" s="16" t="s">
        <v>169</v>
      </c>
      <c r="D1113" s="60"/>
      <c r="E1113" s="61">
        <v>1</v>
      </c>
      <c r="F1113" s="16">
        <v>5000</v>
      </c>
      <c r="G1113" s="17">
        <f>+ROUND((1+D1113)*E1113*F1113,0)</f>
        <v>5000</v>
      </c>
    </row>
    <row r="1114" spans="1:7" ht="17.25" thickBot="1" x14ac:dyDescent="0.35">
      <c r="A1114" s="1"/>
      <c r="B1114" s="62" t="s">
        <v>286</v>
      </c>
      <c r="C1114" s="5"/>
      <c r="D1114" s="5"/>
      <c r="E1114" s="6"/>
      <c r="F1114" s="63"/>
      <c r="G1114" s="64"/>
    </row>
    <row r="1115" spans="1:7" ht="17.25" thickBot="1" x14ac:dyDescent="0.35">
      <c r="A1115" s="1"/>
      <c r="B1115" s="38" t="s">
        <v>286</v>
      </c>
      <c r="C1115" s="47" t="s">
        <v>124</v>
      </c>
      <c r="D1115" s="45"/>
      <c r="E1115" s="46">
        <v>0.05</v>
      </c>
      <c r="F1115" s="41">
        <f>G1111</f>
        <v>27240.629732663168</v>
      </c>
      <c r="G1115" s="40">
        <f>+ROUND(E1115*F1115,0)</f>
        <v>1362</v>
      </c>
    </row>
    <row r="1116" spans="1:7" ht="17.25" thickBot="1" x14ac:dyDescent="0.35">
      <c r="A1116" s="1"/>
      <c r="B1116" s="2"/>
      <c r="C1116" s="39"/>
      <c r="D1116" s="18" t="s">
        <v>287</v>
      </c>
      <c r="E1116" s="19"/>
      <c r="F1116" s="20"/>
      <c r="G1116" s="17">
        <f>SUM(G1101:G1115)</f>
        <v>527882.62973266316</v>
      </c>
    </row>
    <row r="1117" spans="1:7" ht="17.25" thickBot="1" x14ac:dyDescent="0.35">
      <c r="A1117" s="1"/>
      <c r="B1117" s="2"/>
      <c r="C1117" s="39"/>
      <c r="D1117" s="39"/>
      <c r="E1117" s="39"/>
      <c r="F1117" s="39"/>
      <c r="G1117" s="39"/>
    </row>
    <row r="1118" spans="1:7" ht="45" customHeight="1" thickBot="1" x14ac:dyDescent="0.35">
      <c r="A1118" s="358">
        <v>8.5</v>
      </c>
      <c r="B1118" s="359" t="str">
        <f>VLOOKUP(A1118,PPTO!$B$8:$D$94,2,0)</f>
        <v>Suministro e Instalación Divisiones de orinales en Acero Inox , Calibre 20 Satinado, con puertas y Tabiques en altura de 1600mm SAE 304 , Incluye Cerrojos , Percheros , Parales Altura de 1800mm.</v>
      </c>
      <c r="C1118" s="360" t="s">
        <v>85</v>
      </c>
      <c r="D1118" s="361" t="s">
        <v>274</v>
      </c>
      <c r="E1118" s="362" t="s">
        <v>275</v>
      </c>
      <c r="F1118" s="360" t="s">
        <v>276</v>
      </c>
      <c r="G1118" s="363" t="s">
        <v>277</v>
      </c>
    </row>
    <row r="1119" spans="1:7" x14ac:dyDescent="0.3">
      <c r="A1119" s="1" t="s">
        <v>288</v>
      </c>
      <c r="B1119" s="51" t="s">
        <v>278</v>
      </c>
      <c r="C1119" s="43"/>
      <c r="D1119" s="43"/>
      <c r="E1119" s="44"/>
      <c r="F1119" s="52"/>
      <c r="G1119" s="7"/>
    </row>
    <row r="1120" spans="1:7" x14ac:dyDescent="0.3">
      <c r="A1120" s="1"/>
      <c r="B1120" s="68" t="s">
        <v>446</v>
      </c>
      <c r="C1120" s="54" t="str">
        <f>VLOOKUP(B1120,INSUMOS!$B$2:$D$562,2,0)</f>
        <v>m2</v>
      </c>
      <c r="D1120" s="11"/>
      <c r="E1120" s="124">
        <v>1</v>
      </c>
      <c r="F1120" s="54">
        <f>VLOOKUP(B1120,INSUMOS!$B$2:$D$562,3,0)</f>
        <v>390000</v>
      </c>
      <c r="G1120" s="13">
        <f>+ROUND((1+D1120)*E1120*F1120,0)</f>
        <v>390000</v>
      </c>
    </row>
    <row r="1121" spans="1:7" x14ac:dyDescent="0.3">
      <c r="A1121" s="1"/>
      <c r="B1121" s="68" t="s">
        <v>442</v>
      </c>
      <c r="C1121" s="54" t="str">
        <f>VLOOKUP(B1121,INSUMOS!$B$2:$D$562,2,0)</f>
        <v>un</v>
      </c>
      <c r="D1121" s="11"/>
      <c r="E1121" s="124">
        <v>3.3000000000000002E-2</v>
      </c>
      <c r="F1121" s="54">
        <f>VLOOKUP(B1121,INSUMOS!$B$2:$D$562,3,0)</f>
        <v>58900</v>
      </c>
      <c r="G1121" s="13">
        <f>+ROUND((1+D1121)*E1121*F1121,0)</f>
        <v>1944</v>
      </c>
    </row>
    <row r="1122" spans="1:7" x14ac:dyDescent="0.3">
      <c r="A1122" s="1"/>
      <c r="B1122" s="68" t="s">
        <v>363</v>
      </c>
      <c r="C1122" s="54" t="str">
        <f>VLOOKUP(B1122,INSUMOS!$B$2:$D$562,2,0)</f>
        <v>un</v>
      </c>
      <c r="D1122" s="11"/>
      <c r="E1122" s="124">
        <v>10</v>
      </c>
      <c r="F1122" s="54">
        <f>VLOOKUP(B1122,INSUMOS!$B$2:$D$562,3,0)</f>
        <v>121.00000000000001</v>
      </c>
      <c r="G1122" s="13">
        <f>+ROUND((1+D1122)*E1122*F1122,0)</f>
        <v>1210</v>
      </c>
    </row>
    <row r="1123" spans="1:7" x14ac:dyDescent="0.3">
      <c r="A1123" s="1"/>
      <c r="B1123" s="68"/>
      <c r="C1123" s="54"/>
      <c r="D1123" s="11"/>
      <c r="E1123" s="124"/>
      <c r="F1123" s="54"/>
      <c r="G1123" s="13">
        <f>+ROUND((1+D1123)*E1123*F1123,0)</f>
        <v>0</v>
      </c>
    </row>
    <row r="1124" spans="1:7" x14ac:dyDescent="0.3">
      <c r="A1124" s="1"/>
      <c r="B1124" s="68"/>
      <c r="C1124" s="54"/>
      <c r="D1124" s="11"/>
      <c r="E1124" s="124"/>
      <c r="F1124" s="54"/>
      <c r="G1124" s="13"/>
    </row>
    <row r="1125" spans="1:7" x14ac:dyDescent="0.3">
      <c r="A1125" s="1"/>
      <c r="B1125" s="68"/>
      <c r="C1125" s="54"/>
      <c r="D1125" s="11"/>
      <c r="E1125" s="124"/>
      <c r="F1125" s="54"/>
      <c r="G1125" s="13"/>
    </row>
    <row r="1126" spans="1:7" x14ac:dyDescent="0.3">
      <c r="A1126" s="1"/>
      <c r="B1126" s="68"/>
      <c r="C1126" s="54"/>
      <c r="D1126" s="11"/>
      <c r="E1126" s="124"/>
      <c r="F1126" s="54"/>
      <c r="G1126" s="13">
        <f t="shared" ref="G1126:G1128" si="65">+ROUND((1+D1126)*E1126*F1126,0)</f>
        <v>0</v>
      </c>
    </row>
    <row r="1127" spans="1:7" x14ac:dyDescent="0.3">
      <c r="A1127" s="1"/>
      <c r="B1127" s="68"/>
      <c r="C1127" s="54"/>
      <c r="D1127" s="11"/>
      <c r="E1127" s="124"/>
      <c r="F1127" s="54"/>
      <c r="G1127" s="13">
        <f t="shared" si="65"/>
        <v>0</v>
      </c>
    </row>
    <row r="1128" spans="1:7" ht="17.25" thickBot="1" x14ac:dyDescent="0.35">
      <c r="A1128" s="1"/>
      <c r="B1128" s="68"/>
      <c r="C1128" s="33"/>
      <c r="D1128" s="30"/>
      <c r="E1128" s="31"/>
      <c r="F1128" s="33"/>
      <c r="G1128" s="32">
        <f t="shared" si="65"/>
        <v>0</v>
      </c>
    </row>
    <row r="1129" spans="1:7" ht="17.25" thickBot="1" x14ac:dyDescent="0.35">
      <c r="A1129" s="1"/>
      <c r="B1129" s="55" t="s">
        <v>281</v>
      </c>
      <c r="C1129" s="56"/>
      <c r="D1129" s="56"/>
      <c r="E1129" s="57"/>
      <c r="F1129" s="58" t="s">
        <v>288</v>
      </c>
      <c r="G1129" s="59"/>
    </row>
    <row r="1130" spans="1:7" ht="17.25" thickBot="1" x14ac:dyDescent="0.35">
      <c r="A1130" s="1"/>
      <c r="B1130" s="15" t="s">
        <v>440</v>
      </c>
      <c r="C1130" s="16" t="s">
        <v>169</v>
      </c>
      <c r="D1130" s="60"/>
      <c r="E1130" s="61">
        <v>0.1</v>
      </c>
      <c r="F1130" s="16">
        <f>+F1111</f>
        <v>272406.29732663167</v>
      </c>
      <c r="G1130" s="17">
        <f>F1130*E1130</f>
        <v>27240.629732663168</v>
      </c>
    </row>
    <row r="1131" spans="1:7" ht="17.25" thickBot="1" x14ac:dyDescent="0.35">
      <c r="A1131" s="1"/>
      <c r="B1131" s="55" t="s">
        <v>283</v>
      </c>
      <c r="C1131" s="56"/>
      <c r="D1131" s="56"/>
      <c r="E1131" s="57"/>
      <c r="F1131" s="58"/>
      <c r="G1131" s="59"/>
    </row>
    <row r="1132" spans="1:7" ht="17.25" thickBot="1" x14ac:dyDescent="0.35">
      <c r="A1132" s="1"/>
      <c r="B1132" s="15" t="s">
        <v>310</v>
      </c>
      <c r="C1132" s="16" t="s">
        <v>169</v>
      </c>
      <c r="D1132" s="60"/>
      <c r="E1132" s="61">
        <v>1</v>
      </c>
      <c r="F1132" s="16">
        <v>5000</v>
      </c>
      <c r="G1132" s="17">
        <f>+ROUND((1+D1132)*E1132*F1132,0)</f>
        <v>5000</v>
      </c>
    </row>
    <row r="1133" spans="1:7" ht="17.25" thickBot="1" x14ac:dyDescent="0.35">
      <c r="A1133" s="1"/>
      <c r="B1133" s="62" t="s">
        <v>286</v>
      </c>
      <c r="C1133" s="5"/>
      <c r="D1133" s="5"/>
      <c r="E1133" s="6"/>
      <c r="F1133" s="63"/>
      <c r="G1133" s="64"/>
    </row>
    <row r="1134" spans="1:7" ht="17.25" thickBot="1" x14ac:dyDescent="0.35">
      <c r="A1134" s="1"/>
      <c r="B1134" s="38" t="s">
        <v>286</v>
      </c>
      <c r="C1134" s="47" t="s">
        <v>124</v>
      </c>
      <c r="D1134" s="45"/>
      <c r="E1134" s="46">
        <v>0.05</v>
      </c>
      <c r="F1134" s="41">
        <f>G1130</f>
        <v>27240.629732663168</v>
      </c>
      <c r="G1134" s="40">
        <f>+ROUND(E1134*F1134,0)</f>
        <v>1362</v>
      </c>
    </row>
    <row r="1135" spans="1:7" ht="17.25" thickBot="1" x14ac:dyDescent="0.35">
      <c r="A1135" s="1"/>
      <c r="B1135" s="2"/>
      <c r="C1135" s="39"/>
      <c r="D1135" s="18" t="s">
        <v>287</v>
      </c>
      <c r="E1135" s="19"/>
      <c r="F1135" s="20"/>
      <c r="G1135" s="17">
        <f>SUM(G1120:G1134)</f>
        <v>426756.62973266316</v>
      </c>
    </row>
    <row r="1136" spans="1:7" x14ac:dyDescent="0.3">
      <c r="A1136" s="1"/>
      <c r="B1136" s="2"/>
      <c r="C1136" s="39"/>
      <c r="D1136" s="39"/>
      <c r="E1136" s="39"/>
      <c r="F1136" s="39"/>
      <c r="G1136" s="39"/>
    </row>
    <row r="1137" spans="1:7" x14ac:dyDescent="0.3">
      <c r="A1137" s="1"/>
      <c r="B1137" s="2"/>
      <c r="C1137" s="39"/>
      <c r="D1137" s="39"/>
      <c r="E1137" s="39"/>
      <c r="F1137" s="39"/>
      <c r="G1137" s="39"/>
    </row>
    <row r="1138" spans="1:7" ht="17.25" thickBot="1" x14ac:dyDescent="0.35">
      <c r="A1138" s="1"/>
      <c r="B1138" s="2"/>
      <c r="C1138" s="39"/>
      <c r="D1138" s="39"/>
      <c r="E1138" s="39"/>
      <c r="F1138" s="39"/>
      <c r="G1138" s="39"/>
    </row>
    <row r="1139" spans="1:7" ht="33.75" thickBot="1" x14ac:dyDescent="0.35">
      <c r="A1139" s="358">
        <f>PPTO!B78</f>
        <v>9.1</v>
      </c>
      <c r="B1139" s="359" t="str">
        <f>VLOOKUP(A1139,PPTO!$B$8:$D$94,2,0)</f>
        <v>Cocina tipo industrial. Incluye: Mesones en  Acero inoxidable, campana con ducto, abastos, estufa</v>
      </c>
      <c r="C1139" s="360" t="s">
        <v>85</v>
      </c>
      <c r="D1139" s="361" t="s">
        <v>274</v>
      </c>
      <c r="E1139" s="362" t="s">
        <v>275</v>
      </c>
      <c r="F1139" s="360" t="s">
        <v>276</v>
      </c>
      <c r="G1139" s="363" t="s">
        <v>277</v>
      </c>
    </row>
    <row r="1140" spans="1:7" x14ac:dyDescent="0.3">
      <c r="A1140" s="1" t="s">
        <v>288</v>
      </c>
      <c r="B1140" s="51" t="s">
        <v>278</v>
      </c>
      <c r="C1140" s="43"/>
      <c r="D1140" s="43"/>
      <c r="E1140" s="44"/>
      <c r="F1140" s="52"/>
      <c r="G1140" s="7"/>
    </row>
    <row r="1141" spans="1:7" x14ac:dyDescent="0.3">
      <c r="A1141" s="1"/>
      <c r="B1141" s="68" t="s">
        <v>450</v>
      </c>
      <c r="C1141" s="54" t="str">
        <f>VLOOKUP(B1141,INSUMOS!$B$2:$D$562,2,0)</f>
        <v>und</v>
      </c>
      <c r="D1141" s="11"/>
      <c r="E1141" s="124">
        <v>3</v>
      </c>
      <c r="F1141" s="54">
        <f>VLOOKUP(B1141,INSUMOS!$B$2:$D$562,3,0)</f>
        <v>40562.5</v>
      </c>
      <c r="G1141" s="13">
        <f t="shared" ref="G1141:G1146" si="66">+ROUND((1+D1141)*E1141*F1141,0)</f>
        <v>121688</v>
      </c>
    </row>
    <row r="1142" spans="1:7" ht="33" x14ac:dyDescent="0.3">
      <c r="A1142" s="1"/>
      <c r="B1142" s="68" t="s">
        <v>451</v>
      </c>
      <c r="C1142" s="54" t="str">
        <f>VLOOKUP(B1142,INSUMOS!$B$2:$D$562,2,0)</f>
        <v>und</v>
      </c>
      <c r="D1142" s="11"/>
      <c r="E1142" s="124">
        <v>1</v>
      </c>
      <c r="F1142" s="54">
        <f>VLOOKUP(B1142,INSUMOS!$B$2:$D$562,3,0)</f>
        <v>3500000</v>
      </c>
      <c r="G1142" s="13">
        <f t="shared" si="66"/>
        <v>3500000</v>
      </c>
    </row>
    <row r="1143" spans="1:7" x14ac:dyDescent="0.3">
      <c r="A1143" s="1"/>
      <c r="B1143" s="68" t="s">
        <v>452</v>
      </c>
      <c r="C1143" s="54" t="str">
        <f>VLOOKUP(B1143,INSUMOS!$B$2:$D$562,2,0)</f>
        <v>und</v>
      </c>
      <c r="D1143" s="11"/>
      <c r="E1143" s="124">
        <v>2</v>
      </c>
      <c r="F1143" s="54">
        <f>VLOOKUP(B1143,INSUMOS!$B$2:$D$562,3,0)</f>
        <v>2100000</v>
      </c>
      <c r="G1143" s="13">
        <f t="shared" si="66"/>
        <v>4200000</v>
      </c>
    </row>
    <row r="1144" spans="1:7" x14ac:dyDescent="0.3">
      <c r="A1144" s="1"/>
      <c r="B1144" s="68" t="s">
        <v>453</v>
      </c>
      <c r="C1144" s="54" t="str">
        <f>VLOOKUP(B1144,INSUMOS!$B$2:$D$562,2,0)</f>
        <v>und</v>
      </c>
      <c r="D1144" s="11"/>
      <c r="E1144" s="124">
        <v>1</v>
      </c>
      <c r="F1144" s="54">
        <f>VLOOKUP(B1144,INSUMOS!$B$2:$D$562,3,0)</f>
        <v>2300000</v>
      </c>
      <c r="G1144" s="13">
        <f t="shared" si="66"/>
        <v>2300000</v>
      </c>
    </row>
    <row r="1145" spans="1:7" ht="33" x14ac:dyDescent="0.3">
      <c r="A1145" s="1"/>
      <c r="B1145" s="68" t="s">
        <v>454</v>
      </c>
      <c r="C1145" s="54" t="str">
        <f>VLOOKUP(B1145,INSUMOS!$B$2:$D$562,2,0)</f>
        <v>und</v>
      </c>
      <c r="D1145" s="11"/>
      <c r="E1145" s="124">
        <v>1</v>
      </c>
      <c r="F1145" s="54">
        <f>VLOOKUP(B1145,INSUMOS!$B$2:$D$562,3,0)</f>
        <v>3500000</v>
      </c>
      <c r="G1145" s="13">
        <f t="shared" si="66"/>
        <v>3500000</v>
      </c>
    </row>
    <row r="1146" spans="1:7" ht="33" x14ac:dyDescent="0.3">
      <c r="A1146" s="1"/>
      <c r="B1146" s="68" t="s">
        <v>455</v>
      </c>
      <c r="C1146" s="54" t="str">
        <f>VLOOKUP(B1146,INSUMOS!$B$2:$D$562,2,0)</f>
        <v>und</v>
      </c>
      <c r="D1146" s="11"/>
      <c r="E1146" s="124">
        <v>1</v>
      </c>
      <c r="F1146" s="54">
        <f>VLOOKUP(B1146,INSUMOS!$B$2:$D$562,3,0)</f>
        <v>5000000</v>
      </c>
      <c r="G1146" s="13">
        <f t="shared" si="66"/>
        <v>5000000</v>
      </c>
    </row>
    <row r="1147" spans="1:7" x14ac:dyDescent="0.3">
      <c r="A1147" s="1"/>
      <c r="B1147" s="68"/>
      <c r="C1147" s="54"/>
      <c r="D1147" s="11"/>
      <c r="E1147" s="124"/>
      <c r="F1147" s="54"/>
      <c r="G1147" s="13">
        <f t="shared" ref="G1147:G1149" si="67">+ROUND((1+D1147)*E1147*F1147,0)</f>
        <v>0</v>
      </c>
    </row>
    <row r="1148" spans="1:7" x14ac:dyDescent="0.3">
      <c r="A1148" s="1"/>
      <c r="B1148" s="68"/>
      <c r="C1148" s="54"/>
      <c r="D1148" s="11"/>
      <c r="E1148" s="124"/>
      <c r="F1148" s="54"/>
      <c r="G1148" s="13">
        <f t="shared" si="67"/>
        <v>0</v>
      </c>
    </row>
    <row r="1149" spans="1:7" ht="17.25" thickBot="1" x14ac:dyDescent="0.35">
      <c r="A1149" s="1"/>
      <c r="B1149" s="68"/>
      <c r="C1149" s="33"/>
      <c r="D1149" s="30"/>
      <c r="E1149" s="31"/>
      <c r="F1149" s="33"/>
      <c r="G1149" s="32">
        <f t="shared" si="67"/>
        <v>0</v>
      </c>
    </row>
    <row r="1150" spans="1:7" ht="17.25" thickBot="1" x14ac:dyDescent="0.35">
      <c r="A1150" s="1"/>
      <c r="B1150" s="55" t="s">
        <v>281</v>
      </c>
      <c r="C1150" s="56"/>
      <c r="D1150" s="56"/>
      <c r="E1150" s="57"/>
      <c r="F1150" s="58" t="s">
        <v>288</v>
      </c>
      <c r="G1150" s="59"/>
    </row>
    <row r="1151" spans="1:7" ht="17.25" thickBot="1" x14ac:dyDescent="0.35">
      <c r="A1151" s="1"/>
      <c r="B1151" s="15" t="s">
        <v>440</v>
      </c>
      <c r="C1151" s="16" t="s">
        <v>321</v>
      </c>
      <c r="D1151" s="60"/>
      <c r="E1151" s="61">
        <v>5</v>
      </c>
      <c r="F1151" s="16">
        <f>+'FACTOR PRESTACIONAL'!K9+'FACTOR PRESTACIONAL'!K10</f>
        <v>272406.29732663167</v>
      </c>
      <c r="G1151" s="17">
        <f>F1151*E1151</f>
        <v>1362031.4866331583</v>
      </c>
    </row>
    <row r="1152" spans="1:7" ht="17.25" thickBot="1" x14ac:dyDescent="0.35">
      <c r="A1152" s="1"/>
      <c r="B1152" s="55" t="s">
        <v>283</v>
      </c>
      <c r="C1152" s="56"/>
      <c r="D1152" s="56"/>
      <c r="E1152" s="57"/>
      <c r="F1152" s="58"/>
      <c r="G1152" s="59"/>
    </row>
    <row r="1153" spans="1:7" ht="17.25" thickBot="1" x14ac:dyDescent="0.35">
      <c r="A1153" s="1"/>
      <c r="B1153" s="15" t="s">
        <v>310</v>
      </c>
      <c r="C1153" s="16" t="s">
        <v>169</v>
      </c>
      <c r="D1153" s="60"/>
      <c r="E1153" s="61">
        <v>1</v>
      </c>
      <c r="F1153" s="16">
        <v>500000</v>
      </c>
      <c r="G1153" s="17">
        <f>+ROUND((1+D1153)*E1153*F1153,0)</f>
        <v>500000</v>
      </c>
    </row>
    <row r="1154" spans="1:7" ht="17.25" thickBot="1" x14ac:dyDescent="0.35">
      <c r="A1154" s="1"/>
      <c r="B1154" s="62" t="s">
        <v>286</v>
      </c>
      <c r="C1154" s="5"/>
      <c r="D1154" s="5"/>
      <c r="E1154" s="6"/>
      <c r="F1154" s="63"/>
      <c r="G1154" s="64"/>
    </row>
    <row r="1155" spans="1:7" ht="17.25" thickBot="1" x14ac:dyDescent="0.35">
      <c r="A1155" s="1"/>
      <c r="B1155" s="38" t="s">
        <v>286</v>
      </c>
      <c r="C1155" s="47" t="s">
        <v>124</v>
      </c>
      <c r="D1155" s="45"/>
      <c r="E1155" s="46">
        <v>0.05</v>
      </c>
      <c r="F1155" s="41">
        <f>G1151</f>
        <v>1362031.4866331583</v>
      </c>
      <c r="G1155" s="40">
        <f>+ROUND(E1155*F1155,0)</f>
        <v>68102</v>
      </c>
    </row>
    <row r="1156" spans="1:7" ht="17.25" thickBot="1" x14ac:dyDescent="0.35">
      <c r="A1156" s="1"/>
      <c r="B1156" s="2"/>
      <c r="C1156" s="39"/>
      <c r="D1156" s="18" t="s">
        <v>287</v>
      </c>
      <c r="E1156" s="19"/>
      <c r="F1156" s="20"/>
      <c r="G1156" s="17">
        <f>SUM(G1141:G1155)</f>
        <v>20551821.486633159</v>
      </c>
    </row>
    <row r="1157" spans="1:7" hidden="1" x14ac:dyDescent="0.3">
      <c r="A1157" s="1"/>
      <c r="B1157" s="2"/>
      <c r="C1157" s="3"/>
      <c r="D1157" s="21" t="s">
        <v>289</v>
      </c>
      <c r="E1157" s="22"/>
      <c r="F1157" s="23" t="e">
        <f>+F1075</f>
        <v>#REF!</v>
      </c>
      <c r="G1157" s="24" t="e">
        <f>+ROUND(G1156*F1157,0)</f>
        <v>#REF!</v>
      </c>
    </row>
    <row r="1158" spans="1:7" hidden="1" x14ac:dyDescent="0.3">
      <c r="A1158" s="1"/>
      <c r="B1158" s="2"/>
      <c r="C1158" s="3"/>
      <c r="D1158" s="25" t="s">
        <v>290</v>
      </c>
      <c r="E1158" s="26"/>
      <c r="F1158" s="23" t="e">
        <f>+F1076</f>
        <v>#REF!</v>
      </c>
      <c r="G1158" s="14" t="e">
        <f>+ROUND(G1156*F1158,0)</f>
        <v>#REF!</v>
      </c>
    </row>
    <row r="1159" spans="1:7" ht="17.25" hidden="1" thickBot="1" x14ac:dyDescent="0.35">
      <c r="A1159" s="1"/>
      <c r="B1159" s="2"/>
      <c r="C1159" s="3"/>
      <c r="D1159" s="25" t="s">
        <v>291</v>
      </c>
      <c r="E1159" s="26"/>
      <c r="F1159" s="23" t="e">
        <f>+F1077</f>
        <v>#REF!</v>
      </c>
      <c r="G1159" s="14" t="e">
        <f>+ROUND(G1156*F1159,0)</f>
        <v>#REF!</v>
      </c>
    </row>
    <row r="1160" spans="1:7" ht="17.25" hidden="1" thickBot="1" x14ac:dyDescent="0.35">
      <c r="A1160" s="1"/>
      <c r="B1160" s="2"/>
      <c r="C1160" s="3"/>
      <c r="D1160" s="18" t="s">
        <v>10</v>
      </c>
      <c r="E1160" s="29"/>
      <c r="F1160" s="20"/>
      <c r="G1160" s="17" t="e">
        <f>SUM(G1156:G1159)</f>
        <v>#REF!</v>
      </c>
    </row>
    <row r="1161" spans="1:7" ht="17.25" thickBot="1" x14ac:dyDescent="0.35">
      <c r="A1161" s="1"/>
      <c r="B1161" s="2"/>
      <c r="C1161" s="3"/>
      <c r="D1161" s="121"/>
      <c r="E1161" s="122"/>
      <c r="F1161" s="39"/>
      <c r="G1161" s="39"/>
    </row>
    <row r="1162" spans="1:7" ht="50.25" thickBot="1" x14ac:dyDescent="0.35">
      <c r="A1162" s="358">
        <f>PPTO!B80</f>
        <v>10.1</v>
      </c>
      <c r="B1162" s="359" t="str">
        <f>VLOOKUP(A1162,PPTO!$B$8:$D$94,2,0)</f>
        <v>Suministro e instalación de Sanitarios, incluye: accesorios PVC, Sanitario Manantial blanco según detalle del proyecto, grifería y todo lo necesario para su correcta instalación</v>
      </c>
      <c r="C1162" s="360" t="s">
        <v>85</v>
      </c>
      <c r="D1162" s="361" t="s">
        <v>274</v>
      </c>
      <c r="E1162" s="362" t="s">
        <v>275</v>
      </c>
      <c r="F1162" s="360" t="s">
        <v>276</v>
      </c>
      <c r="G1162" s="363" t="s">
        <v>277</v>
      </c>
    </row>
    <row r="1163" spans="1:7" x14ac:dyDescent="0.3">
      <c r="A1163" s="1" t="s">
        <v>288</v>
      </c>
      <c r="B1163" s="51" t="s">
        <v>278</v>
      </c>
      <c r="C1163" s="43"/>
      <c r="D1163" s="43"/>
      <c r="E1163" s="44"/>
      <c r="F1163" s="52"/>
      <c r="G1163" s="7"/>
    </row>
    <row r="1164" spans="1:7" x14ac:dyDescent="0.3">
      <c r="A1164" s="1"/>
      <c r="B1164" s="68" t="s">
        <v>456</v>
      </c>
      <c r="C1164" s="54" t="str">
        <f>VLOOKUP(B1164,INSUMOS!$B$2:$D$562,2,0)</f>
        <v>und</v>
      </c>
      <c r="D1164" s="11"/>
      <c r="E1164" s="124">
        <v>1</v>
      </c>
      <c r="F1164" s="54">
        <f>VLOOKUP(B1164,INSUMOS!$B$2:$D$562,3,0)</f>
        <v>380000</v>
      </c>
      <c r="G1164" s="13">
        <f>+ROUND((1+D1164)*E1164*F1164,0)</f>
        <v>380000</v>
      </c>
    </row>
    <row r="1165" spans="1:7" x14ac:dyDescent="0.3">
      <c r="A1165" s="1"/>
      <c r="B1165" s="68" t="s">
        <v>457</v>
      </c>
      <c r="C1165" s="54" t="str">
        <f>VLOOKUP(B1165,INSUMOS!$B$2:$D$562,2,0)</f>
        <v>und</v>
      </c>
      <c r="D1165" s="11"/>
      <c r="E1165" s="124">
        <v>1</v>
      </c>
      <c r="F1165" s="54">
        <f>VLOOKUP(B1165,INSUMOS!$B$2:$D$562,3,0)</f>
        <v>25987.500000000004</v>
      </c>
      <c r="G1165" s="13">
        <f>+ROUND((1+D1165)*E1165*F1165,0)</f>
        <v>25988</v>
      </c>
    </row>
    <row r="1166" spans="1:7" x14ac:dyDescent="0.3">
      <c r="A1166" s="1"/>
      <c r="B1166" s="68" t="s">
        <v>458</v>
      </c>
      <c r="C1166" s="54" t="str">
        <f>VLOOKUP(B1166,INSUMOS!$B$2:$D$562,2,0)</f>
        <v>und</v>
      </c>
      <c r="D1166" s="11"/>
      <c r="E1166" s="124">
        <v>1</v>
      </c>
      <c r="F1166" s="54">
        <f>VLOOKUP(B1166,INSUMOS!$B$2:$D$562,3,0)</f>
        <v>40000</v>
      </c>
      <c r="G1166" s="13">
        <f>+ROUND((1+D1166)*E1166*F1166,0)</f>
        <v>40000</v>
      </c>
    </row>
    <row r="1167" spans="1:7" x14ac:dyDescent="0.3">
      <c r="A1167" s="1"/>
      <c r="B1167" s="68"/>
      <c r="C1167" s="54"/>
      <c r="D1167" s="11"/>
      <c r="E1167" s="124"/>
      <c r="F1167" s="54"/>
      <c r="G1167" s="13">
        <f>+ROUND((1+D1167)*E1167*F1167,0)</f>
        <v>0</v>
      </c>
    </row>
    <row r="1168" spans="1:7" x14ac:dyDescent="0.3">
      <c r="A1168" s="1"/>
      <c r="B1168" s="68"/>
      <c r="C1168" s="54"/>
      <c r="D1168" s="11"/>
      <c r="E1168" s="124"/>
      <c r="F1168" s="54"/>
      <c r="G1168" s="13"/>
    </row>
    <row r="1169" spans="1:7" x14ac:dyDescent="0.3">
      <c r="A1169" s="1"/>
      <c r="B1169" s="68"/>
      <c r="C1169" s="54"/>
      <c r="D1169" s="11"/>
      <c r="E1169" s="124"/>
      <c r="F1169" s="54"/>
      <c r="G1169" s="13"/>
    </row>
    <row r="1170" spans="1:7" x14ac:dyDescent="0.3">
      <c r="A1170" s="1"/>
      <c r="B1170" s="68"/>
      <c r="C1170" s="54"/>
      <c r="D1170" s="11"/>
      <c r="E1170" s="124"/>
      <c r="F1170" s="54"/>
      <c r="G1170" s="13">
        <f t="shared" ref="G1170:G1172" si="68">+ROUND((1+D1170)*E1170*F1170,0)</f>
        <v>0</v>
      </c>
    </row>
    <row r="1171" spans="1:7" x14ac:dyDescent="0.3">
      <c r="A1171" s="1"/>
      <c r="B1171" s="68"/>
      <c r="C1171" s="54"/>
      <c r="D1171" s="11"/>
      <c r="E1171" s="124"/>
      <c r="F1171" s="54"/>
      <c r="G1171" s="13">
        <f t="shared" si="68"/>
        <v>0</v>
      </c>
    </row>
    <row r="1172" spans="1:7" ht="17.25" thickBot="1" x14ac:dyDescent="0.35">
      <c r="A1172" s="1"/>
      <c r="B1172" s="68"/>
      <c r="C1172" s="33"/>
      <c r="D1172" s="30"/>
      <c r="E1172" s="31"/>
      <c r="F1172" s="33"/>
      <c r="G1172" s="32">
        <f t="shared" si="68"/>
        <v>0</v>
      </c>
    </row>
    <row r="1173" spans="1:7" ht="17.25" thickBot="1" x14ac:dyDescent="0.35">
      <c r="A1173" s="1"/>
      <c r="B1173" s="55" t="s">
        <v>281</v>
      </c>
      <c r="C1173" s="56"/>
      <c r="D1173" s="56"/>
      <c r="E1173" s="57"/>
      <c r="F1173" s="58" t="s">
        <v>288</v>
      </c>
      <c r="G1173" s="59"/>
    </row>
    <row r="1174" spans="1:7" ht="17.25" thickBot="1" x14ac:dyDescent="0.35">
      <c r="A1174" s="1"/>
      <c r="B1174" s="15" t="s">
        <v>440</v>
      </c>
      <c r="C1174" s="16" t="s">
        <v>349</v>
      </c>
      <c r="D1174" s="60"/>
      <c r="E1174" s="61">
        <v>0.4</v>
      </c>
      <c r="F1174" s="16">
        <f>+'FACTOR PRESTACIONAL'!K9+'FACTOR PRESTACIONAL'!K10</f>
        <v>272406.29732663167</v>
      </c>
      <c r="G1174" s="17">
        <f>F1174*E1174</f>
        <v>108962.51893065267</v>
      </c>
    </row>
    <row r="1175" spans="1:7" ht="17.25" thickBot="1" x14ac:dyDescent="0.35">
      <c r="A1175" s="1"/>
      <c r="B1175" s="55" t="s">
        <v>283</v>
      </c>
      <c r="C1175" s="56"/>
      <c r="D1175" s="56"/>
      <c r="E1175" s="57"/>
      <c r="F1175" s="58"/>
      <c r="G1175" s="59"/>
    </row>
    <row r="1176" spans="1:7" ht="17.25" thickBot="1" x14ac:dyDescent="0.35">
      <c r="A1176" s="1"/>
      <c r="B1176" s="15" t="s">
        <v>310</v>
      </c>
      <c r="C1176" s="16" t="s">
        <v>169</v>
      </c>
      <c r="D1176" s="60"/>
      <c r="E1176" s="61">
        <v>1</v>
      </c>
      <c r="F1176" s="16">
        <v>15000</v>
      </c>
      <c r="G1176" s="17">
        <f>+ROUND((1+D1176)*E1176*F1176,0)</f>
        <v>15000</v>
      </c>
    </row>
    <row r="1177" spans="1:7" ht="17.25" thickBot="1" x14ac:dyDescent="0.35">
      <c r="A1177" s="1"/>
      <c r="B1177" s="62" t="s">
        <v>286</v>
      </c>
      <c r="C1177" s="5"/>
      <c r="D1177" s="5"/>
      <c r="E1177" s="6"/>
      <c r="F1177" s="63"/>
      <c r="G1177" s="64"/>
    </row>
    <row r="1178" spans="1:7" ht="17.25" thickBot="1" x14ac:dyDescent="0.35">
      <c r="A1178" s="1"/>
      <c r="B1178" s="38" t="s">
        <v>286</v>
      </c>
      <c r="C1178" s="47" t="s">
        <v>124</v>
      </c>
      <c r="D1178" s="45"/>
      <c r="E1178" s="46">
        <v>0.05</v>
      </c>
      <c r="F1178" s="41">
        <f>+G1174</f>
        <v>108962.51893065267</v>
      </c>
      <c r="G1178" s="40">
        <f>+ROUND(E1178*F1178,0)</f>
        <v>5448</v>
      </c>
    </row>
    <row r="1179" spans="1:7" ht="17.25" thickBot="1" x14ac:dyDescent="0.35">
      <c r="A1179" s="1"/>
      <c r="B1179" s="2"/>
      <c r="C1179" s="39"/>
      <c r="D1179" s="18" t="s">
        <v>287</v>
      </c>
      <c r="E1179" s="19"/>
      <c r="F1179" s="20"/>
      <c r="G1179" s="17">
        <f>SUM(G1164:G1178)</f>
        <v>575398.51893065264</v>
      </c>
    </row>
    <row r="1180" spans="1:7" hidden="1" x14ac:dyDescent="0.3">
      <c r="A1180" s="1"/>
      <c r="B1180" s="2"/>
      <c r="C1180" s="3"/>
      <c r="D1180" s="21" t="s">
        <v>289</v>
      </c>
      <c r="E1180" s="22"/>
      <c r="F1180" s="23" t="e">
        <f>+F1157</f>
        <v>#REF!</v>
      </c>
      <c r="G1180" s="24" t="e">
        <f>+ROUND(G1179*F1180,0)</f>
        <v>#REF!</v>
      </c>
    </row>
    <row r="1181" spans="1:7" hidden="1" x14ac:dyDescent="0.3">
      <c r="A1181" s="1"/>
      <c r="B1181" s="2"/>
      <c r="C1181" s="3"/>
      <c r="D1181" s="25" t="s">
        <v>290</v>
      </c>
      <c r="E1181" s="26"/>
      <c r="F1181" s="23" t="e">
        <f t="shared" ref="F1181:F1182" si="69">+F1158</f>
        <v>#REF!</v>
      </c>
      <c r="G1181" s="14" t="e">
        <f>+ROUND(G1179*F1181,0)</f>
        <v>#REF!</v>
      </c>
    </row>
    <row r="1182" spans="1:7" ht="17.25" hidden="1" thickBot="1" x14ac:dyDescent="0.35">
      <c r="A1182" s="1"/>
      <c r="B1182" s="2"/>
      <c r="C1182" s="3"/>
      <c r="D1182" s="25" t="s">
        <v>291</v>
      </c>
      <c r="E1182" s="26"/>
      <c r="F1182" s="23" t="e">
        <f t="shared" si="69"/>
        <v>#REF!</v>
      </c>
      <c r="G1182" s="14" t="e">
        <f>+ROUND(G1179*F1182,0)</f>
        <v>#REF!</v>
      </c>
    </row>
    <row r="1183" spans="1:7" ht="17.25" hidden="1" thickBot="1" x14ac:dyDescent="0.35">
      <c r="A1183" s="1"/>
      <c r="B1183" s="2"/>
      <c r="C1183" s="3"/>
      <c r="D1183" s="18" t="s">
        <v>10</v>
      </c>
      <c r="E1183" s="29"/>
      <c r="F1183" s="20"/>
      <c r="G1183" s="17" t="e">
        <f>SUM(G1179:G1182)</f>
        <v>#REF!</v>
      </c>
    </row>
    <row r="1184" spans="1:7" ht="17.25" thickBot="1" x14ac:dyDescent="0.35">
      <c r="A1184" s="1"/>
      <c r="B1184" s="2"/>
      <c r="C1184" s="3"/>
      <c r="D1184" s="121"/>
      <c r="E1184" s="122"/>
      <c r="F1184" s="39"/>
      <c r="G1184" s="39"/>
    </row>
    <row r="1185" spans="1:7" ht="50.25" thickBot="1" x14ac:dyDescent="0.35">
      <c r="A1185" s="358">
        <f>PPTO!B81</f>
        <v>10.199999999999999</v>
      </c>
      <c r="B1185" s="359" t="str">
        <f>VLOOKUP(A1185,PPTO!$B$8:$D$94,2,0)</f>
        <v>Suministro e instalación de Orinales, incluye: accesorios PVC, Orinal arrecife corona o similar según detalle del proyecto, grifería, y todo lo necesario para su correcta instalación</v>
      </c>
      <c r="C1185" s="360" t="s">
        <v>85</v>
      </c>
      <c r="D1185" s="361" t="s">
        <v>274</v>
      </c>
      <c r="E1185" s="362" t="s">
        <v>275</v>
      </c>
      <c r="F1185" s="360" t="s">
        <v>276</v>
      </c>
      <c r="G1185" s="363" t="s">
        <v>277</v>
      </c>
    </row>
    <row r="1186" spans="1:7" x14ac:dyDescent="0.3">
      <c r="A1186" s="1" t="s">
        <v>288</v>
      </c>
      <c r="B1186" s="51" t="s">
        <v>278</v>
      </c>
      <c r="C1186" s="43"/>
      <c r="D1186" s="43"/>
      <c r="E1186" s="44"/>
      <c r="F1186" s="52"/>
      <c r="G1186" s="7"/>
    </row>
    <row r="1187" spans="1:7" x14ac:dyDescent="0.3">
      <c r="A1187" s="1"/>
      <c r="B1187" s="68" t="s">
        <v>459</v>
      </c>
      <c r="C1187" s="54" t="str">
        <f>VLOOKUP(B1187,INSUMOS!$B$2:$D$562,2,0)</f>
        <v>und</v>
      </c>
      <c r="D1187" s="11"/>
      <c r="E1187" s="124">
        <v>1</v>
      </c>
      <c r="F1187" s="54">
        <f>VLOOKUP(B1187,INSUMOS!$B$2:$D$562,3,0)</f>
        <v>450000</v>
      </c>
      <c r="G1187" s="13">
        <f>+ROUND((1+D1187)*E1187*F1187,0)</f>
        <v>450000</v>
      </c>
    </row>
    <row r="1188" spans="1:7" x14ac:dyDescent="0.3">
      <c r="A1188" s="1"/>
      <c r="B1188" s="68" t="s">
        <v>457</v>
      </c>
      <c r="C1188" s="54" t="str">
        <f>VLOOKUP(B1188,INSUMOS!$B$2:$D$562,2,0)</f>
        <v>und</v>
      </c>
      <c r="D1188" s="11"/>
      <c r="E1188" s="124">
        <v>1</v>
      </c>
      <c r="F1188" s="54">
        <f>VLOOKUP(B1188,INSUMOS!$B$2:$D$562,3,0)</f>
        <v>25987.500000000004</v>
      </c>
      <c r="G1188" s="13">
        <f>+ROUND((1+D1188)*E1188*F1188,0)</f>
        <v>25988</v>
      </c>
    </row>
    <row r="1189" spans="1:7" x14ac:dyDescent="0.3">
      <c r="A1189" s="1"/>
      <c r="B1189" s="68" t="s">
        <v>458</v>
      </c>
      <c r="C1189" s="54" t="str">
        <f>VLOOKUP(B1189,INSUMOS!$B$2:$D$562,2,0)</f>
        <v>und</v>
      </c>
      <c r="D1189" s="11"/>
      <c r="E1189" s="124">
        <v>1</v>
      </c>
      <c r="F1189" s="54">
        <f>VLOOKUP(B1189,INSUMOS!$B$2:$D$562,3,0)</f>
        <v>40000</v>
      </c>
      <c r="G1189" s="13">
        <f>+ROUND((1+D1189)*E1189*F1189,0)</f>
        <v>40000</v>
      </c>
    </row>
    <row r="1190" spans="1:7" x14ac:dyDescent="0.3">
      <c r="A1190" s="1"/>
      <c r="B1190" s="68"/>
      <c r="C1190" s="54"/>
      <c r="D1190" s="11"/>
      <c r="E1190" s="124"/>
      <c r="F1190" s="54"/>
      <c r="G1190" s="13">
        <f>+ROUND((1+D1190)*E1190*F1190,0)</f>
        <v>0</v>
      </c>
    </row>
    <row r="1191" spans="1:7" x14ac:dyDescent="0.3">
      <c r="A1191" s="1"/>
      <c r="B1191" s="68"/>
      <c r="C1191" s="54"/>
      <c r="D1191" s="11"/>
      <c r="E1191" s="124"/>
      <c r="F1191" s="54"/>
      <c r="G1191" s="13"/>
    </row>
    <row r="1192" spans="1:7" x14ac:dyDescent="0.3">
      <c r="A1192" s="1"/>
      <c r="B1192" s="68"/>
      <c r="C1192" s="54"/>
      <c r="D1192" s="11"/>
      <c r="E1192" s="124"/>
      <c r="F1192" s="54"/>
      <c r="G1192" s="13"/>
    </row>
    <row r="1193" spans="1:7" x14ac:dyDescent="0.3">
      <c r="A1193" s="1"/>
      <c r="B1193" s="68"/>
      <c r="C1193" s="54"/>
      <c r="D1193" s="11"/>
      <c r="E1193" s="124"/>
      <c r="F1193" s="54"/>
      <c r="G1193" s="13">
        <f t="shared" ref="G1193:G1195" si="70">+ROUND((1+D1193)*E1193*F1193,0)</f>
        <v>0</v>
      </c>
    </row>
    <row r="1194" spans="1:7" x14ac:dyDescent="0.3">
      <c r="A1194" s="1"/>
      <c r="B1194" s="68"/>
      <c r="C1194" s="54"/>
      <c r="D1194" s="11"/>
      <c r="E1194" s="124"/>
      <c r="F1194" s="54"/>
      <c r="G1194" s="13">
        <f t="shared" si="70"/>
        <v>0</v>
      </c>
    </row>
    <row r="1195" spans="1:7" ht="17.25" thickBot="1" x14ac:dyDescent="0.35">
      <c r="A1195" s="1"/>
      <c r="B1195" s="68"/>
      <c r="C1195" s="33"/>
      <c r="D1195" s="30"/>
      <c r="E1195" s="31"/>
      <c r="F1195" s="33"/>
      <c r="G1195" s="32">
        <f t="shared" si="70"/>
        <v>0</v>
      </c>
    </row>
    <row r="1196" spans="1:7" ht="17.25" thickBot="1" x14ac:dyDescent="0.35">
      <c r="A1196" s="1"/>
      <c r="B1196" s="55" t="s">
        <v>281</v>
      </c>
      <c r="C1196" s="56"/>
      <c r="D1196" s="56"/>
      <c r="E1196" s="57"/>
      <c r="F1196" s="58" t="s">
        <v>288</v>
      </c>
      <c r="G1196" s="59"/>
    </row>
    <row r="1197" spans="1:7" ht="17.25" thickBot="1" x14ac:dyDescent="0.35">
      <c r="A1197" s="1"/>
      <c r="B1197" s="15" t="s">
        <v>440</v>
      </c>
      <c r="C1197" s="16" t="s">
        <v>321</v>
      </c>
      <c r="D1197" s="60"/>
      <c r="E1197" s="61">
        <v>0.4</v>
      </c>
      <c r="F1197" s="16">
        <f>+F1174</f>
        <v>272406.29732663167</v>
      </c>
      <c r="G1197" s="17">
        <f>F1197*E1197</f>
        <v>108962.51893065267</v>
      </c>
    </row>
    <row r="1198" spans="1:7" ht="17.25" thickBot="1" x14ac:dyDescent="0.35">
      <c r="A1198" s="1"/>
      <c r="B1198" s="55" t="s">
        <v>283</v>
      </c>
      <c r="C1198" s="56"/>
      <c r="D1198" s="56"/>
      <c r="E1198" s="57"/>
      <c r="F1198" s="58"/>
      <c r="G1198" s="59"/>
    </row>
    <row r="1199" spans="1:7" ht="17.25" thickBot="1" x14ac:dyDescent="0.35">
      <c r="A1199" s="1"/>
      <c r="B1199" s="15" t="s">
        <v>310</v>
      </c>
      <c r="C1199" s="16" t="s">
        <v>169</v>
      </c>
      <c r="D1199" s="60"/>
      <c r="E1199" s="61">
        <v>1</v>
      </c>
      <c r="F1199" s="16">
        <v>15000</v>
      </c>
      <c r="G1199" s="17">
        <f>+ROUND((1+D1199)*E1199*F1199,0)</f>
        <v>15000</v>
      </c>
    </row>
    <row r="1200" spans="1:7" ht="17.25" thickBot="1" x14ac:dyDescent="0.35">
      <c r="A1200" s="1"/>
      <c r="B1200" s="62" t="s">
        <v>286</v>
      </c>
      <c r="C1200" s="5"/>
      <c r="D1200" s="5"/>
      <c r="E1200" s="6"/>
      <c r="F1200" s="63"/>
      <c r="G1200" s="64"/>
    </row>
    <row r="1201" spans="1:7" ht="17.25" thickBot="1" x14ac:dyDescent="0.35">
      <c r="A1201" s="1"/>
      <c r="B1201" s="38" t="s">
        <v>286</v>
      </c>
      <c r="C1201" s="47" t="s">
        <v>124</v>
      </c>
      <c r="D1201" s="45"/>
      <c r="E1201" s="46">
        <v>0.05</v>
      </c>
      <c r="F1201" s="41">
        <f>+G1197</f>
        <v>108962.51893065267</v>
      </c>
      <c r="G1201" s="40">
        <f>+ROUND(E1201*F1201,0)</f>
        <v>5448</v>
      </c>
    </row>
    <row r="1202" spans="1:7" ht="17.25" thickBot="1" x14ac:dyDescent="0.35">
      <c r="A1202" s="1"/>
      <c r="B1202" s="2"/>
      <c r="C1202" s="39"/>
      <c r="D1202" s="18" t="s">
        <v>287</v>
      </c>
      <c r="E1202" s="19"/>
      <c r="F1202" s="20"/>
      <c r="G1202" s="17">
        <f>SUM(G1187:G1201)</f>
        <v>645398.51893065264</v>
      </c>
    </row>
    <row r="1203" spans="1:7" hidden="1" x14ac:dyDescent="0.3">
      <c r="A1203" s="1"/>
      <c r="B1203" s="2"/>
      <c r="C1203" s="3"/>
      <c r="D1203" s="21" t="s">
        <v>289</v>
      </c>
      <c r="E1203" s="22"/>
      <c r="F1203" s="23" t="e">
        <f>+F1180</f>
        <v>#REF!</v>
      </c>
      <c r="G1203" s="24" t="e">
        <f>+ROUND(G1202*F1203,0)</f>
        <v>#REF!</v>
      </c>
    </row>
    <row r="1204" spans="1:7" hidden="1" x14ac:dyDescent="0.3">
      <c r="A1204" s="1"/>
      <c r="B1204" s="2"/>
      <c r="C1204" s="3"/>
      <c r="D1204" s="25" t="s">
        <v>290</v>
      </c>
      <c r="E1204" s="26"/>
      <c r="F1204" s="23" t="e">
        <f t="shared" ref="F1204:F1205" si="71">+F1181</f>
        <v>#REF!</v>
      </c>
      <c r="G1204" s="14" t="e">
        <f>+ROUND(G1202*F1204,0)</f>
        <v>#REF!</v>
      </c>
    </row>
    <row r="1205" spans="1:7" ht="17.25" hidden="1" thickBot="1" x14ac:dyDescent="0.35">
      <c r="A1205" s="1"/>
      <c r="B1205" s="2"/>
      <c r="C1205" s="3"/>
      <c r="D1205" s="25" t="s">
        <v>291</v>
      </c>
      <c r="E1205" s="26"/>
      <c r="F1205" s="23" t="e">
        <f t="shared" si="71"/>
        <v>#REF!</v>
      </c>
      <c r="G1205" s="14" t="e">
        <f>+ROUND(G1202*F1205,0)</f>
        <v>#REF!</v>
      </c>
    </row>
    <row r="1206" spans="1:7" ht="17.25" hidden="1" thickBot="1" x14ac:dyDescent="0.35">
      <c r="A1206" s="1"/>
      <c r="B1206" s="2"/>
      <c r="C1206" s="3"/>
      <c r="D1206" s="18" t="s">
        <v>10</v>
      </c>
      <c r="E1206" s="29"/>
      <c r="F1206" s="20"/>
      <c r="G1206" s="17" t="e">
        <f>SUM(G1202:G1205)</f>
        <v>#REF!</v>
      </c>
    </row>
    <row r="1207" spans="1:7" ht="17.25" thickBot="1" x14ac:dyDescent="0.35">
      <c r="A1207" s="1"/>
      <c r="B1207" s="2"/>
      <c r="C1207" s="3"/>
      <c r="D1207" s="121"/>
      <c r="E1207" s="122"/>
      <c r="F1207" s="39"/>
      <c r="G1207" s="39"/>
    </row>
    <row r="1208" spans="1:7" ht="66.75" thickBot="1" x14ac:dyDescent="0.35">
      <c r="A1208" s="358">
        <f>PPTO!B82</f>
        <v>10.3</v>
      </c>
      <c r="B1208" s="359" t="str">
        <f>VLOOKUP(A1208,PPTO!$B$8:$D$94,2,0)</f>
        <v>Colocación e instalación de Lavamanos, incluye: accesorios PVC, lavamanos corona o equivalente color blanco, grifería metálica antivandálica, de push ref 71100 de Grival o equivalente, abasto metálico y todos los demás elementos necesarios para su correcta instalación y funcionamiento.</v>
      </c>
      <c r="C1208" s="360" t="s">
        <v>85</v>
      </c>
      <c r="D1208" s="361" t="s">
        <v>274</v>
      </c>
      <c r="E1208" s="362" t="s">
        <v>275</v>
      </c>
      <c r="F1208" s="360" t="s">
        <v>276</v>
      </c>
      <c r="G1208" s="363" t="s">
        <v>277</v>
      </c>
    </row>
    <row r="1209" spans="1:7" x14ac:dyDescent="0.3">
      <c r="A1209" s="1" t="s">
        <v>288</v>
      </c>
      <c r="B1209" s="51" t="s">
        <v>278</v>
      </c>
      <c r="C1209" s="43"/>
      <c r="D1209" s="43"/>
      <c r="E1209" s="44"/>
      <c r="F1209" s="52"/>
      <c r="G1209" s="7"/>
    </row>
    <row r="1210" spans="1:7" x14ac:dyDescent="0.3">
      <c r="A1210" s="1"/>
      <c r="B1210" s="68" t="s">
        <v>460</v>
      </c>
      <c r="C1210" s="54" t="str">
        <f>VLOOKUP(B1210,INSUMOS!$B$2:$D$562,2,0)</f>
        <v>und</v>
      </c>
      <c r="D1210" s="11"/>
      <c r="E1210" s="124">
        <v>1</v>
      </c>
      <c r="F1210" s="54">
        <f>VLOOKUP(B1210,INSUMOS!$B$2:$D$562,3,0)</f>
        <v>490000</v>
      </c>
      <c r="G1210" s="13">
        <f>+ROUND((1+D1210)*E1210*F1210,0)</f>
        <v>490000</v>
      </c>
    </row>
    <row r="1211" spans="1:7" x14ac:dyDescent="0.3">
      <c r="A1211" s="1"/>
      <c r="B1211" s="68" t="s">
        <v>457</v>
      </c>
      <c r="C1211" s="54" t="str">
        <f>VLOOKUP(B1211,INSUMOS!$B$2:$D$562,2,0)</f>
        <v>und</v>
      </c>
      <c r="D1211" s="11"/>
      <c r="E1211" s="124">
        <v>1</v>
      </c>
      <c r="F1211" s="54">
        <f>VLOOKUP(B1211,INSUMOS!$B$2:$D$562,3,0)</f>
        <v>25987.500000000004</v>
      </c>
      <c r="G1211" s="13">
        <f>+ROUND((1+D1211)*E1211*F1211,0)</f>
        <v>25988</v>
      </c>
    </row>
    <row r="1212" spans="1:7" x14ac:dyDescent="0.3">
      <c r="A1212" s="1"/>
      <c r="B1212" s="68" t="s">
        <v>458</v>
      </c>
      <c r="C1212" s="54" t="str">
        <f>VLOOKUP(B1212,INSUMOS!$B$2:$D$562,2,0)</f>
        <v>und</v>
      </c>
      <c r="D1212" s="11"/>
      <c r="E1212" s="124">
        <v>1</v>
      </c>
      <c r="F1212" s="54">
        <f>VLOOKUP(B1212,INSUMOS!$B$2:$D$562,3,0)</f>
        <v>40000</v>
      </c>
      <c r="G1212" s="13">
        <f>+ROUND((1+D1212)*E1212*F1212,0)</f>
        <v>40000</v>
      </c>
    </row>
    <row r="1213" spans="1:7" x14ac:dyDescent="0.3">
      <c r="A1213" s="1"/>
      <c r="B1213" s="68" t="s">
        <v>461</v>
      </c>
      <c r="C1213" s="54" t="str">
        <f>VLOOKUP(B1213,INSUMOS!$B$2:$D$562,2,0)</f>
        <v>un</v>
      </c>
      <c r="D1213" s="11"/>
      <c r="E1213" s="124">
        <v>1</v>
      </c>
      <c r="F1213" s="54">
        <f>VLOOKUP(B1213,INSUMOS!$B$2:$D$562,3,0)</f>
        <v>250000</v>
      </c>
      <c r="G1213" s="13">
        <f>+ROUND((1+D1213)*E1213*F1213,0)</f>
        <v>250000</v>
      </c>
    </row>
    <row r="1214" spans="1:7" x14ac:dyDescent="0.3">
      <c r="A1214" s="1"/>
      <c r="B1214" s="68"/>
      <c r="C1214" s="54"/>
      <c r="D1214" s="11"/>
      <c r="E1214" s="124"/>
      <c r="F1214" s="54"/>
      <c r="G1214" s="13"/>
    </row>
    <row r="1215" spans="1:7" x14ac:dyDescent="0.3">
      <c r="A1215" s="1"/>
      <c r="B1215" s="68"/>
      <c r="C1215" s="54"/>
      <c r="D1215" s="11"/>
      <c r="E1215" s="124"/>
      <c r="F1215" s="54"/>
      <c r="G1215" s="13"/>
    </row>
    <row r="1216" spans="1:7" x14ac:dyDescent="0.3">
      <c r="A1216" s="1"/>
      <c r="B1216" s="68"/>
      <c r="C1216" s="54"/>
      <c r="D1216" s="11"/>
      <c r="E1216" s="124"/>
      <c r="F1216" s="54"/>
      <c r="G1216" s="13">
        <f t="shared" ref="G1216:G1218" si="72">+ROUND((1+D1216)*E1216*F1216,0)</f>
        <v>0</v>
      </c>
    </row>
    <row r="1217" spans="1:7" x14ac:dyDescent="0.3">
      <c r="A1217" s="1"/>
      <c r="B1217" s="68"/>
      <c r="C1217" s="54"/>
      <c r="D1217" s="11"/>
      <c r="E1217" s="124"/>
      <c r="F1217" s="54"/>
      <c r="G1217" s="13">
        <f t="shared" si="72"/>
        <v>0</v>
      </c>
    </row>
    <row r="1218" spans="1:7" ht="17.25" thickBot="1" x14ac:dyDescent="0.35">
      <c r="A1218" s="1"/>
      <c r="B1218" s="68"/>
      <c r="C1218" s="33"/>
      <c r="D1218" s="30"/>
      <c r="E1218" s="31"/>
      <c r="F1218" s="33"/>
      <c r="G1218" s="32">
        <f t="shared" si="72"/>
        <v>0</v>
      </c>
    </row>
    <row r="1219" spans="1:7" ht="17.25" thickBot="1" x14ac:dyDescent="0.35">
      <c r="A1219" s="1"/>
      <c r="B1219" s="55" t="s">
        <v>281</v>
      </c>
      <c r="C1219" s="56"/>
      <c r="D1219" s="56"/>
      <c r="E1219" s="57"/>
      <c r="F1219" s="58" t="s">
        <v>288</v>
      </c>
      <c r="G1219" s="59"/>
    </row>
    <row r="1220" spans="1:7" ht="17.25" thickBot="1" x14ac:dyDescent="0.35">
      <c r="A1220" s="1"/>
      <c r="B1220" s="15" t="s">
        <v>440</v>
      </c>
      <c r="C1220" s="16" t="s">
        <v>321</v>
      </c>
      <c r="D1220" s="60"/>
      <c r="E1220" s="61">
        <v>0.35</v>
      </c>
      <c r="F1220" s="16">
        <f>+F1197</f>
        <v>272406.29732663167</v>
      </c>
      <c r="G1220" s="17">
        <f>F1220*E1220</f>
        <v>95342.204064321078</v>
      </c>
    </row>
    <row r="1221" spans="1:7" ht="17.25" thickBot="1" x14ac:dyDescent="0.35">
      <c r="A1221" s="1"/>
      <c r="B1221" s="55" t="s">
        <v>283</v>
      </c>
      <c r="C1221" s="56"/>
      <c r="D1221" s="56"/>
      <c r="E1221" s="57"/>
      <c r="F1221" s="58"/>
      <c r="G1221" s="59"/>
    </row>
    <row r="1222" spans="1:7" ht="17.25" thickBot="1" x14ac:dyDescent="0.35">
      <c r="A1222" s="1"/>
      <c r="B1222" s="15" t="s">
        <v>310</v>
      </c>
      <c r="C1222" s="16" t="s">
        <v>169</v>
      </c>
      <c r="D1222" s="60"/>
      <c r="E1222" s="61">
        <v>1</v>
      </c>
      <c r="F1222" s="16">
        <v>15000</v>
      </c>
      <c r="G1222" s="17">
        <f>+ROUND((1+D1222)*E1222*F1222,0)</f>
        <v>15000</v>
      </c>
    </row>
    <row r="1223" spans="1:7" ht="17.25" thickBot="1" x14ac:dyDescent="0.35">
      <c r="A1223" s="1"/>
      <c r="B1223" s="62" t="s">
        <v>286</v>
      </c>
      <c r="C1223" s="5"/>
      <c r="D1223" s="5"/>
      <c r="E1223" s="6"/>
      <c r="F1223" s="63"/>
      <c r="G1223" s="64"/>
    </row>
    <row r="1224" spans="1:7" ht="17.25" thickBot="1" x14ac:dyDescent="0.35">
      <c r="A1224" s="1"/>
      <c r="B1224" s="38" t="s">
        <v>286</v>
      </c>
      <c r="C1224" s="47" t="s">
        <v>124</v>
      </c>
      <c r="D1224" s="45"/>
      <c r="E1224" s="46">
        <v>0.05</v>
      </c>
      <c r="F1224" s="41">
        <f>+G1220</f>
        <v>95342.204064321078</v>
      </c>
      <c r="G1224" s="40">
        <f>+ROUND(E1224*F1224,0)</f>
        <v>4767</v>
      </c>
    </row>
    <row r="1225" spans="1:7" ht="17.25" thickBot="1" x14ac:dyDescent="0.35">
      <c r="A1225" s="1"/>
      <c r="B1225" s="2"/>
      <c r="C1225" s="39"/>
      <c r="D1225" s="18" t="s">
        <v>287</v>
      </c>
      <c r="E1225" s="19"/>
      <c r="F1225" s="20"/>
      <c r="G1225" s="17">
        <f>SUM(G1210:G1224)</f>
        <v>921097.20406432112</v>
      </c>
    </row>
    <row r="1226" spans="1:7" hidden="1" x14ac:dyDescent="0.3">
      <c r="A1226" s="1"/>
      <c r="B1226" s="2"/>
      <c r="C1226" s="3"/>
      <c r="D1226" s="21" t="s">
        <v>289</v>
      </c>
      <c r="E1226" s="22"/>
      <c r="F1226" s="23" t="e">
        <f>+F1203</f>
        <v>#REF!</v>
      </c>
      <c r="G1226" s="24" t="e">
        <f>+ROUND(G1225*F1226,0)</f>
        <v>#REF!</v>
      </c>
    </row>
    <row r="1227" spans="1:7" hidden="1" x14ac:dyDescent="0.3">
      <c r="A1227" s="1"/>
      <c r="B1227" s="2"/>
      <c r="C1227" s="3"/>
      <c r="D1227" s="25" t="s">
        <v>290</v>
      </c>
      <c r="E1227" s="26"/>
      <c r="F1227" s="23" t="e">
        <f t="shared" ref="F1227:F1228" si="73">+F1204</f>
        <v>#REF!</v>
      </c>
      <c r="G1227" s="14" t="e">
        <f>+ROUND(G1225*F1227,0)</f>
        <v>#REF!</v>
      </c>
    </row>
    <row r="1228" spans="1:7" ht="17.25" hidden="1" thickBot="1" x14ac:dyDescent="0.35">
      <c r="A1228" s="1"/>
      <c r="B1228" s="2"/>
      <c r="C1228" s="3"/>
      <c r="D1228" s="25" t="s">
        <v>291</v>
      </c>
      <c r="E1228" s="26"/>
      <c r="F1228" s="23" t="e">
        <f t="shared" si="73"/>
        <v>#REF!</v>
      </c>
      <c r="G1228" s="14" t="e">
        <f>+ROUND(G1225*F1228,0)</f>
        <v>#REF!</v>
      </c>
    </row>
    <row r="1229" spans="1:7" ht="17.25" hidden="1" thickBot="1" x14ac:dyDescent="0.35">
      <c r="A1229" s="1"/>
      <c r="B1229" s="2"/>
      <c r="C1229" s="3"/>
      <c r="D1229" s="18" t="s">
        <v>10</v>
      </c>
      <c r="E1229" s="29"/>
      <c r="F1229" s="20"/>
      <c r="G1229" s="17" t="e">
        <f>SUM(G1225:G1228)</f>
        <v>#REF!</v>
      </c>
    </row>
    <row r="1230" spans="1:7" ht="17.25" thickBot="1" x14ac:dyDescent="0.35">
      <c r="A1230" s="1"/>
      <c r="B1230" s="2"/>
      <c r="C1230" s="3"/>
      <c r="D1230" s="121"/>
      <c r="E1230" s="122"/>
      <c r="F1230" s="39"/>
      <c r="G1230" s="39"/>
    </row>
    <row r="1231" spans="1:7" ht="33.75" thickBot="1" x14ac:dyDescent="0.35">
      <c r="A1231" s="358">
        <f>PPTO!B83</f>
        <v>10.4</v>
      </c>
      <c r="B1231" s="359" t="str">
        <f>VLOOKUP(A1231,PPTO!$B$8:$D$94,2,0)</f>
        <v>Suministr e instalación de Kit para duchas (Rejilla de piso, griferia y todo lo necesario para su correcto funcionamiento)</v>
      </c>
      <c r="C1231" s="360" t="s">
        <v>85</v>
      </c>
      <c r="D1231" s="361" t="s">
        <v>274</v>
      </c>
      <c r="E1231" s="362" t="s">
        <v>275</v>
      </c>
      <c r="F1231" s="360" t="s">
        <v>276</v>
      </c>
      <c r="G1231" s="363" t="s">
        <v>277</v>
      </c>
    </row>
    <row r="1232" spans="1:7" x14ac:dyDescent="0.3">
      <c r="A1232" s="1" t="s">
        <v>288</v>
      </c>
      <c r="B1232" s="51" t="s">
        <v>278</v>
      </c>
      <c r="C1232" s="43"/>
      <c r="D1232" s="43"/>
      <c r="E1232" s="44"/>
      <c r="F1232" s="52"/>
      <c r="G1232" s="7"/>
    </row>
    <row r="1233" spans="1:7" x14ac:dyDescent="0.3">
      <c r="A1233" s="1"/>
      <c r="B1233" s="68" t="s">
        <v>462</v>
      </c>
      <c r="C1233" s="54" t="str">
        <f>VLOOKUP(B1233,INSUMOS!$B$2:$D$562,2,0)</f>
        <v>und</v>
      </c>
      <c r="D1233" s="11"/>
      <c r="E1233" s="124">
        <v>1</v>
      </c>
      <c r="F1233" s="54">
        <f>VLOOKUP(B1233,INSUMOS!$B$2:$D$562,3,0)</f>
        <v>25437.500000000004</v>
      </c>
      <c r="G1233" s="13">
        <f>+ROUND((1+D1233)*E1233*F1233,0)</f>
        <v>25438</v>
      </c>
    </row>
    <row r="1234" spans="1:7" x14ac:dyDescent="0.3">
      <c r="A1234" s="1"/>
      <c r="B1234" s="68" t="s">
        <v>463</v>
      </c>
      <c r="C1234" s="54" t="str">
        <f>VLOOKUP(B1234,INSUMOS!$B$2:$D$562,2,0)</f>
        <v>und</v>
      </c>
      <c r="D1234" s="11"/>
      <c r="E1234" s="124">
        <v>1</v>
      </c>
      <c r="F1234" s="54">
        <f>VLOOKUP(B1234,INSUMOS!$B$2:$D$562,3,0)</f>
        <v>60000</v>
      </c>
      <c r="G1234" s="13">
        <f>+ROUND((1+D1234)*E1234*F1234,0)</f>
        <v>60000</v>
      </c>
    </row>
    <row r="1235" spans="1:7" x14ac:dyDescent="0.3">
      <c r="A1235" s="1"/>
      <c r="B1235" s="68" t="s">
        <v>464</v>
      </c>
      <c r="C1235" s="54" t="str">
        <f>VLOOKUP(B1235,INSUMOS!$B$2:$D$562,2,0)</f>
        <v>und</v>
      </c>
      <c r="D1235" s="11"/>
      <c r="E1235" s="124">
        <v>1</v>
      </c>
      <c r="F1235" s="54">
        <f>VLOOKUP(B1235,INSUMOS!$B$2:$D$562,3,0)</f>
        <v>235000</v>
      </c>
      <c r="G1235" s="13">
        <f>+ROUND((1+D1235)*E1235*F1235,0)</f>
        <v>235000</v>
      </c>
    </row>
    <row r="1236" spans="1:7" x14ac:dyDescent="0.3">
      <c r="A1236" s="1"/>
      <c r="B1236" s="68"/>
      <c r="C1236" s="54"/>
      <c r="D1236" s="11"/>
      <c r="E1236" s="124"/>
      <c r="F1236" s="54"/>
      <c r="G1236" s="13">
        <f>+ROUND((1+D1236)*E1236*F1236,0)</f>
        <v>0</v>
      </c>
    </row>
    <row r="1237" spans="1:7" x14ac:dyDescent="0.3">
      <c r="A1237" s="1"/>
      <c r="B1237" s="68"/>
      <c r="C1237" s="54"/>
      <c r="D1237" s="11"/>
      <c r="E1237" s="124"/>
      <c r="F1237" s="54"/>
      <c r="G1237" s="13"/>
    </row>
    <row r="1238" spans="1:7" x14ac:dyDescent="0.3">
      <c r="A1238" s="1"/>
      <c r="B1238" s="68"/>
      <c r="C1238" s="54"/>
      <c r="D1238" s="11"/>
      <c r="E1238" s="124"/>
      <c r="F1238" s="54"/>
      <c r="G1238" s="13"/>
    </row>
    <row r="1239" spans="1:7" x14ac:dyDescent="0.3">
      <c r="A1239" s="1"/>
      <c r="B1239" s="68"/>
      <c r="C1239" s="54"/>
      <c r="D1239" s="11"/>
      <c r="E1239" s="124"/>
      <c r="F1239" s="54"/>
      <c r="G1239" s="13">
        <f t="shared" ref="G1239:G1241" si="74">+ROUND((1+D1239)*E1239*F1239,0)</f>
        <v>0</v>
      </c>
    </row>
    <row r="1240" spans="1:7" x14ac:dyDescent="0.3">
      <c r="A1240" s="1"/>
      <c r="B1240" s="68"/>
      <c r="C1240" s="54"/>
      <c r="D1240" s="11"/>
      <c r="E1240" s="124"/>
      <c r="F1240" s="54"/>
      <c r="G1240" s="13">
        <f t="shared" si="74"/>
        <v>0</v>
      </c>
    </row>
    <row r="1241" spans="1:7" ht="17.25" thickBot="1" x14ac:dyDescent="0.35">
      <c r="A1241" s="1"/>
      <c r="B1241" s="68"/>
      <c r="C1241" s="33"/>
      <c r="D1241" s="30"/>
      <c r="E1241" s="31"/>
      <c r="F1241" s="33"/>
      <c r="G1241" s="32">
        <f t="shared" si="74"/>
        <v>0</v>
      </c>
    </row>
    <row r="1242" spans="1:7" ht="17.25" thickBot="1" x14ac:dyDescent="0.35">
      <c r="A1242" s="1"/>
      <c r="B1242" s="55" t="s">
        <v>281</v>
      </c>
      <c r="C1242" s="56"/>
      <c r="D1242" s="56"/>
      <c r="E1242" s="57"/>
      <c r="F1242" s="58" t="s">
        <v>288</v>
      </c>
      <c r="G1242" s="59"/>
    </row>
    <row r="1243" spans="1:7" ht="17.25" thickBot="1" x14ac:dyDescent="0.35">
      <c r="A1243" s="1"/>
      <c r="B1243" s="15" t="s">
        <v>440</v>
      </c>
      <c r="C1243" s="16" t="s">
        <v>374</v>
      </c>
      <c r="D1243" s="60"/>
      <c r="E1243" s="61">
        <v>1</v>
      </c>
      <c r="F1243" s="16">
        <f>+'FACTOR PRESTACIONAL'!L9</f>
        <v>21501.663682495626</v>
      </c>
      <c r="G1243" s="17">
        <f>F1243*E1243</f>
        <v>21501.663682495626</v>
      </c>
    </row>
    <row r="1244" spans="1:7" ht="17.25" thickBot="1" x14ac:dyDescent="0.35">
      <c r="A1244" s="1"/>
      <c r="B1244" s="55" t="s">
        <v>283</v>
      </c>
      <c r="C1244" s="56"/>
      <c r="D1244" s="56"/>
      <c r="E1244" s="57"/>
      <c r="F1244" s="58"/>
      <c r="G1244" s="59"/>
    </row>
    <row r="1245" spans="1:7" ht="17.25" thickBot="1" x14ac:dyDescent="0.35">
      <c r="A1245" s="1"/>
      <c r="B1245" s="15" t="s">
        <v>310</v>
      </c>
      <c r="C1245" s="16" t="s">
        <v>169</v>
      </c>
      <c r="D1245" s="60"/>
      <c r="E1245" s="61">
        <v>1</v>
      </c>
      <c r="F1245" s="16">
        <v>15000</v>
      </c>
      <c r="G1245" s="17">
        <f>+ROUND((1+D1245)*E1245*F1245,0)</f>
        <v>15000</v>
      </c>
    </row>
    <row r="1246" spans="1:7" ht="17.25" thickBot="1" x14ac:dyDescent="0.35">
      <c r="A1246" s="1"/>
      <c r="B1246" s="62" t="s">
        <v>286</v>
      </c>
      <c r="C1246" s="5"/>
      <c r="D1246" s="5"/>
      <c r="E1246" s="6"/>
      <c r="F1246" s="63"/>
      <c r="G1246" s="64"/>
    </row>
    <row r="1247" spans="1:7" ht="17.25" thickBot="1" x14ac:dyDescent="0.35">
      <c r="A1247" s="1"/>
      <c r="B1247" s="38" t="s">
        <v>286</v>
      </c>
      <c r="C1247" s="47" t="s">
        <v>124</v>
      </c>
      <c r="D1247" s="45"/>
      <c r="E1247" s="46">
        <v>0.05</v>
      </c>
      <c r="F1247" s="41">
        <f>F1243</f>
        <v>21501.663682495626</v>
      </c>
      <c r="G1247" s="40">
        <f>+ROUND(E1247*F1247,0)</f>
        <v>1075</v>
      </c>
    </row>
    <row r="1248" spans="1:7" ht="17.25" thickBot="1" x14ac:dyDescent="0.35">
      <c r="A1248" s="1"/>
      <c r="B1248" s="2"/>
      <c r="C1248" s="39"/>
      <c r="D1248" s="18" t="s">
        <v>287</v>
      </c>
      <c r="E1248" s="19"/>
      <c r="F1248" s="20"/>
      <c r="G1248" s="17">
        <f>SUM(G1233:G1247)</f>
        <v>358014.66368249565</v>
      </c>
    </row>
    <row r="1249" spans="1:7" hidden="1" x14ac:dyDescent="0.3">
      <c r="A1249" s="1"/>
      <c r="B1249" s="2"/>
      <c r="C1249" s="3"/>
      <c r="D1249" s="21" t="s">
        <v>289</v>
      </c>
      <c r="E1249" s="22"/>
      <c r="F1249" s="23" t="e">
        <f>+F1226</f>
        <v>#REF!</v>
      </c>
      <c r="G1249" s="24" t="e">
        <f>+ROUND(G1248*F1249,0)</f>
        <v>#REF!</v>
      </c>
    </row>
    <row r="1250" spans="1:7" hidden="1" x14ac:dyDescent="0.3">
      <c r="A1250" s="1"/>
      <c r="B1250" s="2"/>
      <c r="C1250" s="3"/>
      <c r="D1250" s="25" t="s">
        <v>290</v>
      </c>
      <c r="E1250" s="26"/>
      <c r="F1250" s="23" t="e">
        <f t="shared" ref="F1250:F1251" si="75">+F1227</f>
        <v>#REF!</v>
      </c>
      <c r="G1250" s="14" t="e">
        <f>+ROUND(G1248*F1250,0)</f>
        <v>#REF!</v>
      </c>
    </row>
    <row r="1251" spans="1:7" ht="17.25" hidden="1" thickBot="1" x14ac:dyDescent="0.35">
      <c r="A1251" s="1"/>
      <c r="B1251" s="2"/>
      <c r="C1251" s="3"/>
      <c r="D1251" s="25" t="s">
        <v>291</v>
      </c>
      <c r="E1251" s="26"/>
      <c r="F1251" s="23" t="e">
        <f t="shared" si="75"/>
        <v>#REF!</v>
      </c>
      <c r="G1251" s="14" t="e">
        <f>+ROUND(G1248*F1251,0)</f>
        <v>#REF!</v>
      </c>
    </row>
    <row r="1252" spans="1:7" ht="17.25" hidden="1" thickBot="1" x14ac:dyDescent="0.35">
      <c r="A1252" s="1"/>
      <c r="B1252" s="2"/>
      <c r="C1252" s="3"/>
      <c r="D1252" s="18" t="s">
        <v>10</v>
      </c>
      <c r="E1252" s="29"/>
      <c r="F1252" s="20"/>
      <c r="G1252" s="17" t="e">
        <f>SUM(G1248:G1251)</f>
        <v>#REF!</v>
      </c>
    </row>
    <row r="1253" spans="1:7" ht="17.25" thickBot="1" x14ac:dyDescent="0.35">
      <c r="A1253" s="1"/>
      <c r="B1253" s="2"/>
      <c r="C1253" s="3"/>
      <c r="D1253" s="121"/>
      <c r="E1253" s="122"/>
      <c r="F1253" s="39"/>
      <c r="G1253" s="39"/>
    </row>
    <row r="1254" spans="1:7" ht="33.75" thickBot="1" x14ac:dyDescent="0.35">
      <c r="A1254" s="358">
        <f>PPTO!B84</f>
        <v>10.5</v>
      </c>
      <c r="B1254" s="359" t="str">
        <f>VLOOKUP(A1254,PPTO!$B$8:$D$94,2,0)</f>
        <v>Suministro e instalación de Lava escobas prefabricado de 70x70x25cm Granito y cemento blanco (incluye llave boca manguera)</v>
      </c>
      <c r="C1254" s="360" t="s">
        <v>85</v>
      </c>
      <c r="D1254" s="361" t="s">
        <v>274</v>
      </c>
      <c r="E1254" s="362" t="s">
        <v>275</v>
      </c>
      <c r="F1254" s="360" t="s">
        <v>276</v>
      </c>
      <c r="G1254" s="363" t="s">
        <v>277</v>
      </c>
    </row>
    <row r="1255" spans="1:7" x14ac:dyDescent="0.3">
      <c r="A1255" s="1" t="s">
        <v>288</v>
      </c>
      <c r="B1255" s="51" t="s">
        <v>278</v>
      </c>
      <c r="C1255" s="43"/>
      <c r="D1255" s="43"/>
      <c r="E1255" s="44"/>
      <c r="F1255" s="52"/>
      <c r="G1255" s="7"/>
    </row>
    <row r="1256" spans="1:7" x14ac:dyDescent="0.3">
      <c r="A1256" s="1"/>
      <c r="B1256" s="68" t="s">
        <v>465</v>
      </c>
      <c r="C1256" s="54" t="str">
        <f>VLOOKUP(B1256,INSUMOS!$B$2:$D$562,2,0)</f>
        <v>und</v>
      </c>
      <c r="D1256" s="11"/>
      <c r="E1256" s="124">
        <v>1</v>
      </c>
      <c r="F1256" s="54">
        <f>VLOOKUP(B1256,INSUMOS!$B$2:$D$562,3,0)</f>
        <v>48125.000000000007</v>
      </c>
      <c r="G1256" s="13">
        <f>+ROUND((1+D1256)*E1256*F1256,0)</f>
        <v>48125</v>
      </c>
    </row>
    <row r="1257" spans="1:7" x14ac:dyDescent="0.3">
      <c r="A1257" s="1"/>
      <c r="B1257" s="68" t="s">
        <v>466</v>
      </c>
      <c r="C1257" s="54" t="str">
        <f>VLOOKUP(B1257,INSUMOS!$B$2:$D$562,2,0)</f>
        <v>un</v>
      </c>
      <c r="D1257" s="11"/>
      <c r="E1257" s="124">
        <v>1</v>
      </c>
      <c r="F1257" s="54">
        <f>VLOOKUP(B1257,INSUMOS!$B$2:$D$562,3,0)</f>
        <v>250000</v>
      </c>
      <c r="G1257" s="13">
        <f>+ROUND((1+D1257)*E1257*F1257,0)</f>
        <v>250000</v>
      </c>
    </row>
    <row r="1258" spans="1:7" x14ac:dyDescent="0.3">
      <c r="A1258" s="1"/>
      <c r="B1258" s="68" t="s">
        <v>462</v>
      </c>
      <c r="C1258" s="54" t="str">
        <f>VLOOKUP(B1258,INSUMOS!$B$2:$D$562,2,0)</f>
        <v>und</v>
      </c>
      <c r="D1258" s="11"/>
      <c r="E1258" s="124">
        <v>1</v>
      </c>
      <c r="F1258" s="54">
        <f>VLOOKUP(B1258,INSUMOS!$B$2:$D$562,3,0)</f>
        <v>25437.500000000004</v>
      </c>
      <c r="G1258" s="13">
        <f>+ROUND((1+D1258)*E1258*F1258,0)</f>
        <v>25438</v>
      </c>
    </row>
    <row r="1259" spans="1:7" x14ac:dyDescent="0.3">
      <c r="A1259" s="1"/>
      <c r="B1259" s="68"/>
      <c r="C1259" s="54"/>
      <c r="D1259" s="11"/>
      <c r="E1259" s="124"/>
      <c r="F1259" s="54"/>
      <c r="G1259" s="13"/>
    </row>
    <row r="1260" spans="1:7" x14ac:dyDescent="0.3">
      <c r="A1260" s="1"/>
      <c r="B1260" s="68"/>
      <c r="C1260" s="54"/>
      <c r="D1260" s="11"/>
      <c r="E1260" s="124"/>
      <c r="F1260" s="54"/>
      <c r="G1260" s="13"/>
    </row>
    <row r="1261" spans="1:7" x14ac:dyDescent="0.3">
      <c r="A1261" s="1"/>
      <c r="B1261" s="68"/>
      <c r="C1261" s="54"/>
      <c r="D1261" s="11"/>
      <c r="E1261" s="124"/>
      <c r="F1261" s="54"/>
      <c r="G1261" s="13">
        <f t="shared" ref="G1261:G1263" si="76">+ROUND((1+D1261)*E1261*F1261,0)</f>
        <v>0</v>
      </c>
    </row>
    <row r="1262" spans="1:7" x14ac:dyDescent="0.3">
      <c r="A1262" s="1"/>
      <c r="B1262" s="68"/>
      <c r="C1262" s="54"/>
      <c r="D1262" s="11"/>
      <c r="E1262" s="124"/>
      <c r="F1262" s="54"/>
      <c r="G1262" s="13">
        <f t="shared" si="76"/>
        <v>0</v>
      </c>
    </row>
    <row r="1263" spans="1:7" ht="17.25" thickBot="1" x14ac:dyDescent="0.35">
      <c r="A1263" s="1"/>
      <c r="B1263" s="68"/>
      <c r="C1263" s="33"/>
      <c r="D1263" s="30"/>
      <c r="E1263" s="31"/>
      <c r="F1263" s="33"/>
      <c r="G1263" s="32">
        <f t="shared" si="76"/>
        <v>0</v>
      </c>
    </row>
    <row r="1264" spans="1:7" ht="17.25" thickBot="1" x14ac:dyDescent="0.35">
      <c r="A1264" s="1"/>
      <c r="B1264" s="55" t="s">
        <v>281</v>
      </c>
      <c r="C1264" s="56"/>
      <c r="D1264" s="56"/>
      <c r="E1264" s="57"/>
      <c r="F1264" s="58" t="s">
        <v>288</v>
      </c>
      <c r="G1264" s="59"/>
    </row>
    <row r="1265" spans="1:7" ht="17.25" thickBot="1" x14ac:dyDescent="0.35">
      <c r="A1265" s="1"/>
      <c r="B1265" s="15" t="s">
        <v>440</v>
      </c>
      <c r="C1265" s="16" t="s">
        <v>374</v>
      </c>
      <c r="D1265" s="60"/>
      <c r="E1265" s="61">
        <v>0.5</v>
      </c>
      <c r="F1265" s="16">
        <f>+'FACTOR PRESTACIONAL'!L9+'FACTOR PRESTACIONAL'!L10</f>
        <v>34050.787165828959</v>
      </c>
      <c r="G1265" s="17">
        <f>F1265*E1265</f>
        <v>17025.393582914479</v>
      </c>
    </row>
    <row r="1266" spans="1:7" ht="17.25" thickBot="1" x14ac:dyDescent="0.35">
      <c r="A1266" s="1"/>
      <c r="B1266" s="55" t="s">
        <v>283</v>
      </c>
      <c r="C1266" s="56"/>
      <c r="D1266" s="56"/>
      <c r="E1266" s="57"/>
      <c r="F1266" s="58"/>
      <c r="G1266" s="59"/>
    </row>
    <row r="1267" spans="1:7" ht="17.25" thickBot="1" x14ac:dyDescent="0.35">
      <c r="A1267" s="1"/>
      <c r="B1267" s="15" t="s">
        <v>310</v>
      </c>
      <c r="C1267" s="16" t="s">
        <v>169</v>
      </c>
      <c r="D1267" s="60"/>
      <c r="E1267" s="61">
        <v>1</v>
      </c>
      <c r="F1267" s="16">
        <v>15000</v>
      </c>
      <c r="G1267" s="17">
        <v>15000</v>
      </c>
    </row>
    <row r="1268" spans="1:7" ht="17.25" thickBot="1" x14ac:dyDescent="0.35">
      <c r="A1268" s="1"/>
      <c r="B1268" s="62" t="s">
        <v>286</v>
      </c>
      <c r="C1268" s="5"/>
      <c r="D1268" s="5"/>
      <c r="E1268" s="6"/>
      <c r="F1268" s="63"/>
      <c r="G1268" s="64"/>
    </row>
    <row r="1269" spans="1:7" ht="17.25" thickBot="1" x14ac:dyDescent="0.35">
      <c r="A1269" s="1"/>
      <c r="B1269" s="38" t="s">
        <v>286</v>
      </c>
      <c r="C1269" s="47" t="s">
        <v>124</v>
      </c>
      <c r="D1269" s="45"/>
      <c r="E1269" s="46">
        <v>0.05</v>
      </c>
      <c r="F1269" s="41">
        <f>G1265</f>
        <v>17025.393582914479</v>
      </c>
      <c r="G1269" s="40">
        <f>+ROUND(E1269*F1269,0)</f>
        <v>851</v>
      </c>
    </row>
    <row r="1270" spans="1:7" ht="17.25" thickBot="1" x14ac:dyDescent="0.35">
      <c r="A1270" s="1"/>
      <c r="B1270" s="2"/>
      <c r="C1270" s="39"/>
      <c r="D1270" s="18" t="s">
        <v>287</v>
      </c>
      <c r="E1270" s="19"/>
      <c r="F1270" s="20"/>
      <c r="G1270" s="17">
        <f>SUM(G1256:G1269)</f>
        <v>356439.39358291449</v>
      </c>
    </row>
    <row r="1271" spans="1:7" hidden="1" x14ac:dyDescent="0.3">
      <c r="A1271" s="1"/>
      <c r="B1271" s="2"/>
      <c r="C1271" s="3"/>
      <c r="D1271" s="21" t="s">
        <v>289</v>
      </c>
      <c r="E1271" s="22"/>
      <c r="F1271" s="23" t="e">
        <f>+F1249</f>
        <v>#REF!</v>
      </c>
      <c r="G1271" s="24" t="e">
        <f>+ROUND(G1270*F1271,0)</f>
        <v>#REF!</v>
      </c>
    </row>
    <row r="1272" spans="1:7" hidden="1" x14ac:dyDescent="0.3">
      <c r="A1272" s="1"/>
      <c r="B1272" s="2"/>
      <c r="C1272" s="3"/>
      <c r="D1272" s="25" t="s">
        <v>290</v>
      </c>
      <c r="E1272" s="26"/>
      <c r="F1272" s="23" t="e">
        <f>+F1250</f>
        <v>#REF!</v>
      </c>
      <c r="G1272" s="14" t="e">
        <f>+ROUND(G1270*F1272,0)</f>
        <v>#REF!</v>
      </c>
    </row>
    <row r="1273" spans="1:7" ht="17.25" hidden="1" thickBot="1" x14ac:dyDescent="0.35">
      <c r="A1273" s="1"/>
      <c r="B1273" s="2"/>
      <c r="C1273" s="3"/>
      <c r="D1273" s="25" t="s">
        <v>291</v>
      </c>
      <c r="E1273" s="26"/>
      <c r="F1273" s="23" t="e">
        <f>+F1251</f>
        <v>#REF!</v>
      </c>
      <c r="G1273" s="14" t="e">
        <f>+ROUND(G1270*F1273,0)</f>
        <v>#REF!</v>
      </c>
    </row>
    <row r="1274" spans="1:7" ht="17.25" hidden="1" thickBot="1" x14ac:dyDescent="0.35">
      <c r="A1274" s="1"/>
      <c r="B1274" s="2"/>
      <c r="C1274" s="3"/>
      <c r="D1274" s="18" t="s">
        <v>10</v>
      </c>
      <c r="E1274" s="29"/>
      <c r="F1274" s="20"/>
      <c r="G1274" s="17" t="e">
        <f>SUM(G1270:G1273)</f>
        <v>#REF!</v>
      </c>
    </row>
    <row r="1275" spans="1:7" ht="17.25" thickBot="1" x14ac:dyDescent="0.35"/>
    <row r="1276" spans="1:7" ht="66.75" thickBot="1" x14ac:dyDescent="0.35">
      <c r="A1276" s="358">
        <v>10.6</v>
      </c>
      <c r="B1276" s="359" t="str">
        <f>VLOOKUP(A1276,PPTO!$B$8:$D$94,2,0)</f>
        <v>Colocación e instalación de Lavamanos PMR, incluye: accesorios PVC, lavamanos corona o equivalente color blanco, grifería metálica antivandálica, de push ref 71100 de Grival o equivalente, abasto metálico y todos los demás elementos necesarios para su correcta instalación y funcionamiento.</v>
      </c>
      <c r="C1276" s="360" t="s">
        <v>85</v>
      </c>
      <c r="D1276" s="361" t="s">
        <v>274</v>
      </c>
      <c r="E1276" s="362" t="s">
        <v>275</v>
      </c>
      <c r="F1276" s="360" t="s">
        <v>276</v>
      </c>
      <c r="G1276" s="363" t="s">
        <v>277</v>
      </c>
    </row>
    <row r="1277" spans="1:7" x14ac:dyDescent="0.3">
      <c r="A1277" s="1" t="s">
        <v>288</v>
      </c>
      <c r="B1277" s="51" t="s">
        <v>278</v>
      </c>
      <c r="C1277" s="43"/>
      <c r="D1277" s="43"/>
      <c r="E1277" s="44"/>
      <c r="F1277" s="52"/>
      <c r="G1277" s="7"/>
    </row>
    <row r="1278" spans="1:7" x14ac:dyDescent="0.3">
      <c r="A1278" s="1"/>
      <c r="B1278" s="68" t="s">
        <v>467</v>
      </c>
      <c r="C1278" s="54" t="str">
        <f>VLOOKUP(B1278,INSUMOS!$B$2:$D$562,2,0)</f>
        <v>un</v>
      </c>
      <c r="D1278" s="11"/>
      <c r="E1278" s="124">
        <v>1</v>
      </c>
      <c r="F1278" s="54">
        <f>VLOOKUP(B1278,INSUMOS!$B$2:$D$562,3,0)</f>
        <v>550000</v>
      </c>
      <c r="G1278" s="13">
        <f>+ROUND((1+D1278)*E1278*F1278,0)</f>
        <v>550000</v>
      </c>
    </row>
    <row r="1279" spans="1:7" x14ac:dyDescent="0.3">
      <c r="A1279" s="1"/>
      <c r="B1279" s="68" t="s">
        <v>457</v>
      </c>
      <c r="C1279" s="54" t="str">
        <f>VLOOKUP(B1279,INSUMOS!$B$2:$D$562,2,0)</f>
        <v>und</v>
      </c>
      <c r="D1279" s="11"/>
      <c r="E1279" s="124">
        <v>1</v>
      </c>
      <c r="F1279" s="54">
        <f>VLOOKUP(B1279,INSUMOS!$B$2:$D$562,3,0)</f>
        <v>25987.500000000004</v>
      </c>
      <c r="G1279" s="13">
        <f>+ROUND((1+D1279)*E1279*F1279,0)</f>
        <v>25988</v>
      </c>
    </row>
    <row r="1280" spans="1:7" x14ac:dyDescent="0.3">
      <c r="A1280" s="1"/>
      <c r="B1280" s="68" t="s">
        <v>458</v>
      </c>
      <c r="C1280" s="54" t="str">
        <f>VLOOKUP(B1280,INSUMOS!$B$2:$D$562,2,0)</f>
        <v>und</v>
      </c>
      <c r="D1280" s="11"/>
      <c r="E1280" s="124">
        <v>1</v>
      </c>
      <c r="F1280" s="54">
        <f>VLOOKUP(B1280,INSUMOS!$B$2:$D$562,3,0)</f>
        <v>40000</v>
      </c>
      <c r="G1280" s="13">
        <f>+ROUND((1+D1280)*E1280*F1280,0)</f>
        <v>40000</v>
      </c>
    </row>
    <row r="1281" spans="1:7" x14ac:dyDescent="0.3">
      <c r="A1281" s="1"/>
      <c r="B1281" s="68" t="s">
        <v>461</v>
      </c>
      <c r="C1281" s="54" t="str">
        <f>VLOOKUP(B1281,INSUMOS!$B$2:$D$562,2,0)</f>
        <v>un</v>
      </c>
      <c r="D1281" s="11"/>
      <c r="E1281" s="124">
        <v>1</v>
      </c>
      <c r="F1281" s="54">
        <f>VLOOKUP(B1281,INSUMOS!$B$2:$D$562,3,0)</f>
        <v>250000</v>
      </c>
      <c r="G1281" s="13">
        <f>+ROUND((1+D1281)*E1281*F1281,0)</f>
        <v>250000</v>
      </c>
    </row>
    <row r="1282" spans="1:7" x14ac:dyDescent="0.3">
      <c r="A1282" s="1"/>
      <c r="B1282" s="68"/>
      <c r="C1282" s="54"/>
      <c r="D1282" s="11"/>
      <c r="E1282" s="124"/>
      <c r="F1282" s="54"/>
      <c r="G1282" s="13"/>
    </row>
    <row r="1283" spans="1:7" x14ac:dyDescent="0.3">
      <c r="A1283" s="1"/>
      <c r="B1283" s="68"/>
      <c r="C1283" s="54"/>
      <c r="D1283" s="11"/>
      <c r="E1283" s="124"/>
      <c r="F1283" s="54"/>
      <c r="G1283" s="13"/>
    </row>
    <row r="1284" spans="1:7" x14ac:dyDescent="0.3">
      <c r="A1284" s="1"/>
      <c r="B1284" s="68"/>
      <c r="C1284" s="54"/>
      <c r="D1284" s="11"/>
      <c r="E1284" s="124"/>
      <c r="F1284" s="54"/>
      <c r="G1284" s="13">
        <f t="shared" ref="G1284:G1286" si="77">+ROUND((1+D1284)*E1284*F1284,0)</f>
        <v>0</v>
      </c>
    </row>
    <row r="1285" spans="1:7" x14ac:dyDescent="0.3">
      <c r="A1285" s="1"/>
      <c r="B1285" s="68"/>
      <c r="C1285" s="54"/>
      <c r="D1285" s="11"/>
      <c r="E1285" s="124"/>
      <c r="F1285" s="54"/>
      <c r="G1285" s="13">
        <f t="shared" si="77"/>
        <v>0</v>
      </c>
    </row>
    <row r="1286" spans="1:7" ht="17.25" thickBot="1" x14ac:dyDescent="0.35">
      <c r="A1286" s="1"/>
      <c r="B1286" s="68"/>
      <c r="C1286" s="33"/>
      <c r="D1286" s="30"/>
      <c r="E1286" s="31"/>
      <c r="F1286" s="33"/>
      <c r="G1286" s="32">
        <f t="shared" si="77"/>
        <v>0</v>
      </c>
    </row>
    <row r="1287" spans="1:7" ht="17.25" thickBot="1" x14ac:dyDescent="0.35">
      <c r="A1287" s="1"/>
      <c r="B1287" s="55" t="s">
        <v>281</v>
      </c>
      <c r="C1287" s="56"/>
      <c r="D1287" s="56"/>
      <c r="E1287" s="57"/>
      <c r="F1287" s="58" t="s">
        <v>288</v>
      </c>
      <c r="G1287" s="59"/>
    </row>
    <row r="1288" spans="1:7" ht="17.25" thickBot="1" x14ac:dyDescent="0.35">
      <c r="A1288" s="1"/>
      <c r="B1288" s="15" t="s">
        <v>440</v>
      </c>
      <c r="C1288" s="16" t="s">
        <v>321</v>
      </c>
      <c r="D1288" s="60"/>
      <c r="E1288" s="61">
        <v>0.35</v>
      </c>
      <c r="F1288" s="16">
        <f>+F1265</f>
        <v>34050.787165828959</v>
      </c>
      <c r="G1288" s="17">
        <f>F1288*E1288</f>
        <v>11917.775508040135</v>
      </c>
    </row>
    <row r="1289" spans="1:7" ht="17.25" thickBot="1" x14ac:dyDescent="0.35">
      <c r="A1289" s="1"/>
      <c r="B1289" s="55" t="s">
        <v>283</v>
      </c>
      <c r="C1289" s="56"/>
      <c r="D1289" s="56"/>
      <c r="E1289" s="57"/>
      <c r="F1289" s="58"/>
      <c r="G1289" s="59"/>
    </row>
    <row r="1290" spans="1:7" ht="17.25" thickBot="1" x14ac:dyDescent="0.35">
      <c r="A1290" s="1"/>
      <c r="B1290" s="15" t="s">
        <v>310</v>
      </c>
      <c r="C1290" s="16" t="s">
        <v>169</v>
      </c>
      <c r="D1290" s="60"/>
      <c r="E1290" s="61">
        <v>1</v>
      </c>
      <c r="F1290" s="16">
        <v>15000</v>
      </c>
      <c r="G1290" s="17">
        <f>+ROUND((1+D1290)*E1290*F1290,0)</f>
        <v>15000</v>
      </c>
    </row>
    <row r="1291" spans="1:7" ht="17.25" thickBot="1" x14ac:dyDescent="0.35">
      <c r="A1291" s="1"/>
      <c r="B1291" s="62" t="s">
        <v>286</v>
      </c>
      <c r="C1291" s="5"/>
      <c r="D1291" s="5"/>
      <c r="E1291" s="6"/>
      <c r="F1291" s="63"/>
      <c r="G1291" s="64"/>
    </row>
    <row r="1292" spans="1:7" ht="17.25" thickBot="1" x14ac:dyDescent="0.35">
      <c r="A1292" s="1"/>
      <c r="B1292" s="38" t="s">
        <v>286</v>
      </c>
      <c r="C1292" s="47" t="s">
        <v>124</v>
      </c>
      <c r="D1292" s="45"/>
      <c r="E1292" s="46">
        <v>0.05</v>
      </c>
      <c r="F1292" s="41">
        <f>+G1288</f>
        <v>11917.775508040135</v>
      </c>
      <c r="G1292" s="40">
        <f>+ROUND(E1292*F1292,0)</f>
        <v>596</v>
      </c>
    </row>
    <row r="1293" spans="1:7" ht="17.25" thickBot="1" x14ac:dyDescent="0.35">
      <c r="B1293" s="2"/>
      <c r="C1293" s="39"/>
      <c r="D1293" s="18" t="s">
        <v>287</v>
      </c>
      <c r="E1293" s="19"/>
      <c r="F1293" s="20"/>
      <c r="G1293" s="17">
        <f>SUM(G1278:G1292)</f>
        <v>893501.7755080401</v>
      </c>
    </row>
    <row r="1294" spans="1:7" ht="17.25" thickBot="1" x14ac:dyDescent="0.35"/>
    <row r="1295" spans="1:7" ht="33.75" thickBot="1" x14ac:dyDescent="0.35">
      <c r="A1295" s="358">
        <v>10.7</v>
      </c>
      <c r="B1295" s="359" t="str">
        <f>VLOOKUP(A1295,PPTO!$B$8:$D$94,2,0)</f>
        <v>Suministro e instalación de Mesones prefabricados en quartzone. Color a definir, incluye todo lo necesario para su correcto funcionamiento</v>
      </c>
      <c r="C1295" s="360" t="s">
        <v>85</v>
      </c>
      <c r="D1295" s="361" t="s">
        <v>274</v>
      </c>
      <c r="E1295" s="362" t="s">
        <v>275</v>
      </c>
      <c r="F1295" s="360" t="s">
        <v>276</v>
      </c>
      <c r="G1295" s="363" t="s">
        <v>277</v>
      </c>
    </row>
    <row r="1296" spans="1:7" x14ac:dyDescent="0.3">
      <c r="A1296" s="1" t="s">
        <v>288</v>
      </c>
      <c r="B1296" s="51" t="s">
        <v>278</v>
      </c>
      <c r="C1296" s="43"/>
      <c r="D1296" s="43"/>
      <c r="E1296" s="44"/>
      <c r="F1296" s="52"/>
      <c r="G1296" s="7"/>
    </row>
    <row r="1297" spans="1:7" x14ac:dyDescent="0.3">
      <c r="A1297" s="1"/>
      <c r="B1297" s="68" t="s">
        <v>468</v>
      </c>
      <c r="C1297" s="54" t="str">
        <f>VLOOKUP(B1297,INSUMOS!$B$2:$D$562,2,0)</f>
        <v>ml</v>
      </c>
      <c r="D1297" s="11"/>
      <c r="E1297" s="124">
        <v>1</v>
      </c>
      <c r="F1297" s="54">
        <f>VLOOKUP(B1297,INSUMOS!$B$2:$D$562,3,0)</f>
        <v>400000</v>
      </c>
      <c r="G1297" s="13">
        <f>+ROUND((1+D1297)*E1297*F1297,0)</f>
        <v>400000</v>
      </c>
    </row>
    <row r="1298" spans="1:7" x14ac:dyDescent="0.3">
      <c r="A1298" s="1"/>
      <c r="B1298" s="68" t="s">
        <v>469</v>
      </c>
      <c r="C1298" s="54" t="str">
        <f>VLOOKUP(B1298,INSUMOS!$B$2:$D$562,2,0)</f>
        <v>SC 50 KG</v>
      </c>
      <c r="D1298" s="11"/>
      <c r="E1298" s="124">
        <v>1</v>
      </c>
      <c r="F1298" s="54">
        <f>VLOOKUP(B1298,INSUMOS!$B$2:$D$562,3,0)</f>
        <v>40000</v>
      </c>
      <c r="G1298" s="13">
        <f>+ROUND((1+D1298)*E1298*F1298,0)</f>
        <v>40000</v>
      </c>
    </row>
    <row r="1299" spans="1:7" x14ac:dyDescent="0.3">
      <c r="A1299" s="1"/>
      <c r="B1299" s="68" t="s">
        <v>442</v>
      </c>
      <c r="C1299" s="54" t="str">
        <f>VLOOKUP(B1299,INSUMOS!$B$2:$D$562,2,0)</f>
        <v>un</v>
      </c>
      <c r="D1299" s="11"/>
      <c r="E1299" s="124">
        <v>1</v>
      </c>
      <c r="F1299" s="54">
        <f>VLOOKUP(B1299,INSUMOS!$B$2:$D$562,3,0)</f>
        <v>58900</v>
      </c>
      <c r="G1299" s="13">
        <f>+ROUND((1+D1299)*E1299*F1299,0)</f>
        <v>58900</v>
      </c>
    </row>
    <row r="1300" spans="1:7" x14ac:dyDescent="0.3">
      <c r="A1300" s="1"/>
      <c r="B1300" s="68"/>
      <c r="C1300" s="54"/>
      <c r="D1300" s="11"/>
      <c r="E1300" s="124"/>
      <c r="F1300" s="54"/>
      <c r="G1300" s="13">
        <f>+ROUND((1+D1300)*E1300*F1300,0)</f>
        <v>0</v>
      </c>
    </row>
    <row r="1301" spans="1:7" x14ac:dyDescent="0.3">
      <c r="A1301" s="1"/>
      <c r="B1301" s="68"/>
      <c r="C1301" s="54"/>
      <c r="D1301" s="11"/>
      <c r="E1301" s="124"/>
      <c r="F1301" s="54"/>
      <c r="G1301" s="13"/>
    </row>
    <row r="1302" spans="1:7" x14ac:dyDescent="0.3">
      <c r="A1302" s="1"/>
      <c r="B1302" s="68"/>
      <c r="C1302" s="54"/>
      <c r="D1302" s="11"/>
      <c r="E1302" s="124"/>
      <c r="F1302" s="54"/>
      <c r="G1302" s="13"/>
    </row>
    <row r="1303" spans="1:7" x14ac:dyDescent="0.3">
      <c r="A1303" s="1"/>
      <c r="B1303" s="68"/>
      <c r="C1303" s="54"/>
      <c r="D1303" s="11"/>
      <c r="E1303" s="124"/>
      <c r="F1303" s="54"/>
      <c r="G1303" s="13">
        <f t="shared" ref="G1303:G1305" si="78">+ROUND((1+D1303)*E1303*F1303,0)</f>
        <v>0</v>
      </c>
    </row>
    <row r="1304" spans="1:7" x14ac:dyDescent="0.3">
      <c r="A1304" s="1"/>
      <c r="B1304" s="68"/>
      <c r="C1304" s="54"/>
      <c r="D1304" s="11"/>
      <c r="E1304" s="124"/>
      <c r="F1304" s="54"/>
      <c r="G1304" s="13">
        <f t="shared" si="78"/>
        <v>0</v>
      </c>
    </row>
    <row r="1305" spans="1:7" ht="17.25" thickBot="1" x14ac:dyDescent="0.35">
      <c r="A1305" s="1"/>
      <c r="B1305" s="68"/>
      <c r="C1305" s="33"/>
      <c r="D1305" s="30"/>
      <c r="E1305" s="31"/>
      <c r="F1305" s="33"/>
      <c r="G1305" s="32">
        <f t="shared" si="78"/>
        <v>0</v>
      </c>
    </row>
    <row r="1306" spans="1:7" ht="17.25" thickBot="1" x14ac:dyDescent="0.35">
      <c r="A1306" s="1"/>
      <c r="B1306" s="55" t="s">
        <v>281</v>
      </c>
      <c r="C1306" s="56"/>
      <c r="D1306" s="56"/>
      <c r="E1306" s="57"/>
      <c r="F1306" s="58" t="s">
        <v>288</v>
      </c>
      <c r="G1306" s="59"/>
    </row>
    <row r="1307" spans="1:7" ht="17.25" thickBot="1" x14ac:dyDescent="0.35">
      <c r="A1307" s="1"/>
      <c r="B1307" s="15" t="s">
        <v>440</v>
      </c>
      <c r="C1307" s="16" t="s">
        <v>321</v>
      </c>
      <c r="D1307" s="60"/>
      <c r="E1307" s="61">
        <v>0.4</v>
      </c>
      <c r="F1307" s="16">
        <f>+F1288</f>
        <v>34050.787165828959</v>
      </c>
      <c r="G1307" s="17">
        <f>F1307*E1307</f>
        <v>13620.314866331584</v>
      </c>
    </row>
    <row r="1308" spans="1:7" ht="17.25" thickBot="1" x14ac:dyDescent="0.35">
      <c r="A1308" s="1"/>
      <c r="B1308" s="55" t="s">
        <v>283</v>
      </c>
      <c r="C1308" s="56"/>
      <c r="D1308" s="56"/>
      <c r="E1308" s="57"/>
      <c r="F1308" s="58"/>
      <c r="G1308" s="59"/>
    </row>
    <row r="1309" spans="1:7" ht="17.25" thickBot="1" x14ac:dyDescent="0.35">
      <c r="A1309" s="1"/>
      <c r="B1309" s="15" t="s">
        <v>310</v>
      </c>
      <c r="C1309" s="16" t="s">
        <v>169</v>
      </c>
      <c r="D1309" s="60"/>
      <c r="E1309" s="61">
        <v>1</v>
      </c>
      <c r="F1309" s="16">
        <v>15000</v>
      </c>
      <c r="G1309" s="17">
        <f>+ROUND((1+D1309)*E1309*F1309,0)</f>
        <v>15000</v>
      </c>
    </row>
    <row r="1310" spans="1:7" ht="17.25" thickBot="1" x14ac:dyDescent="0.35">
      <c r="A1310" s="1"/>
      <c r="B1310" s="62" t="s">
        <v>286</v>
      </c>
      <c r="C1310" s="5"/>
      <c r="D1310" s="5"/>
      <c r="E1310" s="6"/>
      <c r="F1310" s="63"/>
      <c r="G1310" s="64"/>
    </row>
    <row r="1311" spans="1:7" ht="17.25" thickBot="1" x14ac:dyDescent="0.35">
      <c r="A1311" s="1"/>
      <c r="B1311" s="38" t="s">
        <v>286</v>
      </c>
      <c r="C1311" s="47" t="s">
        <v>124</v>
      </c>
      <c r="D1311" s="45"/>
      <c r="E1311" s="46">
        <v>0.05</v>
      </c>
      <c r="F1311" s="41">
        <f>+G1307</f>
        <v>13620.314866331584</v>
      </c>
      <c r="G1311" s="40">
        <f>+ROUND(E1311*F1311,0)</f>
        <v>681</v>
      </c>
    </row>
    <row r="1312" spans="1:7" ht="17.25" thickBot="1" x14ac:dyDescent="0.35">
      <c r="B1312" s="2"/>
      <c r="C1312" s="39"/>
      <c r="D1312" s="18" t="s">
        <v>287</v>
      </c>
      <c r="E1312" s="19"/>
      <c r="F1312" s="20"/>
      <c r="G1312" s="17">
        <f>SUM(G1297:G1311)</f>
        <v>528201.31486633164</v>
      </c>
    </row>
    <row r="1313" spans="1:7" ht="17.25" thickBot="1" x14ac:dyDescent="0.35"/>
    <row r="1314" spans="1:7" ht="33.75" thickBot="1" x14ac:dyDescent="0.35">
      <c r="A1314" s="358">
        <v>10.8</v>
      </c>
      <c r="B1314" s="359" t="str">
        <f>VLOOKUP(A1314,PPTO!$B$8:$D$94,2,0)</f>
        <v>Suministro e instalacion de barras de seguridad en acero inoxidable L=60cm, incluye accesorios y todos los elementos para su correcta instalacion</v>
      </c>
      <c r="C1314" s="360" t="s">
        <v>85</v>
      </c>
      <c r="D1314" s="361" t="s">
        <v>274</v>
      </c>
      <c r="E1314" s="362" t="s">
        <v>275</v>
      </c>
      <c r="F1314" s="360" t="s">
        <v>276</v>
      </c>
      <c r="G1314" s="363" t="s">
        <v>277</v>
      </c>
    </row>
    <row r="1315" spans="1:7" x14ac:dyDescent="0.3">
      <c r="A1315" s="1" t="s">
        <v>288</v>
      </c>
      <c r="B1315" s="51" t="s">
        <v>278</v>
      </c>
      <c r="C1315" s="43"/>
      <c r="D1315" s="43"/>
      <c r="E1315" s="44"/>
      <c r="F1315" s="52"/>
      <c r="G1315" s="7"/>
    </row>
    <row r="1316" spans="1:7" x14ac:dyDescent="0.3">
      <c r="A1316" s="1"/>
      <c r="B1316" s="68" t="s">
        <v>470</v>
      </c>
      <c r="C1316" s="54" t="str">
        <f>VLOOKUP(B1316,INSUMOS!$B$2:$D$562,2,0)</f>
        <v>und</v>
      </c>
      <c r="D1316" s="11"/>
      <c r="E1316" s="124">
        <v>1</v>
      </c>
      <c r="F1316" s="54">
        <f>VLOOKUP(B1316,INSUMOS!$B$2:$D$562,3,0)</f>
        <v>180000</v>
      </c>
      <c r="G1316" s="13">
        <f>+ROUND((1+D1316)*E1316*F1316,0)</f>
        <v>180000</v>
      </c>
    </row>
    <row r="1317" spans="1:7" x14ac:dyDescent="0.3">
      <c r="A1317" s="1"/>
      <c r="B1317" s="68"/>
      <c r="C1317" s="54"/>
      <c r="D1317" s="11"/>
      <c r="E1317" s="124"/>
      <c r="F1317" s="54"/>
      <c r="G1317" s="13"/>
    </row>
    <row r="1318" spans="1:7" x14ac:dyDescent="0.3">
      <c r="A1318" s="1"/>
      <c r="B1318" s="68"/>
      <c r="C1318" s="54"/>
      <c r="D1318" s="11"/>
      <c r="E1318" s="124"/>
      <c r="F1318" s="54"/>
      <c r="G1318" s="13"/>
    </row>
    <row r="1319" spans="1:7" x14ac:dyDescent="0.3">
      <c r="A1319" s="1"/>
      <c r="B1319" s="68"/>
      <c r="C1319" s="54"/>
      <c r="D1319" s="11"/>
      <c r="E1319" s="124"/>
      <c r="F1319" s="54"/>
      <c r="G1319" s="13">
        <f>+ROUND((1+D1319)*E1319*F1319,0)</f>
        <v>0</v>
      </c>
    </row>
    <row r="1320" spans="1:7" x14ac:dyDescent="0.3">
      <c r="A1320" s="1"/>
      <c r="B1320" s="68"/>
      <c r="C1320" s="54"/>
      <c r="D1320" s="11"/>
      <c r="E1320" s="124"/>
      <c r="F1320" s="54"/>
      <c r="G1320" s="13"/>
    </row>
    <row r="1321" spans="1:7" x14ac:dyDescent="0.3">
      <c r="A1321" s="1"/>
      <c r="B1321" s="68"/>
      <c r="C1321" s="54"/>
      <c r="D1321" s="11"/>
      <c r="E1321" s="124"/>
      <c r="F1321" s="54"/>
      <c r="G1321" s="13"/>
    </row>
    <row r="1322" spans="1:7" x14ac:dyDescent="0.3">
      <c r="A1322" s="1"/>
      <c r="B1322" s="68"/>
      <c r="C1322" s="54"/>
      <c r="D1322" s="11"/>
      <c r="E1322" s="124"/>
      <c r="F1322" s="54"/>
      <c r="G1322" s="13">
        <f t="shared" ref="G1322:G1324" si="79">+ROUND((1+D1322)*E1322*F1322,0)</f>
        <v>0</v>
      </c>
    </row>
    <row r="1323" spans="1:7" x14ac:dyDescent="0.3">
      <c r="A1323" s="1"/>
      <c r="B1323" s="68"/>
      <c r="C1323" s="54"/>
      <c r="D1323" s="11"/>
      <c r="E1323" s="124"/>
      <c r="F1323" s="54"/>
      <c r="G1323" s="13">
        <f t="shared" si="79"/>
        <v>0</v>
      </c>
    </row>
    <row r="1324" spans="1:7" ht="17.25" thickBot="1" x14ac:dyDescent="0.35">
      <c r="A1324" s="1"/>
      <c r="B1324" s="68"/>
      <c r="C1324" s="33"/>
      <c r="D1324" s="30"/>
      <c r="E1324" s="31"/>
      <c r="F1324" s="33"/>
      <c r="G1324" s="32">
        <f t="shared" si="79"/>
        <v>0</v>
      </c>
    </row>
    <row r="1325" spans="1:7" ht="17.25" thickBot="1" x14ac:dyDescent="0.35">
      <c r="A1325" s="1"/>
      <c r="B1325" s="55" t="s">
        <v>281</v>
      </c>
      <c r="C1325" s="56"/>
      <c r="D1325" s="56"/>
      <c r="E1325" s="57"/>
      <c r="F1325" s="58" t="s">
        <v>288</v>
      </c>
      <c r="G1325" s="59"/>
    </row>
    <row r="1326" spans="1:7" ht="17.25" thickBot="1" x14ac:dyDescent="0.35">
      <c r="A1326" s="1"/>
      <c r="B1326" s="15" t="s">
        <v>440</v>
      </c>
      <c r="C1326" s="16" t="s">
        <v>321</v>
      </c>
      <c r="D1326" s="60"/>
      <c r="E1326" s="61">
        <v>0.4</v>
      </c>
      <c r="F1326" s="16">
        <f>+F1307</f>
        <v>34050.787165828959</v>
      </c>
      <c r="G1326" s="17">
        <f>F1326*E1326</f>
        <v>13620.314866331584</v>
      </c>
    </row>
    <row r="1327" spans="1:7" ht="17.25" thickBot="1" x14ac:dyDescent="0.35">
      <c r="A1327" s="1"/>
      <c r="B1327" s="55" t="s">
        <v>283</v>
      </c>
      <c r="C1327" s="56"/>
      <c r="D1327" s="56"/>
      <c r="E1327" s="57"/>
      <c r="F1327" s="58"/>
      <c r="G1327" s="59"/>
    </row>
    <row r="1328" spans="1:7" ht="17.25" thickBot="1" x14ac:dyDescent="0.35">
      <c r="A1328" s="1"/>
      <c r="B1328" s="15" t="s">
        <v>310</v>
      </c>
      <c r="C1328" s="16" t="s">
        <v>169</v>
      </c>
      <c r="D1328" s="60"/>
      <c r="E1328" s="61">
        <v>1</v>
      </c>
      <c r="F1328" s="16">
        <v>5000</v>
      </c>
      <c r="G1328" s="17">
        <f>+ROUND((1+D1328)*E1328*F1328,0)</f>
        <v>5000</v>
      </c>
    </row>
    <row r="1329" spans="1:7" ht="17.25" thickBot="1" x14ac:dyDescent="0.35">
      <c r="A1329" s="1"/>
      <c r="B1329" s="62" t="s">
        <v>286</v>
      </c>
      <c r="C1329" s="5"/>
      <c r="D1329" s="5"/>
      <c r="E1329" s="6"/>
      <c r="F1329" s="63"/>
      <c r="G1329" s="64"/>
    </row>
    <row r="1330" spans="1:7" ht="17.25" thickBot="1" x14ac:dyDescent="0.35">
      <c r="A1330" s="1"/>
      <c r="B1330" s="38" t="s">
        <v>286</v>
      </c>
      <c r="C1330" s="47" t="s">
        <v>124</v>
      </c>
      <c r="D1330" s="45"/>
      <c r="E1330" s="46">
        <v>0.05</v>
      </c>
      <c r="F1330" s="41">
        <f>+G1326</f>
        <v>13620.314866331584</v>
      </c>
      <c r="G1330" s="40">
        <f>+ROUND(E1330*F1330,0)</f>
        <v>681</v>
      </c>
    </row>
    <row r="1331" spans="1:7" ht="17.25" thickBot="1" x14ac:dyDescent="0.35">
      <c r="B1331" s="2"/>
      <c r="C1331" s="39"/>
      <c r="D1331" s="18" t="s">
        <v>287</v>
      </c>
      <c r="E1331" s="19"/>
      <c r="F1331" s="20"/>
      <c r="G1331" s="17">
        <f>SUM(G1316:G1330)</f>
        <v>199301.31486633158</v>
      </c>
    </row>
    <row r="1335" spans="1:7" ht="17.25" thickBot="1" x14ac:dyDescent="0.35"/>
    <row r="1336" spans="1:7" ht="17.25" thickBot="1" x14ac:dyDescent="0.35">
      <c r="A1336" s="358">
        <v>10.9</v>
      </c>
      <c r="B1336" s="359" t="str">
        <f>VLOOKUP(A1336,PPTO!$B$8:$D$94,2,0)</f>
        <v>Suministro e instalación de tanque de abastecimiento de 1200Lt</v>
      </c>
      <c r="C1336" s="360" t="s">
        <v>85</v>
      </c>
      <c r="D1336" s="361" t="s">
        <v>274</v>
      </c>
      <c r="E1336" s="362" t="s">
        <v>275</v>
      </c>
      <c r="F1336" s="360" t="s">
        <v>276</v>
      </c>
      <c r="G1336" s="363" t="s">
        <v>277</v>
      </c>
    </row>
    <row r="1337" spans="1:7" x14ac:dyDescent="0.3">
      <c r="A1337" s="1" t="s">
        <v>288</v>
      </c>
      <c r="B1337" s="51" t="s">
        <v>278</v>
      </c>
      <c r="C1337" s="43"/>
      <c r="D1337" s="43"/>
      <c r="E1337" s="44"/>
      <c r="F1337" s="52"/>
      <c r="G1337" s="7"/>
    </row>
    <row r="1338" spans="1:7" x14ac:dyDescent="0.3">
      <c r="A1338" s="1"/>
      <c r="B1338" s="68" t="s">
        <v>471</v>
      </c>
      <c r="C1338" s="54" t="str">
        <f>VLOOKUP(B1338,INSUMOS!$B$2:$D$562,2,0)</f>
        <v>und</v>
      </c>
      <c r="D1338" s="11"/>
      <c r="E1338" s="124">
        <v>1</v>
      </c>
      <c r="F1338" s="54">
        <f>VLOOKUP(B1338,INSUMOS!$B$2:$D$562,3,0)</f>
        <v>2500000</v>
      </c>
      <c r="G1338" s="13">
        <f>+ROUND((1+D1338)*E1338*F1338,0)</f>
        <v>2500000</v>
      </c>
    </row>
    <row r="1339" spans="1:7" x14ac:dyDescent="0.3">
      <c r="A1339" s="1"/>
      <c r="B1339" s="68" t="s">
        <v>472</v>
      </c>
      <c r="C1339" s="54" t="str">
        <f>VLOOKUP(B1339,INSUMOS!$B$2:$D$562,2,0)</f>
        <v>und</v>
      </c>
      <c r="D1339" s="11"/>
      <c r="E1339" s="124">
        <v>1</v>
      </c>
      <c r="F1339" s="54">
        <f>VLOOKUP(B1339,INSUMOS!$B$2:$D$562,3,0)</f>
        <v>337012.5</v>
      </c>
      <c r="G1339" s="13">
        <f t="shared" ref="G1339:G1343" si="80">+ROUND((1+D1339)*E1339*F1339,0)</f>
        <v>337013</v>
      </c>
    </row>
    <row r="1340" spans="1:7" x14ac:dyDescent="0.3">
      <c r="A1340" s="1"/>
      <c r="B1340" s="68" t="s">
        <v>473</v>
      </c>
      <c r="C1340" s="54" t="str">
        <f>VLOOKUP(B1340,INSUMOS!$B$2:$D$562,2,0)</f>
        <v>und</v>
      </c>
      <c r="D1340" s="11"/>
      <c r="E1340" s="124">
        <v>1</v>
      </c>
      <c r="F1340" s="54">
        <f>VLOOKUP(B1340,INSUMOS!$B$2:$D$562,3,0)</f>
        <v>211750.00000000003</v>
      </c>
      <c r="G1340" s="13">
        <f t="shared" si="80"/>
        <v>211750</v>
      </c>
    </row>
    <row r="1341" spans="1:7" x14ac:dyDescent="0.3">
      <c r="A1341" s="1"/>
      <c r="B1341" s="68" t="s">
        <v>474</v>
      </c>
      <c r="C1341" s="54" t="str">
        <f>VLOOKUP(B1341,INSUMOS!$B$2:$D$562,2,0)</f>
        <v>und</v>
      </c>
      <c r="D1341" s="11"/>
      <c r="E1341" s="124">
        <v>0.5</v>
      </c>
      <c r="F1341" s="54">
        <f>VLOOKUP(B1341,INSUMOS!$B$2:$D$562,3,0)</f>
        <v>1200</v>
      </c>
      <c r="G1341" s="13">
        <f t="shared" si="80"/>
        <v>600</v>
      </c>
    </row>
    <row r="1342" spans="1:7" x14ac:dyDescent="0.3">
      <c r="A1342" s="1"/>
      <c r="B1342" s="68" t="s">
        <v>414</v>
      </c>
      <c r="C1342" s="54" t="str">
        <f>VLOOKUP(B1342,INSUMOS!$B$2:$D$562,2,0)</f>
        <v>un</v>
      </c>
      <c r="D1342" s="11"/>
      <c r="E1342" s="124">
        <v>1</v>
      </c>
      <c r="F1342" s="54">
        <f>VLOOKUP(B1342,INSUMOS!$B$2:$D$562,3,0)</f>
        <v>700</v>
      </c>
      <c r="G1342" s="13">
        <f t="shared" si="80"/>
        <v>700</v>
      </c>
    </row>
    <row r="1343" spans="1:7" x14ac:dyDescent="0.3">
      <c r="A1343" s="1"/>
      <c r="B1343" s="68" t="s">
        <v>418</v>
      </c>
      <c r="C1343" s="54" t="str">
        <f>VLOOKUP(B1343,INSUMOS!$B$2:$D$562,2,0)</f>
        <v>un</v>
      </c>
      <c r="D1343" s="11"/>
      <c r="E1343" s="124">
        <v>1</v>
      </c>
      <c r="F1343" s="54">
        <f>VLOOKUP(B1343,INSUMOS!$B$2:$D$562,3,0)</f>
        <v>700</v>
      </c>
      <c r="G1343" s="13">
        <f t="shared" si="80"/>
        <v>700</v>
      </c>
    </row>
    <row r="1344" spans="1:7" x14ac:dyDescent="0.3">
      <c r="A1344" s="1"/>
      <c r="B1344" s="68"/>
      <c r="C1344" s="54"/>
      <c r="D1344" s="11"/>
      <c r="E1344" s="124"/>
      <c r="F1344" s="54"/>
      <c r="G1344" s="13">
        <f t="shared" ref="G1344:G1346" si="81">+ROUND((1+D1344)*E1344*F1344,0)</f>
        <v>0</v>
      </c>
    </row>
    <row r="1345" spans="1:7" x14ac:dyDescent="0.3">
      <c r="A1345" s="1"/>
      <c r="B1345" s="68"/>
      <c r="C1345" s="54"/>
      <c r="D1345" s="11"/>
      <c r="E1345" s="124"/>
      <c r="F1345" s="54"/>
      <c r="G1345" s="13">
        <f t="shared" si="81"/>
        <v>0</v>
      </c>
    </row>
    <row r="1346" spans="1:7" ht="17.25" thickBot="1" x14ac:dyDescent="0.35">
      <c r="A1346" s="1"/>
      <c r="B1346" s="68"/>
      <c r="C1346" s="33"/>
      <c r="D1346" s="30"/>
      <c r="E1346" s="31"/>
      <c r="F1346" s="33"/>
      <c r="G1346" s="32">
        <f t="shared" si="81"/>
        <v>0</v>
      </c>
    </row>
    <row r="1347" spans="1:7" ht="17.25" thickBot="1" x14ac:dyDescent="0.35">
      <c r="A1347" s="1"/>
      <c r="B1347" s="55" t="s">
        <v>281</v>
      </c>
      <c r="C1347" s="56"/>
      <c r="D1347" s="56"/>
      <c r="E1347" s="57"/>
      <c r="F1347" s="58" t="s">
        <v>288</v>
      </c>
      <c r="G1347" s="59"/>
    </row>
    <row r="1348" spans="1:7" ht="17.25" thickBot="1" x14ac:dyDescent="0.35">
      <c r="A1348" s="1"/>
      <c r="B1348" s="15" t="s">
        <v>440</v>
      </c>
      <c r="C1348" s="16" t="s">
        <v>321</v>
      </c>
      <c r="D1348" s="60"/>
      <c r="E1348" s="61">
        <v>0.5</v>
      </c>
      <c r="F1348" s="16">
        <f>+'FACTOR PRESTACIONAL'!K9+'FACTOR PRESTACIONAL'!K10</f>
        <v>272406.29732663167</v>
      </c>
      <c r="G1348" s="17">
        <f>F1348*E1348</f>
        <v>136203.14866331583</v>
      </c>
    </row>
    <row r="1349" spans="1:7" ht="17.25" thickBot="1" x14ac:dyDescent="0.35">
      <c r="A1349" s="1"/>
      <c r="B1349" s="55" t="s">
        <v>283</v>
      </c>
      <c r="C1349" s="56"/>
      <c r="D1349" s="56"/>
      <c r="E1349" s="57"/>
      <c r="F1349" s="58"/>
      <c r="G1349" s="59"/>
    </row>
    <row r="1350" spans="1:7" ht="17.25" thickBot="1" x14ac:dyDescent="0.35">
      <c r="A1350" s="1"/>
      <c r="B1350" s="15" t="s">
        <v>310</v>
      </c>
      <c r="C1350" s="16" t="s">
        <v>169</v>
      </c>
      <c r="D1350" s="60"/>
      <c r="E1350" s="61">
        <v>10</v>
      </c>
      <c r="F1350" s="16">
        <v>150</v>
      </c>
      <c r="G1350" s="17">
        <f>+ROUND((1+D1350)*E1350*F1350,0)</f>
        <v>1500</v>
      </c>
    </row>
    <row r="1351" spans="1:7" ht="17.25" thickBot="1" x14ac:dyDescent="0.35">
      <c r="A1351" s="1"/>
      <c r="B1351" s="62" t="s">
        <v>286</v>
      </c>
      <c r="C1351" s="5"/>
      <c r="D1351" s="5"/>
      <c r="E1351" s="6"/>
      <c r="F1351" s="63"/>
      <c r="G1351" s="64"/>
    </row>
    <row r="1352" spans="1:7" ht="17.25" thickBot="1" x14ac:dyDescent="0.35">
      <c r="A1352" s="1"/>
      <c r="B1352" s="38" t="s">
        <v>286</v>
      </c>
      <c r="C1352" s="47" t="s">
        <v>124</v>
      </c>
      <c r="D1352" s="45"/>
      <c r="E1352" s="46">
        <v>0.05</v>
      </c>
      <c r="F1352" s="41">
        <f>G1348</f>
        <v>136203.14866331583</v>
      </c>
      <c r="G1352" s="40">
        <f>+ROUND(E1352*F1352,0)</f>
        <v>6810</v>
      </c>
    </row>
    <row r="1353" spans="1:7" ht="17.25" thickBot="1" x14ac:dyDescent="0.35">
      <c r="A1353" s="1"/>
      <c r="B1353" s="2"/>
      <c r="C1353" s="39"/>
      <c r="D1353" s="18" t="s">
        <v>287</v>
      </c>
      <c r="E1353" s="19"/>
      <c r="F1353" s="20"/>
      <c r="G1353" s="17">
        <f>SUM(G1338:G1352)</f>
        <v>3195276.1486633159</v>
      </c>
    </row>
    <row r="1354" spans="1:7" ht="17.25" thickBot="1" x14ac:dyDescent="0.35">
      <c r="A1354" s="1"/>
      <c r="B1354" s="2"/>
      <c r="C1354" s="39"/>
      <c r="D1354" s="462"/>
      <c r="E1354" s="19"/>
      <c r="F1354" s="20"/>
      <c r="G1354" s="463"/>
    </row>
    <row r="1355" spans="1:7" ht="33.75" thickBot="1" x14ac:dyDescent="0.35">
      <c r="A1355" s="358">
        <v>11.1</v>
      </c>
      <c r="B1355" s="359" t="str">
        <f>VLOOKUP(A1355,PPTO!$B$8:$D$94,2,0)</f>
        <v>Suministro transporte e instalacion de detector inteligente de humo con alarma sonora.</v>
      </c>
      <c r="C1355" s="360" t="s">
        <v>85</v>
      </c>
      <c r="D1355" s="361" t="s">
        <v>274</v>
      </c>
      <c r="E1355" s="362" t="s">
        <v>275</v>
      </c>
      <c r="F1355" s="360" t="s">
        <v>276</v>
      </c>
      <c r="G1355" s="363" t="s">
        <v>277</v>
      </c>
    </row>
    <row r="1356" spans="1:7" x14ac:dyDescent="0.3">
      <c r="A1356" s="1" t="s">
        <v>288</v>
      </c>
      <c r="B1356" s="51" t="s">
        <v>278</v>
      </c>
      <c r="C1356" s="43"/>
      <c r="D1356" s="43"/>
      <c r="E1356" s="44"/>
      <c r="F1356" s="52"/>
      <c r="G1356" s="7"/>
    </row>
    <row r="1357" spans="1:7" x14ac:dyDescent="0.3">
      <c r="A1357" s="1"/>
      <c r="B1357" s="68" t="s">
        <v>475</v>
      </c>
      <c r="C1357" s="54" t="str">
        <f>VLOOKUP(B1357,INSUMOS!$B$2:$D$562,2,0)</f>
        <v>un</v>
      </c>
      <c r="D1357" s="11"/>
      <c r="E1357" s="124">
        <v>1</v>
      </c>
      <c r="F1357" s="54">
        <f>VLOOKUP(B1357,INSUMOS!$B$2:$D$562,3,0)</f>
        <v>150000</v>
      </c>
      <c r="G1357" s="13">
        <f>+ROUND((1+D1357)*E1357*F1357,0)</f>
        <v>150000</v>
      </c>
    </row>
    <row r="1358" spans="1:7" x14ac:dyDescent="0.3">
      <c r="A1358" s="1"/>
      <c r="B1358" s="68" t="s">
        <v>324</v>
      </c>
      <c r="C1358" s="54" t="str">
        <f>VLOOKUP(B1358,INSUMOS!$B$2:$D$562,2,0)</f>
        <v>día</v>
      </c>
      <c r="D1358" s="11"/>
      <c r="E1358" s="124">
        <v>0.5</v>
      </c>
      <c r="F1358" s="54">
        <f>VLOOKUP(B1358,INSUMOS!$B$2:$D$562,3,0)</f>
        <v>3500</v>
      </c>
      <c r="G1358" s="13">
        <f t="shared" ref="G1358:G1365" si="82">+ROUND((1+D1358)*E1358*F1358,0)</f>
        <v>1750</v>
      </c>
    </row>
    <row r="1359" spans="1:7" x14ac:dyDescent="0.3">
      <c r="A1359" s="1"/>
      <c r="B1359" s="68"/>
      <c r="C1359" s="54"/>
      <c r="D1359" s="11"/>
      <c r="E1359" s="124"/>
      <c r="F1359" s="54"/>
      <c r="G1359" s="13"/>
    </row>
    <row r="1360" spans="1:7" x14ac:dyDescent="0.3">
      <c r="A1360" s="1"/>
      <c r="B1360" s="68"/>
      <c r="C1360" s="54"/>
      <c r="D1360" s="11"/>
      <c r="E1360" s="124"/>
      <c r="F1360" s="54"/>
      <c r="G1360" s="13"/>
    </row>
    <row r="1361" spans="1:7" x14ac:dyDescent="0.3">
      <c r="A1361" s="1"/>
      <c r="B1361" s="68"/>
      <c r="C1361" s="54"/>
      <c r="D1361" s="11"/>
      <c r="E1361" s="124"/>
      <c r="F1361" s="54"/>
      <c r="G1361" s="13"/>
    </row>
    <row r="1362" spans="1:7" x14ac:dyDescent="0.3">
      <c r="A1362" s="1"/>
      <c r="B1362" s="68"/>
      <c r="C1362" s="54"/>
      <c r="D1362" s="11"/>
      <c r="E1362" s="124"/>
      <c r="F1362" s="54"/>
      <c r="G1362" s="13"/>
    </row>
    <row r="1363" spans="1:7" x14ac:dyDescent="0.3">
      <c r="A1363" s="1"/>
      <c r="B1363" s="68"/>
      <c r="C1363" s="54"/>
      <c r="D1363" s="11"/>
      <c r="E1363" s="124"/>
      <c r="F1363" s="54"/>
      <c r="G1363" s="13">
        <f t="shared" si="82"/>
        <v>0</v>
      </c>
    </row>
    <row r="1364" spans="1:7" x14ac:dyDescent="0.3">
      <c r="A1364" s="1"/>
      <c r="B1364" s="68"/>
      <c r="C1364" s="54"/>
      <c r="D1364" s="11"/>
      <c r="E1364" s="124"/>
      <c r="F1364" s="54"/>
      <c r="G1364" s="13">
        <f t="shared" si="82"/>
        <v>0</v>
      </c>
    </row>
    <row r="1365" spans="1:7" ht="17.25" thickBot="1" x14ac:dyDescent="0.35">
      <c r="A1365" s="1"/>
      <c r="B1365" s="68"/>
      <c r="C1365" s="33"/>
      <c r="D1365" s="30"/>
      <c r="E1365" s="31"/>
      <c r="F1365" s="33"/>
      <c r="G1365" s="32">
        <f t="shared" si="82"/>
        <v>0</v>
      </c>
    </row>
    <row r="1366" spans="1:7" ht="17.25" thickBot="1" x14ac:dyDescent="0.35">
      <c r="A1366" s="1"/>
      <c r="B1366" s="55" t="s">
        <v>281</v>
      </c>
      <c r="C1366" s="56"/>
      <c r="D1366" s="56"/>
      <c r="E1366" s="57"/>
      <c r="F1366" s="58" t="s">
        <v>288</v>
      </c>
      <c r="G1366" s="59"/>
    </row>
    <row r="1367" spans="1:7" ht="17.25" thickBot="1" x14ac:dyDescent="0.35">
      <c r="A1367" s="1"/>
      <c r="B1367" s="15" t="s">
        <v>440</v>
      </c>
      <c r="C1367" s="16" t="s">
        <v>321</v>
      </c>
      <c r="D1367" s="60"/>
      <c r="E1367" s="61">
        <v>0.2</v>
      </c>
      <c r="F1367" s="16">
        <f>+'FACTOR PRESTACIONAL'!K11</f>
        <v>137610.64756797199</v>
      </c>
      <c r="G1367" s="17">
        <f>F1367*E1367</f>
        <v>27522.129513594398</v>
      </c>
    </row>
    <row r="1368" spans="1:7" ht="17.25" thickBot="1" x14ac:dyDescent="0.35">
      <c r="A1368" s="1"/>
      <c r="B1368" s="55" t="s">
        <v>283</v>
      </c>
      <c r="C1368" s="56"/>
      <c r="D1368" s="56"/>
      <c r="E1368" s="57"/>
      <c r="F1368" s="58"/>
      <c r="G1368" s="59"/>
    </row>
    <row r="1369" spans="1:7" ht="17.25" thickBot="1" x14ac:dyDescent="0.35">
      <c r="A1369" s="1"/>
      <c r="B1369" s="15" t="s">
        <v>310</v>
      </c>
      <c r="C1369" s="16" t="s">
        <v>169</v>
      </c>
      <c r="D1369" s="60"/>
      <c r="E1369" s="61">
        <v>1</v>
      </c>
      <c r="F1369" s="16">
        <v>2500</v>
      </c>
      <c r="G1369" s="17">
        <f>+ROUND((1+D1369)*E1369*F1369,0)</f>
        <v>2500</v>
      </c>
    </row>
    <row r="1370" spans="1:7" ht="17.25" thickBot="1" x14ac:dyDescent="0.35">
      <c r="A1370" s="1"/>
      <c r="B1370" s="62" t="s">
        <v>286</v>
      </c>
      <c r="C1370" s="5"/>
      <c r="D1370" s="5"/>
      <c r="E1370" s="6"/>
      <c r="F1370" s="63"/>
      <c r="G1370" s="64"/>
    </row>
    <row r="1371" spans="1:7" ht="17.25" thickBot="1" x14ac:dyDescent="0.35">
      <c r="A1371" s="1"/>
      <c r="B1371" s="38" t="s">
        <v>286</v>
      </c>
      <c r="C1371" s="47" t="s">
        <v>124</v>
      </c>
      <c r="D1371" s="45"/>
      <c r="E1371" s="46">
        <v>0.05</v>
      </c>
      <c r="F1371" s="41">
        <f>G1367</f>
        <v>27522.129513594398</v>
      </c>
      <c r="G1371" s="40">
        <f>+ROUND(E1371*F1371,0)</f>
        <v>1376</v>
      </c>
    </row>
    <row r="1372" spans="1:7" ht="17.25" thickBot="1" x14ac:dyDescent="0.35">
      <c r="A1372" s="1"/>
      <c r="B1372" s="2"/>
      <c r="C1372" s="39"/>
      <c r="D1372" s="18" t="s">
        <v>287</v>
      </c>
      <c r="E1372" s="19"/>
      <c r="F1372" s="20"/>
      <c r="G1372" s="17">
        <f>SUM(G1357:G1371)</f>
        <v>183148.12951359441</v>
      </c>
    </row>
    <row r="1373" spans="1:7" ht="17.25" thickBot="1" x14ac:dyDescent="0.35">
      <c r="A1373" s="1"/>
      <c r="B1373" s="2"/>
      <c r="C1373" s="39"/>
      <c r="D1373" s="462"/>
      <c r="E1373" s="19"/>
      <c r="F1373" s="20"/>
      <c r="G1373" s="463"/>
    </row>
    <row r="1374" spans="1:7" ht="33.75" thickBot="1" x14ac:dyDescent="0.35">
      <c r="A1374" s="358">
        <v>11.2</v>
      </c>
      <c r="B1374" s="359" t="str">
        <f>VLOOKUP(A1374,PPTO!$B$8:$D$94,2,0)</f>
        <v>Suministro transporte e instalacion de Extintor multiproposito de polvo químico seco 10 Libras Con manguera</v>
      </c>
      <c r="C1374" s="360" t="s">
        <v>85</v>
      </c>
      <c r="D1374" s="361" t="s">
        <v>274</v>
      </c>
      <c r="E1374" s="362" t="s">
        <v>275</v>
      </c>
      <c r="F1374" s="360" t="s">
        <v>276</v>
      </c>
      <c r="G1374" s="363" t="s">
        <v>277</v>
      </c>
    </row>
    <row r="1375" spans="1:7" x14ac:dyDescent="0.3">
      <c r="A1375" s="1" t="s">
        <v>288</v>
      </c>
      <c r="B1375" s="51" t="s">
        <v>278</v>
      </c>
      <c r="C1375" s="43"/>
      <c r="D1375" s="43"/>
      <c r="E1375" s="44"/>
      <c r="F1375" s="52"/>
      <c r="G1375" s="7"/>
    </row>
    <row r="1376" spans="1:7" x14ac:dyDescent="0.3">
      <c r="A1376" s="1"/>
      <c r="B1376" s="68" t="s">
        <v>476</v>
      </c>
      <c r="C1376" s="54" t="str">
        <f>VLOOKUP(B1376,INSUMOS!$B$2:$D$562,2,0)</f>
        <v>UN</v>
      </c>
      <c r="D1376" s="11"/>
      <c r="E1376" s="124">
        <v>1</v>
      </c>
      <c r="F1376" s="54">
        <f>VLOOKUP(B1376,INSUMOS!$B$2:$D$562,3,0)</f>
        <v>70000</v>
      </c>
      <c r="G1376" s="13">
        <f>+ROUND((1+D1376)*E1376*F1376,0)</f>
        <v>70000</v>
      </c>
    </row>
    <row r="1377" spans="1:7" x14ac:dyDescent="0.3">
      <c r="A1377" s="1"/>
      <c r="B1377" s="68" t="s">
        <v>477</v>
      </c>
      <c r="C1377" s="54" t="str">
        <f>VLOOKUP(B1377,INSUMOS!$B$2:$D$562,2,0)</f>
        <v>UN</v>
      </c>
      <c r="D1377" s="11"/>
      <c r="E1377" s="124">
        <v>1</v>
      </c>
      <c r="F1377" s="54">
        <f>VLOOKUP(B1377,INSUMOS!$B$2:$D$562,3,0)</f>
        <v>20000</v>
      </c>
      <c r="G1377" s="13">
        <f>+ROUND((1+D1377)*E1377*F1377,0)</f>
        <v>20000</v>
      </c>
    </row>
    <row r="1378" spans="1:7" x14ac:dyDescent="0.3">
      <c r="A1378" s="1"/>
      <c r="B1378" s="68"/>
      <c r="C1378" s="54"/>
      <c r="D1378" s="11"/>
      <c r="E1378" s="124"/>
      <c r="F1378" s="54"/>
      <c r="G1378" s="13"/>
    </row>
    <row r="1379" spans="1:7" x14ac:dyDescent="0.3">
      <c r="A1379" s="1"/>
      <c r="B1379" s="68"/>
      <c r="C1379" s="54"/>
      <c r="D1379" s="11"/>
      <c r="E1379" s="124"/>
      <c r="F1379" s="54"/>
      <c r="G1379" s="13"/>
    </row>
    <row r="1380" spans="1:7" x14ac:dyDescent="0.3">
      <c r="A1380" s="1"/>
      <c r="B1380" s="68"/>
      <c r="C1380" s="54"/>
      <c r="D1380" s="11"/>
      <c r="E1380" s="124"/>
      <c r="F1380" s="54"/>
      <c r="G1380" s="13"/>
    </row>
    <row r="1381" spans="1:7" x14ac:dyDescent="0.3">
      <c r="A1381" s="1"/>
      <c r="B1381" s="68"/>
      <c r="C1381" s="54"/>
      <c r="D1381" s="11"/>
      <c r="E1381" s="124"/>
      <c r="F1381" s="54"/>
      <c r="G1381" s="13"/>
    </row>
    <row r="1382" spans="1:7" x14ac:dyDescent="0.3">
      <c r="A1382" s="1"/>
      <c r="B1382" s="68"/>
      <c r="C1382" s="54"/>
      <c r="D1382" s="11"/>
      <c r="E1382" s="124"/>
      <c r="F1382" s="54"/>
      <c r="G1382" s="13">
        <f t="shared" ref="G1382:G1384" si="83">+ROUND((1+D1382)*E1382*F1382,0)</f>
        <v>0</v>
      </c>
    </row>
    <row r="1383" spans="1:7" x14ac:dyDescent="0.3">
      <c r="A1383" s="1"/>
      <c r="B1383" s="68"/>
      <c r="C1383" s="54"/>
      <c r="D1383" s="11"/>
      <c r="E1383" s="124"/>
      <c r="F1383" s="54"/>
      <c r="G1383" s="13">
        <f t="shared" si="83"/>
        <v>0</v>
      </c>
    </row>
    <row r="1384" spans="1:7" ht="17.25" thickBot="1" x14ac:dyDescent="0.35">
      <c r="A1384" s="1"/>
      <c r="B1384" s="68"/>
      <c r="C1384" s="33"/>
      <c r="D1384" s="30"/>
      <c r="E1384" s="31"/>
      <c r="F1384" s="33"/>
      <c r="G1384" s="32">
        <f t="shared" si="83"/>
        <v>0</v>
      </c>
    </row>
    <row r="1385" spans="1:7" ht="17.25" thickBot="1" x14ac:dyDescent="0.35">
      <c r="A1385" s="1"/>
      <c r="B1385" s="55" t="s">
        <v>281</v>
      </c>
      <c r="C1385" s="56"/>
      <c r="D1385" s="56"/>
      <c r="E1385" s="57"/>
      <c r="F1385" s="58" t="s">
        <v>288</v>
      </c>
      <c r="G1385" s="59"/>
    </row>
    <row r="1386" spans="1:7" ht="17.25" thickBot="1" x14ac:dyDescent="0.35">
      <c r="A1386" s="1"/>
      <c r="B1386" s="15" t="s">
        <v>440</v>
      </c>
      <c r="C1386" s="16" t="s">
        <v>321</v>
      </c>
      <c r="D1386" s="60"/>
      <c r="E1386" s="61">
        <v>0.05</v>
      </c>
      <c r="F1386" s="16">
        <f>+'FACTOR PRESTACIONAL'!K9+'FACTOR PRESTACIONAL'!K10</f>
        <v>272406.29732663167</v>
      </c>
      <c r="G1386" s="17">
        <f>F1386*E1386</f>
        <v>13620.314866331584</v>
      </c>
    </row>
    <row r="1387" spans="1:7" ht="17.25" thickBot="1" x14ac:dyDescent="0.35">
      <c r="A1387" s="1"/>
      <c r="B1387" s="55" t="s">
        <v>283</v>
      </c>
      <c r="C1387" s="56"/>
      <c r="D1387" s="56"/>
      <c r="E1387" s="57"/>
      <c r="F1387" s="58"/>
      <c r="G1387" s="59"/>
    </row>
    <row r="1388" spans="1:7" ht="17.25" thickBot="1" x14ac:dyDescent="0.35">
      <c r="A1388" s="1"/>
      <c r="B1388" s="15" t="s">
        <v>310</v>
      </c>
      <c r="C1388" s="16" t="s">
        <v>169</v>
      </c>
      <c r="D1388" s="60"/>
      <c r="E1388" s="61">
        <v>1</v>
      </c>
      <c r="F1388" s="16">
        <v>500</v>
      </c>
      <c r="G1388" s="17">
        <f>+ROUND((1+D1388)*E1388*F1388,0)</f>
        <v>500</v>
      </c>
    </row>
    <row r="1389" spans="1:7" ht="17.25" thickBot="1" x14ac:dyDescent="0.35">
      <c r="A1389" s="1"/>
      <c r="B1389" s="62" t="s">
        <v>286</v>
      </c>
      <c r="C1389" s="5"/>
      <c r="D1389" s="5"/>
      <c r="E1389" s="6"/>
      <c r="F1389" s="63"/>
      <c r="G1389" s="64"/>
    </row>
    <row r="1390" spans="1:7" ht="17.25" thickBot="1" x14ac:dyDescent="0.35">
      <c r="A1390" s="1"/>
      <c r="B1390" s="38" t="s">
        <v>286</v>
      </c>
      <c r="C1390" s="47" t="s">
        <v>124</v>
      </c>
      <c r="D1390" s="45"/>
      <c r="E1390" s="46">
        <v>0.05</v>
      </c>
      <c r="F1390" s="41">
        <f>+G1386</f>
        <v>13620.314866331584</v>
      </c>
      <c r="G1390" s="40">
        <f>+ROUND(E1390*F1390,0)</f>
        <v>681</v>
      </c>
    </row>
    <row r="1391" spans="1:7" ht="17.25" thickBot="1" x14ac:dyDescent="0.35">
      <c r="A1391" s="1"/>
      <c r="B1391" s="2"/>
      <c r="C1391" s="39"/>
      <c r="D1391" s="18" t="s">
        <v>287</v>
      </c>
      <c r="E1391" s="19"/>
      <c r="F1391" s="20"/>
      <c r="G1391" s="17">
        <f>SUM(G1376:G1390)</f>
        <v>104801.31486633158</v>
      </c>
    </row>
    <row r="1392" spans="1:7" ht="17.25" thickBot="1" x14ac:dyDescent="0.35">
      <c r="A1392" s="1"/>
      <c r="B1392" s="2"/>
      <c r="C1392" s="39"/>
      <c r="D1392" s="462"/>
      <c r="E1392" s="19"/>
      <c r="F1392" s="20"/>
      <c r="G1392" s="463"/>
    </row>
    <row r="1393" spans="1:7" ht="17.25" thickBot="1" x14ac:dyDescent="0.35">
      <c r="A1393" s="358">
        <v>11.3</v>
      </c>
      <c r="B1393" s="359" t="str">
        <f>VLOOKUP(A1393,PPTO!$B$8:$D$94,2,0)</f>
        <v>Suministro transporte e instalacion de Extintor TIPO K 10 Libras Con manguera</v>
      </c>
      <c r="C1393" s="360" t="s">
        <v>85</v>
      </c>
      <c r="D1393" s="361" t="s">
        <v>274</v>
      </c>
      <c r="E1393" s="362" t="s">
        <v>275</v>
      </c>
      <c r="F1393" s="360" t="s">
        <v>276</v>
      </c>
      <c r="G1393" s="363" t="s">
        <v>277</v>
      </c>
    </row>
    <row r="1394" spans="1:7" x14ac:dyDescent="0.3">
      <c r="A1394" s="1"/>
      <c r="B1394" s="51" t="s">
        <v>278</v>
      </c>
      <c r="C1394" s="43"/>
      <c r="D1394" s="43"/>
      <c r="E1394" s="44"/>
      <c r="F1394" s="52"/>
      <c r="G1394" s="7"/>
    </row>
    <row r="1395" spans="1:7" x14ac:dyDescent="0.3">
      <c r="A1395" s="1"/>
      <c r="B1395" s="68" t="s">
        <v>478</v>
      </c>
      <c r="C1395" s="54" t="str">
        <f>VLOOKUP(B1395,INSUMOS!$B$2:$D$562,2,0)</f>
        <v>UN</v>
      </c>
      <c r="D1395" s="11"/>
      <c r="E1395" s="124">
        <v>1</v>
      </c>
      <c r="F1395" s="54">
        <f>VLOOKUP(B1395,INSUMOS!$B$2:$D$562,3,0)</f>
        <v>78900</v>
      </c>
      <c r="G1395" s="13">
        <f>+ROUND((1+D1395)*E1395*F1395,0)</f>
        <v>78900</v>
      </c>
    </row>
    <row r="1396" spans="1:7" x14ac:dyDescent="0.3">
      <c r="A1396" s="1"/>
      <c r="B1396" s="68" t="s">
        <v>477</v>
      </c>
      <c r="C1396" s="54" t="str">
        <f>VLOOKUP(B1396,INSUMOS!$B$2:$D$562,2,0)</f>
        <v>UN</v>
      </c>
      <c r="D1396" s="11"/>
      <c r="E1396" s="124">
        <v>1</v>
      </c>
      <c r="F1396" s="54">
        <f>VLOOKUP(B1396,INSUMOS!$B$2:$D$562,3,0)</f>
        <v>20000</v>
      </c>
      <c r="G1396" s="13">
        <f>+ROUND((1+D1396)*E1396*F1396,0)</f>
        <v>20000</v>
      </c>
    </row>
    <row r="1397" spans="1:7" x14ac:dyDescent="0.3">
      <c r="A1397" s="1"/>
      <c r="B1397" s="68"/>
      <c r="C1397" s="54"/>
      <c r="D1397" s="11"/>
      <c r="E1397" s="124"/>
      <c r="F1397" s="54"/>
      <c r="G1397" s="13"/>
    </row>
    <row r="1398" spans="1:7" x14ac:dyDescent="0.3">
      <c r="A1398" s="1"/>
      <c r="B1398" s="68"/>
      <c r="C1398" s="54"/>
      <c r="D1398" s="11"/>
      <c r="E1398" s="124"/>
      <c r="F1398" s="54"/>
      <c r="G1398" s="13"/>
    </row>
    <row r="1399" spans="1:7" x14ac:dyDescent="0.3">
      <c r="A1399" s="1"/>
      <c r="B1399" s="68"/>
      <c r="C1399" s="54"/>
      <c r="D1399" s="11"/>
      <c r="E1399" s="124"/>
      <c r="F1399" s="54"/>
      <c r="G1399" s="13"/>
    </row>
    <row r="1400" spans="1:7" x14ac:dyDescent="0.3">
      <c r="A1400" s="1"/>
      <c r="B1400" s="68"/>
      <c r="C1400" s="54"/>
      <c r="D1400" s="11"/>
      <c r="E1400" s="124"/>
      <c r="F1400" s="54"/>
      <c r="G1400" s="13"/>
    </row>
    <row r="1401" spans="1:7" x14ac:dyDescent="0.3">
      <c r="A1401" s="1"/>
      <c r="B1401" s="68"/>
      <c r="C1401" s="54"/>
      <c r="D1401" s="11"/>
      <c r="E1401" s="124"/>
      <c r="F1401" s="54"/>
      <c r="G1401" s="13">
        <f t="shared" ref="G1401:G1403" si="84">+ROUND((1+D1401)*E1401*F1401,0)</f>
        <v>0</v>
      </c>
    </row>
    <row r="1402" spans="1:7" x14ac:dyDescent="0.3">
      <c r="A1402" s="1"/>
      <c r="B1402" s="68"/>
      <c r="C1402" s="54"/>
      <c r="D1402" s="11"/>
      <c r="E1402" s="124"/>
      <c r="F1402" s="54"/>
      <c r="G1402" s="13">
        <f t="shared" si="84"/>
        <v>0</v>
      </c>
    </row>
    <row r="1403" spans="1:7" ht="17.25" thickBot="1" x14ac:dyDescent="0.35">
      <c r="A1403" s="1"/>
      <c r="B1403" s="68"/>
      <c r="C1403" s="33"/>
      <c r="D1403" s="30"/>
      <c r="E1403" s="31"/>
      <c r="F1403" s="33"/>
      <c r="G1403" s="32">
        <f t="shared" si="84"/>
        <v>0</v>
      </c>
    </row>
    <row r="1404" spans="1:7" ht="17.25" thickBot="1" x14ac:dyDescent="0.35">
      <c r="A1404" s="1"/>
      <c r="B1404" s="55" t="s">
        <v>281</v>
      </c>
      <c r="C1404" s="56"/>
      <c r="D1404" s="56"/>
      <c r="E1404" s="57"/>
      <c r="F1404" s="58" t="s">
        <v>288</v>
      </c>
      <c r="G1404" s="59"/>
    </row>
    <row r="1405" spans="1:7" ht="17.25" thickBot="1" x14ac:dyDescent="0.35">
      <c r="A1405" s="1"/>
      <c r="B1405" s="15" t="s">
        <v>440</v>
      </c>
      <c r="C1405" s="16" t="s">
        <v>321</v>
      </c>
      <c r="D1405" s="60"/>
      <c r="E1405" s="61">
        <v>0.05</v>
      </c>
      <c r="F1405" s="16">
        <f>+F1386</f>
        <v>272406.29732663167</v>
      </c>
      <c r="G1405" s="17">
        <f>F1405*E1405</f>
        <v>13620.314866331584</v>
      </c>
    </row>
    <row r="1406" spans="1:7" ht="17.25" thickBot="1" x14ac:dyDescent="0.35">
      <c r="A1406" s="1"/>
      <c r="B1406" s="55" t="s">
        <v>283</v>
      </c>
      <c r="C1406" s="56"/>
      <c r="D1406" s="56"/>
      <c r="E1406" s="57"/>
      <c r="F1406" s="58"/>
      <c r="G1406" s="59"/>
    </row>
    <row r="1407" spans="1:7" ht="17.25" thickBot="1" x14ac:dyDescent="0.35">
      <c r="A1407" s="1"/>
      <c r="B1407" s="15" t="s">
        <v>310</v>
      </c>
      <c r="C1407" s="16" t="s">
        <v>169</v>
      </c>
      <c r="D1407" s="60"/>
      <c r="E1407" s="61">
        <v>1</v>
      </c>
      <c r="F1407" s="16">
        <v>500</v>
      </c>
      <c r="G1407" s="17">
        <f>+ROUND((1+D1407)*E1407*F1407,0)</f>
        <v>500</v>
      </c>
    </row>
    <row r="1408" spans="1:7" ht="17.25" thickBot="1" x14ac:dyDescent="0.35">
      <c r="A1408" s="1"/>
      <c r="B1408" s="62" t="s">
        <v>286</v>
      </c>
      <c r="C1408" s="5"/>
      <c r="D1408" s="5"/>
      <c r="E1408" s="6"/>
      <c r="F1408" s="63"/>
      <c r="G1408" s="64"/>
    </row>
    <row r="1409" spans="1:7" ht="17.25" thickBot="1" x14ac:dyDescent="0.35">
      <c r="A1409" s="1"/>
      <c r="B1409" s="38" t="s">
        <v>286</v>
      </c>
      <c r="C1409" s="47" t="s">
        <v>124</v>
      </c>
      <c r="D1409" s="45"/>
      <c r="E1409" s="46">
        <v>0.05</v>
      </c>
      <c r="F1409" s="41">
        <f>+G1405</f>
        <v>13620.314866331584</v>
      </c>
      <c r="G1409" s="40">
        <f>+ROUND(E1409*F1409,0)</f>
        <v>681</v>
      </c>
    </row>
    <row r="1410" spans="1:7" ht="17.25" thickBot="1" x14ac:dyDescent="0.35">
      <c r="A1410" s="1"/>
      <c r="B1410" s="2"/>
      <c r="C1410" s="39"/>
      <c r="D1410" s="18" t="s">
        <v>287</v>
      </c>
      <c r="E1410" s="19"/>
      <c r="F1410" s="20"/>
      <c r="G1410" s="17">
        <f>SUM(G1395:G1409)</f>
        <v>113701.31486633158</v>
      </c>
    </row>
    <row r="1411" spans="1:7" ht="17.25" thickBot="1" x14ac:dyDescent="0.35">
      <c r="A1411" s="1"/>
      <c r="B1411" s="2"/>
      <c r="C1411" s="39"/>
      <c r="D1411" s="462"/>
      <c r="E1411" s="19"/>
      <c r="F1411" s="20"/>
      <c r="G1411" s="463"/>
    </row>
    <row r="1412" spans="1:7" ht="17.25" thickBot="1" x14ac:dyDescent="0.35">
      <c r="A1412" s="1"/>
      <c r="B1412" s="2"/>
      <c r="C1412" s="39"/>
      <c r="D1412" s="462"/>
      <c r="E1412" s="19"/>
      <c r="F1412" s="20"/>
      <c r="G1412" s="463"/>
    </row>
    <row r="1413" spans="1:7" ht="17.25" thickBot="1" x14ac:dyDescent="0.35">
      <c r="A1413" s="1"/>
      <c r="B1413" s="2"/>
      <c r="C1413" s="39"/>
      <c r="D1413" s="462"/>
      <c r="E1413" s="19"/>
      <c r="F1413" s="20"/>
      <c r="G1413" s="463"/>
    </row>
    <row r="1414" spans="1:7" ht="33.75" thickBot="1" x14ac:dyDescent="0.35">
      <c r="A1414" s="358">
        <f>PPTO!B94</f>
        <v>12.1</v>
      </c>
      <c r="B1414" s="359" t="str">
        <f>VLOOKUP(A1414,PPTO!$B$8:$D$94,2,0)</f>
        <v>Suministro, transporte e instalación de materas en concreto incluye tierra, planta ornamental según caracteristicas del Municipio</v>
      </c>
      <c r="C1414" s="360" t="s">
        <v>85</v>
      </c>
      <c r="D1414" s="361" t="s">
        <v>274</v>
      </c>
      <c r="E1414" s="362" t="s">
        <v>275</v>
      </c>
      <c r="F1414" s="360" t="s">
        <v>276</v>
      </c>
      <c r="G1414" s="363" t="s">
        <v>277</v>
      </c>
    </row>
    <row r="1415" spans="1:7" x14ac:dyDescent="0.3">
      <c r="A1415" s="1" t="s">
        <v>288</v>
      </c>
      <c r="B1415" s="51" t="s">
        <v>278</v>
      </c>
      <c r="C1415" s="43"/>
      <c r="D1415" s="43"/>
      <c r="E1415" s="44"/>
      <c r="F1415" s="52"/>
      <c r="G1415" s="7"/>
    </row>
    <row r="1416" spans="1:7" x14ac:dyDescent="0.3">
      <c r="A1416" s="1"/>
      <c r="B1416" s="68" t="s">
        <v>479</v>
      </c>
      <c r="C1416" s="54" t="str">
        <f>VLOOKUP(B1416,INSUMOS!$B$2:$D$562,2,0)</f>
        <v>und</v>
      </c>
      <c r="D1416" s="11"/>
      <c r="E1416" s="124">
        <v>1</v>
      </c>
      <c r="F1416" s="54">
        <f>VLOOKUP(B1416,INSUMOS!$B$2:$D$562,3,0)</f>
        <v>180000</v>
      </c>
      <c r="G1416" s="13">
        <f>+ROUND((1+D1416)*E1416*F1416,0)</f>
        <v>180000</v>
      </c>
    </row>
    <row r="1417" spans="1:7" x14ac:dyDescent="0.3">
      <c r="A1417" s="1"/>
      <c r="B1417" s="68" t="s">
        <v>480</v>
      </c>
      <c r="C1417" s="54" t="str">
        <f>VLOOKUP(B1417,INSUMOS!$B$2:$D$562,2,0)</f>
        <v>kg</v>
      </c>
      <c r="D1417" s="11"/>
      <c r="E1417" s="124">
        <v>150</v>
      </c>
      <c r="F1417" s="54">
        <f>VLOOKUP(B1417,INSUMOS!$B$2:$D$562,3,0)</f>
        <v>500</v>
      </c>
      <c r="G1417" s="13">
        <f t="shared" ref="G1417:G1418" si="85">+ROUND((1+D1417)*E1417*F1417,0)</f>
        <v>75000</v>
      </c>
    </row>
    <row r="1418" spans="1:7" x14ac:dyDescent="0.3">
      <c r="A1418" s="1"/>
      <c r="B1418" s="68" t="s">
        <v>481</v>
      </c>
      <c r="C1418" s="54" t="str">
        <f>VLOOKUP(B1418,INSUMOS!$B$2:$D$562,2,0)</f>
        <v>und</v>
      </c>
      <c r="D1418" s="11"/>
      <c r="E1418" s="124">
        <v>1</v>
      </c>
      <c r="F1418" s="54">
        <f>VLOOKUP(B1418,INSUMOS!$B$2:$D$562,3,0)</f>
        <v>30000</v>
      </c>
      <c r="G1418" s="13">
        <f t="shared" si="85"/>
        <v>30000</v>
      </c>
    </row>
    <row r="1419" spans="1:7" x14ac:dyDescent="0.3">
      <c r="A1419" s="1"/>
      <c r="B1419" s="68"/>
      <c r="C1419" s="54"/>
      <c r="D1419" s="11"/>
      <c r="E1419" s="124"/>
      <c r="F1419" s="54"/>
      <c r="G1419" s="13"/>
    </row>
    <row r="1420" spans="1:7" ht="17.25" thickBot="1" x14ac:dyDescent="0.35">
      <c r="A1420" s="1"/>
      <c r="B1420" s="55" t="s">
        <v>281</v>
      </c>
      <c r="C1420" s="56"/>
      <c r="D1420" s="56"/>
      <c r="E1420" s="57"/>
      <c r="F1420" s="58" t="s">
        <v>288</v>
      </c>
      <c r="G1420" s="59"/>
    </row>
    <row r="1421" spans="1:7" ht="17.25" thickBot="1" x14ac:dyDescent="0.35">
      <c r="A1421" s="1"/>
      <c r="B1421" s="15" t="s">
        <v>440</v>
      </c>
      <c r="C1421" s="16" t="s">
        <v>321</v>
      </c>
      <c r="D1421" s="60"/>
      <c r="E1421" s="61">
        <v>0.1</v>
      </c>
      <c r="F1421" s="16">
        <f>+'FACTOR PRESTACIONAL'!K10</f>
        <v>100392.98786666668</v>
      </c>
      <c r="G1421" s="17">
        <f>F1421*E1421</f>
        <v>10039.298786666668</v>
      </c>
    </row>
    <row r="1422" spans="1:7" ht="17.25" thickBot="1" x14ac:dyDescent="0.35">
      <c r="A1422" s="1"/>
      <c r="B1422" s="55" t="s">
        <v>283</v>
      </c>
      <c r="C1422" s="56"/>
      <c r="D1422" s="56"/>
      <c r="E1422" s="57"/>
      <c r="F1422" s="58"/>
      <c r="G1422" s="59"/>
    </row>
    <row r="1423" spans="1:7" ht="17.25" thickBot="1" x14ac:dyDescent="0.35">
      <c r="A1423" s="1"/>
      <c r="B1423" s="15" t="s">
        <v>310</v>
      </c>
      <c r="C1423" s="16" t="s">
        <v>169</v>
      </c>
      <c r="D1423" s="60"/>
      <c r="E1423" s="61">
        <v>1</v>
      </c>
      <c r="F1423" s="16">
        <v>150</v>
      </c>
      <c r="G1423" s="17">
        <f>+ROUND((1+D1423)*E1423*F1423,0)</f>
        <v>150</v>
      </c>
    </row>
    <row r="1424" spans="1:7" ht="17.25" thickBot="1" x14ac:dyDescent="0.35">
      <c r="A1424" s="1"/>
      <c r="B1424" s="62" t="s">
        <v>286</v>
      </c>
      <c r="C1424" s="5"/>
      <c r="D1424" s="5"/>
      <c r="E1424" s="6"/>
      <c r="F1424" s="63"/>
      <c r="G1424" s="64"/>
    </row>
    <row r="1425" spans="1:7" ht="17.25" thickBot="1" x14ac:dyDescent="0.35">
      <c r="A1425" s="1"/>
      <c r="B1425" s="38" t="s">
        <v>286</v>
      </c>
      <c r="C1425" s="47" t="s">
        <v>124</v>
      </c>
      <c r="D1425" s="45"/>
      <c r="E1425" s="46">
        <v>0.05</v>
      </c>
      <c r="F1425" s="41">
        <f>G1421</f>
        <v>10039.298786666668</v>
      </c>
      <c r="G1425" s="40">
        <f>+ROUND(E1425*F1425,0)</f>
        <v>502</v>
      </c>
    </row>
    <row r="1426" spans="1:7" ht="17.25" thickBot="1" x14ac:dyDescent="0.35">
      <c r="A1426" s="1"/>
      <c r="B1426" s="2"/>
      <c r="C1426" s="39"/>
      <c r="D1426" s="18" t="s">
        <v>287</v>
      </c>
      <c r="E1426" s="19"/>
      <c r="F1426" s="20"/>
      <c r="G1426" s="17">
        <f>SUM(G1416:G1425)</f>
        <v>295691.29878666665</v>
      </c>
    </row>
    <row r="1427" spans="1:7" hidden="1" x14ac:dyDescent="0.3">
      <c r="A1427" s="1"/>
      <c r="B1427" s="2"/>
      <c r="C1427" s="3"/>
      <c r="D1427" s="21" t="s">
        <v>289</v>
      </c>
      <c r="E1427" s="22"/>
      <c r="F1427" s="23" t="e">
        <f>+F1271</f>
        <v>#REF!</v>
      </c>
      <c r="G1427" s="24" t="e">
        <f>+ROUND(G1426*F1427,0)</f>
        <v>#REF!</v>
      </c>
    </row>
    <row r="1428" spans="1:7" hidden="1" x14ac:dyDescent="0.3">
      <c r="A1428" s="1"/>
      <c r="B1428" s="2"/>
      <c r="C1428" s="3"/>
      <c r="D1428" s="25" t="s">
        <v>290</v>
      </c>
      <c r="E1428" s="26"/>
      <c r="F1428" s="23" t="e">
        <f t="shared" ref="F1428:F1429" si="86">+F1272</f>
        <v>#REF!</v>
      </c>
      <c r="G1428" s="14" t="e">
        <f>+ROUND(G1426*F1428,0)</f>
        <v>#REF!</v>
      </c>
    </row>
    <row r="1429" spans="1:7" ht="17.25" hidden="1" thickBot="1" x14ac:dyDescent="0.35">
      <c r="A1429" s="1"/>
      <c r="B1429" s="2"/>
      <c r="C1429" s="3"/>
      <c r="D1429" s="25" t="s">
        <v>291</v>
      </c>
      <c r="E1429" s="26"/>
      <c r="F1429" s="23" t="e">
        <f t="shared" si="86"/>
        <v>#REF!</v>
      </c>
      <c r="G1429" s="14" t="e">
        <f>+ROUND(G1426*F1429,0)</f>
        <v>#REF!</v>
      </c>
    </row>
    <row r="1430" spans="1:7" ht="17.25" hidden="1" thickBot="1" x14ac:dyDescent="0.35">
      <c r="A1430" s="1"/>
      <c r="B1430" s="2"/>
      <c r="C1430" s="3"/>
      <c r="D1430" s="18" t="s">
        <v>10</v>
      </c>
      <c r="E1430" s="29"/>
      <c r="F1430" s="20"/>
      <c r="G1430" s="17" t="e">
        <f>SUM(G1426:G1429)</f>
        <v>#REF!</v>
      </c>
    </row>
    <row r="1432" spans="1:7" ht="17.25" thickBot="1" x14ac:dyDescent="0.35"/>
    <row r="1433" spans="1:7" ht="17.25" thickBot="1" x14ac:dyDescent="0.35">
      <c r="A1433" s="358">
        <v>12.2</v>
      </c>
      <c r="B1433" s="359" t="str">
        <f>VLOOKUP(A1433,PPTO!$B$8:$D$188,2,0)</f>
        <v xml:space="preserve">Suministro, transporte e instalación de adoquín </v>
      </c>
      <c r="C1433" s="360" t="s">
        <v>85</v>
      </c>
      <c r="D1433" s="361" t="s">
        <v>274</v>
      </c>
      <c r="E1433" s="362" t="s">
        <v>275</v>
      </c>
      <c r="F1433" s="360" t="s">
        <v>276</v>
      </c>
      <c r="G1433" s="363" t="s">
        <v>277</v>
      </c>
    </row>
    <row r="1434" spans="1:7" x14ac:dyDescent="0.3">
      <c r="A1434" s="1" t="s">
        <v>288</v>
      </c>
      <c r="B1434" s="51" t="s">
        <v>278</v>
      </c>
      <c r="C1434" s="43"/>
      <c r="D1434" s="43"/>
      <c r="E1434" s="44"/>
      <c r="F1434" s="52"/>
      <c r="G1434" s="7"/>
    </row>
    <row r="1435" spans="1:7" x14ac:dyDescent="0.3">
      <c r="A1435" s="1"/>
      <c r="B1435" s="68" t="s">
        <v>482</v>
      </c>
      <c r="C1435" s="54" t="str">
        <f>VLOOKUP(B1435,INSUMOS!$B$2:$D$562,2,0)</f>
        <v>und</v>
      </c>
      <c r="D1435" s="11">
        <v>0.05</v>
      </c>
      <c r="E1435" s="124">
        <v>50</v>
      </c>
      <c r="F1435" s="54">
        <v>2000</v>
      </c>
      <c r="G1435" s="13">
        <f>+ROUND((1+D1435)*E1435*F1435,0)</f>
        <v>105000</v>
      </c>
    </row>
    <row r="1436" spans="1:7" x14ac:dyDescent="0.3">
      <c r="A1436" s="1"/>
      <c r="B1436" s="68" t="s">
        <v>483</v>
      </c>
      <c r="C1436" s="54" t="str">
        <f>VLOOKUP(B1436,INSUMOS!$B$2:$D$562,2,0)</f>
        <v>m3</v>
      </c>
      <c r="D1436" s="11"/>
      <c r="E1436" s="124">
        <v>0.06</v>
      </c>
      <c r="F1436" s="54">
        <f>VLOOKUP(B1436,INSUMOS!$B$2:$D$562,3,0)</f>
        <v>35282.5</v>
      </c>
      <c r="G1436" s="13">
        <f t="shared" ref="G1436:G1438" si="87">+ROUND((1+D1436)*E1436*F1436,0)</f>
        <v>2117</v>
      </c>
    </row>
    <row r="1437" spans="1:7" x14ac:dyDescent="0.3">
      <c r="A1437" s="1"/>
      <c r="B1437" s="68" t="s">
        <v>484</v>
      </c>
      <c r="C1437" s="54" t="str">
        <f>VLOOKUP(B1437,INSUMOS!$B$2:$D$562,2,0)</f>
        <v>M3</v>
      </c>
      <c r="D1437" s="11"/>
      <c r="E1437" s="124">
        <v>1.4999999999999999E-2</v>
      </c>
      <c r="F1437" s="54">
        <f>VLOOKUP(B1437,INSUMOS!$B$2:$D$562,3,0)</f>
        <v>180468.75000000003</v>
      </c>
      <c r="G1437" s="13">
        <f t="shared" si="87"/>
        <v>2707</v>
      </c>
    </row>
    <row r="1438" spans="1:7" x14ac:dyDescent="0.3">
      <c r="A1438" s="1"/>
      <c r="B1438" s="68" t="s">
        <v>485</v>
      </c>
      <c r="C1438" s="54" t="str">
        <f>VLOOKUP(B1438,INSUMOS!$B$2:$D$562,2,0)</f>
        <v>m2</v>
      </c>
      <c r="D1438" s="11"/>
      <c r="E1438" s="124">
        <v>1</v>
      </c>
      <c r="F1438" s="54">
        <f>VLOOKUP(B1438,INSUMOS!$B$2:$D$562,3,0)</f>
        <v>8000</v>
      </c>
      <c r="G1438" s="13">
        <f t="shared" si="87"/>
        <v>8000</v>
      </c>
    </row>
    <row r="1439" spans="1:7" ht="17.25" thickBot="1" x14ac:dyDescent="0.35">
      <c r="A1439" s="1"/>
      <c r="B1439" s="55" t="s">
        <v>281</v>
      </c>
      <c r="C1439" s="56"/>
      <c r="D1439" s="56"/>
      <c r="E1439" s="57"/>
      <c r="F1439" s="58" t="s">
        <v>288</v>
      </c>
      <c r="G1439" s="59"/>
    </row>
    <row r="1440" spans="1:7" ht="17.25" thickBot="1" x14ac:dyDescent="0.35">
      <c r="A1440" s="1"/>
      <c r="B1440" s="15" t="s">
        <v>440</v>
      </c>
      <c r="C1440" s="16" t="s">
        <v>321</v>
      </c>
      <c r="D1440" s="60"/>
      <c r="E1440" s="61">
        <v>8.3333333333333329E-2</v>
      </c>
      <c r="F1440" s="16">
        <f>+'FACTOR PRESTACIONAL'!K9+'FACTOR PRESTACIONAL'!K10</f>
        <v>272406.29732663167</v>
      </c>
      <c r="G1440" s="17">
        <f>F1440*E1440</f>
        <v>22700.524777219303</v>
      </c>
    </row>
    <row r="1441" spans="1:7" ht="17.25" thickBot="1" x14ac:dyDescent="0.35">
      <c r="A1441" s="1"/>
      <c r="B1441" s="55" t="s">
        <v>283</v>
      </c>
      <c r="C1441" s="56"/>
      <c r="D1441" s="56"/>
      <c r="E1441" s="57"/>
      <c r="F1441" s="58"/>
      <c r="G1441" s="59"/>
    </row>
    <row r="1442" spans="1:7" ht="17.25" thickBot="1" x14ac:dyDescent="0.35">
      <c r="A1442" s="1"/>
      <c r="B1442" s="15" t="s">
        <v>310</v>
      </c>
      <c r="C1442" s="16" t="s">
        <v>315</v>
      </c>
      <c r="D1442" s="60"/>
      <c r="E1442" s="61">
        <v>1</v>
      </c>
      <c r="F1442" s="16">
        <v>5000</v>
      </c>
      <c r="G1442" s="17">
        <f>+ROUND((1+D1442)*E1442*F1442,0)</f>
        <v>5000</v>
      </c>
    </row>
    <row r="1443" spans="1:7" ht="17.25" thickBot="1" x14ac:dyDescent="0.35">
      <c r="A1443" s="1"/>
      <c r="B1443" s="62" t="s">
        <v>286</v>
      </c>
      <c r="C1443" s="5"/>
      <c r="D1443" s="5"/>
      <c r="E1443" s="6"/>
      <c r="F1443" s="63"/>
      <c r="G1443" s="64"/>
    </row>
    <row r="1444" spans="1:7" ht="17.25" thickBot="1" x14ac:dyDescent="0.35">
      <c r="A1444" s="1"/>
      <c r="B1444" s="38" t="s">
        <v>286</v>
      </c>
      <c r="C1444" s="47" t="s">
        <v>124</v>
      </c>
      <c r="D1444" s="45"/>
      <c r="E1444" s="46">
        <v>0.05</v>
      </c>
      <c r="F1444" s="41">
        <f>G1440</f>
        <v>22700.524777219303</v>
      </c>
      <c r="G1444" s="40">
        <f>+ROUND(E1444*F1444,0)</f>
        <v>1135</v>
      </c>
    </row>
    <row r="1445" spans="1:7" ht="17.25" thickBot="1" x14ac:dyDescent="0.35">
      <c r="A1445" s="1"/>
      <c r="B1445" s="2"/>
      <c r="C1445" s="39"/>
      <c r="D1445" s="18" t="s">
        <v>287</v>
      </c>
      <c r="E1445" s="19"/>
      <c r="F1445" s="20"/>
      <c r="G1445" s="17">
        <f>SUM(G1435:G1444)</f>
        <v>146659.52477721931</v>
      </c>
    </row>
  </sheetData>
  <protectedRanges>
    <protectedRange sqref="B779:B781" name="MATERIALES"/>
  </protectedRanges>
  <phoneticPr fontId="4" type="noConversion"/>
  <conditionalFormatting sqref="A35">
    <cfRule type="cellIs" dxfId="993" priority="2706" operator="equal">
      <formula>0</formula>
    </cfRule>
    <cfRule type="cellIs" dxfId="992" priority="2707" operator="equal">
      <formula>"VACIO"</formula>
    </cfRule>
  </conditionalFormatting>
  <conditionalFormatting sqref="A52">
    <cfRule type="cellIs" dxfId="991" priority="2695" operator="equal">
      <formula>0</formula>
    </cfRule>
    <cfRule type="cellIs" dxfId="990" priority="2696" operator="equal">
      <formula>"VACIO"</formula>
    </cfRule>
  </conditionalFormatting>
  <conditionalFormatting sqref="A71">
    <cfRule type="cellIs" dxfId="989" priority="2684" operator="equal">
      <formula>0</formula>
    </cfRule>
    <cfRule type="cellIs" dxfId="988" priority="2685" operator="equal">
      <formula>"VACIO"</formula>
    </cfRule>
  </conditionalFormatting>
  <conditionalFormatting sqref="A88">
    <cfRule type="cellIs" dxfId="987" priority="2673" operator="equal">
      <formula>0</formula>
    </cfRule>
    <cfRule type="cellIs" dxfId="986" priority="2674" operator="equal">
      <formula>"VACIO"</formula>
    </cfRule>
  </conditionalFormatting>
  <conditionalFormatting sqref="A104">
    <cfRule type="cellIs" dxfId="985" priority="2651" operator="equal">
      <formula>0</formula>
    </cfRule>
    <cfRule type="cellIs" dxfId="984" priority="2652" operator="equal">
      <formula>"VACIO"</formula>
    </cfRule>
  </conditionalFormatting>
  <conditionalFormatting sqref="A125">
    <cfRule type="cellIs" dxfId="983" priority="2640" operator="equal">
      <formula>0</formula>
    </cfRule>
    <cfRule type="cellIs" dxfId="982" priority="2641" operator="equal">
      <formula>"VACIO"</formula>
    </cfRule>
  </conditionalFormatting>
  <conditionalFormatting sqref="A142">
    <cfRule type="cellIs" dxfId="981" priority="2629" operator="equal">
      <formula>0</formula>
    </cfRule>
    <cfRule type="cellIs" dxfId="980" priority="2630" operator="equal">
      <formula>"VACIO"</formula>
    </cfRule>
  </conditionalFormatting>
  <conditionalFormatting sqref="A160">
    <cfRule type="cellIs" dxfId="979" priority="930" operator="equal">
      <formula>0</formula>
    </cfRule>
    <cfRule type="cellIs" dxfId="978" priority="931" operator="equal">
      <formula>"VACIO"</formula>
    </cfRule>
  </conditionalFormatting>
  <conditionalFormatting sqref="A179">
    <cfRule type="cellIs" dxfId="977" priority="917" operator="equal">
      <formula>0</formula>
    </cfRule>
    <cfRule type="cellIs" dxfId="976" priority="918" operator="equal">
      <formula>"VACIO"</formula>
    </cfRule>
  </conditionalFormatting>
  <conditionalFormatting sqref="A202">
    <cfRule type="cellIs" dxfId="975" priority="904" operator="equal">
      <formula>0</formula>
    </cfRule>
    <cfRule type="cellIs" dxfId="974" priority="905" operator="equal">
      <formula>"VACIO"</formula>
    </cfRule>
  </conditionalFormatting>
  <conditionalFormatting sqref="A220">
    <cfRule type="cellIs" dxfId="973" priority="891" operator="equal">
      <formula>0</formula>
    </cfRule>
    <cfRule type="cellIs" dxfId="972" priority="892" operator="equal">
      <formula>"VACIO"</formula>
    </cfRule>
  </conditionalFormatting>
  <conditionalFormatting sqref="A241">
    <cfRule type="cellIs" dxfId="971" priority="878" operator="equal">
      <formula>0</formula>
    </cfRule>
    <cfRule type="cellIs" dxfId="970" priority="879" operator="equal">
      <formula>"VACIO"</formula>
    </cfRule>
  </conditionalFormatting>
  <conditionalFormatting sqref="A258">
    <cfRule type="cellIs" dxfId="969" priority="865" operator="equal">
      <formula>0</formula>
    </cfRule>
    <cfRule type="cellIs" dxfId="968" priority="866" operator="equal">
      <formula>"VACIO"</formula>
    </cfRule>
  </conditionalFormatting>
  <conditionalFormatting sqref="A275">
    <cfRule type="cellIs" dxfId="967" priority="2607" operator="equal">
      <formula>0</formula>
    </cfRule>
    <cfRule type="cellIs" dxfId="966" priority="2608" operator="equal">
      <formula>"VACIO"</formula>
    </cfRule>
  </conditionalFormatting>
  <conditionalFormatting sqref="A291">
    <cfRule type="cellIs" dxfId="965" priority="2596" operator="equal">
      <formula>0</formula>
    </cfRule>
    <cfRule type="cellIs" dxfId="964" priority="2597" operator="equal">
      <formula>"VACIO"</formula>
    </cfRule>
  </conditionalFormatting>
  <conditionalFormatting sqref="A307">
    <cfRule type="cellIs" dxfId="963" priority="2585" operator="equal">
      <formula>0</formula>
    </cfRule>
    <cfRule type="cellIs" dxfId="962" priority="2586" operator="equal">
      <formula>"VACIO"</formula>
    </cfRule>
  </conditionalFormatting>
  <conditionalFormatting sqref="A322">
    <cfRule type="cellIs" dxfId="961" priority="2564" operator="equal">
      <formula>0</formula>
    </cfRule>
    <cfRule type="cellIs" dxfId="960" priority="2565" operator="equal">
      <formula>"VACIO"</formula>
    </cfRule>
  </conditionalFormatting>
  <conditionalFormatting sqref="A340">
    <cfRule type="cellIs" dxfId="959" priority="213" operator="equal">
      <formula>0</formula>
    </cfRule>
    <cfRule type="cellIs" dxfId="958" priority="214" operator="equal">
      <formula>"VACIO"</formula>
    </cfRule>
  </conditionalFormatting>
  <conditionalFormatting sqref="A357">
    <cfRule type="cellIs" dxfId="957" priority="846" operator="equal">
      <formula>0</formula>
    </cfRule>
    <cfRule type="cellIs" dxfId="956" priority="847" operator="equal">
      <formula>"VACIO"</formula>
    </cfRule>
  </conditionalFormatting>
  <conditionalFormatting sqref="A375">
    <cfRule type="cellIs" dxfId="955" priority="833" operator="equal">
      <formula>0</formula>
    </cfRule>
    <cfRule type="cellIs" dxfId="954" priority="834" operator="equal">
      <formula>"VACIO"</formula>
    </cfRule>
  </conditionalFormatting>
  <conditionalFormatting sqref="A394">
    <cfRule type="cellIs" dxfId="953" priority="820" operator="equal">
      <formula>0</formula>
    </cfRule>
    <cfRule type="cellIs" dxfId="952" priority="821" operator="equal">
      <formula>"VACIO"</formula>
    </cfRule>
  </conditionalFormatting>
  <conditionalFormatting sqref="A413">
    <cfRule type="cellIs" dxfId="951" priority="807" operator="equal">
      <formula>0</formula>
    </cfRule>
    <cfRule type="cellIs" dxfId="950" priority="808" operator="equal">
      <formula>"VACIO"</formula>
    </cfRule>
  </conditionalFormatting>
  <conditionalFormatting sqref="A433">
    <cfRule type="cellIs" dxfId="949" priority="200" operator="equal">
      <formula>0</formula>
    </cfRule>
    <cfRule type="cellIs" dxfId="948" priority="201" operator="equal">
      <formula>"VACIO"</formula>
    </cfRule>
  </conditionalFormatting>
  <conditionalFormatting sqref="A453">
    <cfRule type="cellIs" dxfId="947" priority="794" operator="equal">
      <formula>0</formula>
    </cfRule>
    <cfRule type="cellIs" dxfId="946" priority="795" operator="equal">
      <formula>"VACIO"</formula>
    </cfRule>
  </conditionalFormatting>
  <conditionalFormatting sqref="A474">
    <cfRule type="cellIs" dxfId="945" priority="781" operator="equal">
      <formula>0</formula>
    </cfRule>
    <cfRule type="cellIs" dxfId="944" priority="782" operator="equal">
      <formula>"VACIO"</formula>
    </cfRule>
  </conditionalFormatting>
  <conditionalFormatting sqref="A495">
    <cfRule type="cellIs" dxfId="943" priority="768" operator="equal">
      <formula>0</formula>
    </cfRule>
    <cfRule type="cellIs" dxfId="942" priority="769" operator="equal">
      <formula>"VACIO"</formula>
    </cfRule>
  </conditionalFormatting>
  <conditionalFormatting sqref="A516">
    <cfRule type="cellIs" dxfId="941" priority="755" operator="equal">
      <formula>0</formula>
    </cfRule>
    <cfRule type="cellIs" dxfId="940" priority="756" operator="equal">
      <formula>"VACIO"</formula>
    </cfRule>
  </conditionalFormatting>
  <conditionalFormatting sqref="A537">
    <cfRule type="cellIs" dxfId="939" priority="742" operator="equal">
      <formula>0</formula>
    </cfRule>
    <cfRule type="cellIs" dxfId="938" priority="743" operator="equal">
      <formula>"VACIO"</formula>
    </cfRule>
  </conditionalFormatting>
  <conditionalFormatting sqref="A556">
    <cfRule type="cellIs" dxfId="937" priority="729" operator="equal">
      <formula>0</formula>
    </cfRule>
    <cfRule type="cellIs" dxfId="936" priority="730" operator="equal">
      <formula>"VACIO"</formula>
    </cfRule>
  </conditionalFormatting>
  <conditionalFormatting sqref="A575">
    <cfRule type="cellIs" dxfId="935" priority="716" operator="equal">
      <formula>0</formula>
    </cfRule>
    <cfRule type="cellIs" dxfId="934" priority="717" operator="equal">
      <formula>"VACIO"</formula>
    </cfRule>
  </conditionalFormatting>
  <conditionalFormatting sqref="A594">
    <cfRule type="cellIs" dxfId="933" priority="703" operator="equal">
      <formula>0</formula>
    </cfRule>
    <cfRule type="cellIs" dxfId="932" priority="704" operator="equal">
      <formula>"VACIO"</formula>
    </cfRule>
  </conditionalFormatting>
  <conditionalFormatting sqref="A613">
    <cfRule type="cellIs" dxfId="931" priority="690" operator="equal">
      <formula>0</formula>
    </cfRule>
    <cfRule type="cellIs" dxfId="930" priority="691" operator="equal">
      <formula>"VACIO"</formula>
    </cfRule>
  </conditionalFormatting>
  <conditionalFormatting sqref="A634">
    <cfRule type="cellIs" dxfId="929" priority="677" operator="equal">
      <formula>0</formula>
    </cfRule>
    <cfRule type="cellIs" dxfId="928" priority="678" operator="equal">
      <formula>"VACIO"</formula>
    </cfRule>
  </conditionalFormatting>
  <conditionalFormatting sqref="A655">
    <cfRule type="cellIs" dxfId="927" priority="664" operator="equal">
      <formula>0</formula>
    </cfRule>
    <cfRule type="cellIs" dxfId="926" priority="665" operator="equal">
      <formula>"VACIO"</formula>
    </cfRule>
  </conditionalFormatting>
  <conditionalFormatting sqref="A675">
    <cfRule type="cellIs" dxfId="925" priority="651" operator="equal">
      <formula>0</formula>
    </cfRule>
    <cfRule type="cellIs" dxfId="924" priority="652" operator="equal">
      <formula>"VACIO"</formula>
    </cfRule>
  </conditionalFormatting>
  <conditionalFormatting sqref="A695">
    <cfRule type="cellIs" dxfId="923" priority="638" operator="equal">
      <formula>0</formula>
    </cfRule>
    <cfRule type="cellIs" dxfId="922" priority="639" operator="equal">
      <formula>"VACIO"</formula>
    </cfRule>
  </conditionalFormatting>
  <conditionalFormatting sqref="A712">
    <cfRule type="cellIs" dxfId="921" priority="625" operator="equal">
      <formula>0</formula>
    </cfRule>
    <cfRule type="cellIs" dxfId="920" priority="626" operator="equal">
      <formula>"VACIO"</formula>
    </cfRule>
  </conditionalFormatting>
  <conditionalFormatting sqref="A733">
    <cfRule type="cellIs" dxfId="919" priority="175" operator="equal">
      <formula>0</formula>
    </cfRule>
    <cfRule type="cellIs" dxfId="918" priority="176" operator="equal">
      <formula>"VACIO"</formula>
    </cfRule>
  </conditionalFormatting>
  <conditionalFormatting sqref="A754">
    <cfRule type="cellIs" dxfId="917" priority="162" operator="equal">
      <formula>0</formula>
    </cfRule>
    <cfRule type="cellIs" dxfId="916" priority="163" operator="equal">
      <formula>"VACIO"</formula>
    </cfRule>
  </conditionalFormatting>
  <conditionalFormatting sqref="A775">
    <cfRule type="cellIs" dxfId="915" priority="149" operator="equal">
      <formula>0</formula>
    </cfRule>
    <cfRule type="cellIs" dxfId="914" priority="150" operator="equal">
      <formula>"VACIO"</formula>
    </cfRule>
  </conditionalFormatting>
  <conditionalFormatting sqref="A796">
    <cfRule type="cellIs" dxfId="913" priority="612" operator="equal">
      <formula>0</formula>
    </cfRule>
    <cfRule type="cellIs" dxfId="912" priority="613" operator="equal">
      <formula>"VACIO"</formula>
    </cfRule>
  </conditionalFormatting>
  <conditionalFormatting sqref="A819">
    <cfRule type="cellIs" dxfId="911" priority="599" operator="equal">
      <formula>0</formula>
    </cfRule>
    <cfRule type="cellIs" dxfId="910" priority="600" operator="equal">
      <formula>"VACIO"</formula>
    </cfRule>
  </conditionalFormatting>
  <conditionalFormatting sqref="A842">
    <cfRule type="cellIs" dxfId="909" priority="586" operator="equal">
      <formula>0</formula>
    </cfRule>
    <cfRule type="cellIs" dxfId="908" priority="587" operator="equal">
      <formula>"VACIO"</formula>
    </cfRule>
  </conditionalFormatting>
  <conditionalFormatting sqref="A865">
    <cfRule type="cellIs" dxfId="907" priority="135" operator="equal">
      <formula>0</formula>
    </cfRule>
    <cfRule type="cellIs" dxfId="906" priority="136" operator="equal">
      <formula>"VACIO"</formula>
    </cfRule>
  </conditionalFormatting>
  <conditionalFormatting sqref="A889">
    <cfRule type="cellIs" dxfId="905" priority="560" operator="equal">
      <formula>0</formula>
    </cfRule>
    <cfRule type="cellIs" dxfId="904" priority="561" operator="equal">
      <formula>"VACIO"</formula>
    </cfRule>
  </conditionalFormatting>
  <conditionalFormatting sqref="A913">
    <cfRule type="cellIs" dxfId="903" priority="547" operator="equal">
      <formula>0</formula>
    </cfRule>
    <cfRule type="cellIs" dxfId="902" priority="548" operator="equal">
      <formula>"VACIO"</formula>
    </cfRule>
  </conditionalFormatting>
  <conditionalFormatting sqref="A937">
    <cfRule type="cellIs" dxfId="901" priority="508" operator="equal">
      <formula>0</formula>
    </cfRule>
    <cfRule type="cellIs" dxfId="900" priority="509" operator="equal">
      <formula>"VACIO"</formula>
    </cfRule>
  </conditionalFormatting>
  <conditionalFormatting sqref="A960">
    <cfRule type="cellIs" dxfId="899" priority="495" operator="equal">
      <formula>0</formula>
    </cfRule>
    <cfRule type="cellIs" dxfId="898" priority="496" operator="equal">
      <formula>"VACIO"</formula>
    </cfRule>
  </conditionalFormatting>
  <conditionalFormatting sqref="A983">
    <cfRule type="cellIs" dxfId="897" priority="482" operator="equal">
      <formula>0</formula>
    </cfRule>
    <cfRule type="cellIs" dxfId="896" priority="483" operator="equal">
      <formula>"VACIO"</formula>
    </cfRule>
  </conditionalFormatting>
  <conditionalFormatting sqref="A1011">
    <cfRule type="cellIs" dxfId="895" priority="456" operator="equal">
      <formula>0</formula>
    </cfRule>
    <cfRule type="cellIs" dxfId="894" priority="457" operator="equal">
      <formula>"VACIO"</formula>
    </cfRule>
  </conditionalFormatting>
  <conditionalFormatting sqref="A1034">
    <cfRule type="cellIs" dxfId="893" priority="443" operator="equal">
      <formula>0</formula>
    </cfRule>
    <cfRule type="cellIs" dxfId="892" priority="444" operator="equal">
      <formula>"VACIO"</formula>
    </cfRule>
  </conditionalFormatting>
  <conditionalFormatting sqref="A1057">
    <cfRule type="cellIs" dxfId="891" priority="430" operator="equal">
      <formula>0</formula>
    </cfRule>
    <cfRule type="cellIs" dxfId="890" priority="431" operator="equal">
      <formula>"VACIO"</formula>
    </cfRule>
  </conditionalFormatting>
  <conditionalFormatting sqref="A1080">
    <cfRule type="cellIs" dxfId="889" priority="117" operator="equal">
      <formula>0</formula>
    </cfRule>
    <cfRule type="cellIs" dxfId="888" priority="118" operator="equal">
      <formula>"VACIO"</formula>
    </cfRule>
  </conditionalFormatting>
  <conditionalFormatting sqref="A1099">
    <cfRule type="cellIs" dxfId="887" priority="105" operator="equal">
      <formula>0</formula>
    </cfRule>
    <cfRule type="cellIs" dxfId="886" priority="106" operator="equal">
      <formula>"VACIO"</formula>
    </cfRule>
  </conditionalFormatting>
  <conditionalFormatting sqref="A1118">
    <cfRule type="cellIs" dxfId="885" priority="93" operator="equal">
      <formula>0</formula>
    </cfRule>
    <cfRule type="cellIs" dxfId="884" priority="94" operator="equal">
      <formula>"VACIO"</formula>
    </cfRule>
  </conditionalFormatting>
  <conditionalFormatting sqref="A1139">
    <cfRule type="cellIs" dxfId="883" priority="417" operator="equal">
      <formula>0</formula>
    </cfRule>
    <cfRule type="cellIs" dxfId="882" priority="418" operator="equal">
      <formula>"VACIO"</formula>
    </cfRule>
  </conditionalFormatting>
  <conditionalFormatting sqref="A1162">
    <cfRule type="cellIs" dxfId="881" priority="404" operator="equal">
      <formula>0</formula>
    </cfRule>
    <cfRule type="cellIs" dxfId="880" priority="405" operator="equal">
      <formula>"VACIO"</formula>
    </cfRule>
  </conditionalFormatting>
  <conditionalFormatting sqref="A1185">
    <cfRule type="cellIs" dxfId="879" priority="391" operator="equal">
      <formula>0</formula>
    </cfRule>
    <cfRule type="cellIs" dxfId="878" priority="392" operator="equal">
      <formula>"VACIO"</formula>
    </cfRule>
  </conditionalFormatting>
  <conditionalFormatting sqref="A1208">
    <cfRule type="cellIs" dxfId="877" priority="378" operator="equal">
      <formula>0</formula>
    </cfRule>
    <cfRule type="cellIs" dxfId="876" priority="379" operator="equal">
      <formula>"VACIO"</formula>
    </cfRule>
  </conditionalFormatting>
  <conditionalFormatting sqref="A1231">
    <cfRule type="cellIs" dxfId="875" priority="365" operator="equal">
      <formula>0</formula>
    </cfRule>
    <cfRule type="cellIs" dxfId="874" priority="366" operator="equal">
      <formula>"VACIO"</formula>
    </cfRule>
  </conditionalFormatting>
  <conditionalFormatting sqref="A1254">
    <cfRule type="cellIs" dxfId="873" priority="352" operator="equal">
      <formula>0</formula>
    </cfRule>
    <cfRule type="cellIs" dxfId="872" priority="353" operator="equal">
      <formula>"VACIO"</formula>
    </cfRule>
  </conditionalFormatting>
  <conditionalFormatting sqref="A1276">
    <cfRule type="cellIs" dxfId="871" priority="81" operator="equal">
      <formula>0</formula>
    </cfRule>
    <cfRule type="cellIs" dxfId="870" priority="82" operator="equal">
      <formula>"VACIO"</formula>
    </cfRule>
  </conditionalFormatting>
  <conditionalFormatting sqref="A1295">
    <cfRule type="cellIs" dxfId="869" priority="69" operator="equal">
      <formula>0</formula>
    </cfRule>
    <cfRule type="cellIs" dxfId="868" priority="70" operator="equal">
      <formula>"VACIO"</formula>
    </cfRule>
  </conditionalFormatting>
  <conditionalFormatting sqref="A1314">
    <cfRule type="cellIs" dxfId="867" priority="57" operator="equal">
      <formula>0</formula>
    </cfRule>
    <cfRule type="cellIs" dxfId="866" priority="58" operator="equal">
      <formula>"VACIO"</formula>
    </cfRule>
  </conditionalFormatting>
  <conditionalFormatting sqref="A1336">
    <cfRule type="cellIs" dxfId="865" priority="188" operator="equal">
      <formula>0</formula>
    </cfRule>
    <cfRule type="cellIs" dxfId="864" priority="189" operator="equal">
      <formula>"VACIO"</formula>
    </cfRule>
  </conditionalFormatting>
  <conditionalFormatting sqref="A1355">
    <cfRule type="cellIs" dxfId="863" priority="27" operator="equal">
      <formula>0</formula>
    </cfRule>
    <cfRule type="cellIs" dxfId="862" priority="28" operator="equal">
      <formula>"VACIO"</formula>
    </cfRule>
  </conditionalFormatting>
  <conditionalFormatting sqref="A1374">
    <cfRule type="cellIs" dxfId="861" priority="15" operator="equal">
      <formula>0</formula>
    </cfRule>
    <cfRule type="cellIs" dxfId="860" priority="16" operator="equal">
      <formula>"VACIO"</formula>
    </cfRule>
  </conditionalFormatting>
  <conditionalFormatting sqref="A1393">
    <cfRule type="cellIs" dxfId="859" priority="3" operator="equal">
      <formula>0</formula>
    </cfRule>
    <cfRule type="cellIs" dxfId="858" priority="4" operator="equal">
      <formula>"VACIO"</formula>
    </cfRule>
  </conditionalFormatting>
  <conditionalFormatting sqref="A1414">
    <cfRule type="cellIs" dxfId="857" priority="339" operator="equal">
      <formula>0</formula>
    </cfRule>
    <cfRule type="cellIs" dxfId="856" priority="340" operator="equal">
      <formula>"VACIO"</formula>
    </cfRule>
  </conditionalFormatting>
  <conditionalFormatting sqref="A1433">
    <cfRule type="cellIs" dxfId="855" priority="39" operator="equal">
      <formula>0</formula>
    </cfRule>
    <cfRule type="cellIs" dxfId="854" priority="40" operator="equal">
      <formula>"VACIO"</formula>
    </cfRule>
  </conditionalFormatting>
  <conditionalFormatting sqref="A1:C1">
    <cfRule type="cellIs" dxfId="853" priority="2728" operator="equal">
      <formula>0</formula>
    </cfRule>
    <cfRule type="cellIs" dxfId="852" priority="2729" operator="equal">
      <formula>"VACIO"</formula>
    </cfRule>
  </conditionalFormatting>
  <conditionalFormatting sqref="A18:C18">
    <cfRule type="cellIs" dxfId="851" priority="2717" operator="equal">
      <formula>0</formula>
    </cfRule>
    <cfRule type="cellIs" dxfId="850" priority="2718" operator="equal">
      <formula>"VACIO"</formula>
    </cfRule>
  </conditionalFormatting>
  <conditionalFormatting sqref="B2">
    <cfRule type="cellIs" dxfId="849" priority="2730" operator="equal">
      <formula>0</formula>
    </cfRule>
    <cfRule type="cellIs" dxfId="848" priority="2731" operator="equal">
      <formula>"VACIO"</formula>
    </cfRule>
  </conditionalFormatting>
  <conditionalFormatting sqref="B6">
    <cfRule type="cellIs" dxfId="847" priority="2726" operator="equal">
      <formula>0</formula>
    </cfRule>
    <cfRule type="cellIs" dxfId="846" priority="2727" operator="equal">
      <formula>"VACIO"</formula>
    </cfRule>
  </conditionalFormatting>
  <conditionalFormatting sqref="B8">
    <cfRule type="cellIs" dxfId="845" priority="2724" operator="equal">
      <formula>0</formula>
    </cfRule>
    <cfRule type="cellIs" dxfId="844" priority="2725" operator="equal">
      <formula>"VACIO"</formula>
    </cfRule>
  </conditionalFormatting>
  <conditionalFormatting sqref="B10">
    <cfRule type="cellIs" dxfId="843" priority="2722" operator="equal">
      <formula>0</formula>
    </cfRule>
    <cfRule type="cellIs" dxfId="842" priority="2723" operator="equal">
      <formula>"VACIO"</formula>
    </cfRule>
  </conditionalFormatting>
  <conditionalFormatting sqref="B19">
    <cfRule type="cellIs" dxfId="841" priority="2719" operator="equal">
      <formula>0</formula>
    </cfRule>
    <cfRule type="cellIs" dxfId="840" priority="2720" operator="equal">
      <formula>"VACIO"</formula>
    </cfRule>
  </conditionalFormatting>
  <conditionalFormatting sqref="B23">
    <cfRule type="cellIs" dxfId="839" priority="2715" operator="equal">
      <formula>0</formula>
    </cfRule>
    <cfRule type="cellIs" dxfId="838" priority="2716" operator="equal">
      <formula>"VACIO"</formula>
    </cfRule>
  </conditionalFormatting>
  <conditionalFormatting sqref="B25">
    <cfRule type="cellIs" dxfId="837" priority="2713" operator="equal">
      <formula>0</formula>
    </cfRule>
    <cfRule type="cellIs" dxfId="836" priority="2714" operator="equal">
      <formula>"VACIO"</formula>
    </cfRule>
  </conditionalFormatting>
  <conditionalFormatting sqref="B27">
    <cfRule type="cellIs" dxfId="835" priority="2711" operator="equal">
      <formula>0</formula>
    </cfRule>
    <cfRule type="cellIs" dxfId="834" priority="2712" operator="equal">
      <formula>"VACIO"</formula>
    </cfRule>
  </conditionalFormatting>
  <conditionalFormatting sqref="B35:B36">
    <cfRule type="cellIs" dxfId="833" priority="2708" operator="equal">
      <formula>0</formula>
    </cfRule>
    <cfRule type="cellIs" dxfId="832" priority="2709" operator="equal">
      <formula>"VACIO"</formula>
    </cfRule>
  </conditionalFormatting>
  <conditionalFormatting sqref="B40">
    <cfRule type="cellIs" dxfId="831" priority="2704" operator="equal">
      <formula>0</formula>
    </cfRule>
    <cfRule type="cellIs" dxfId="830" priority="2705" operator="equal">
      <formula>"VACIO"</formula>
    </cfRule>
  </conditionalFormatting>
  <conditionalFormatting sqref="B42">
    <cfRule type="cellIs" dxfId="829" priority="2702" operator="equal">
      <formula>0</formula>
    </cfRule>
    <cfRule type="cellIs" dxfId="828" priority="2703" operator="equal">
      <formula>"VACIO"</formula>
    </cfRule>
  </conditionalFormatting>
  <conditionalFormatting sqref="B44">
    <cfRule type="cellIs" dxfId="827" priority="2700" operator="equal">
      <formula>0</formula>
    </cfRule>
    <cfRule type="cellIs" dxfId="826" priority="2701" operator="equal">
      <formula>"VACIO"</formula>
    </cfRule>
  </conditionalFormatting>
  <conditionalFormatting sqref="B52:B53">
    <cfRule type="cellIs" dxfId="825" priority="2697" operator="equal">
      <formula>0</formula>
    </cfRule>
    <cfRule type="cellIs" dxfId="824" priority="2698" operator="equal">
      <formula>"VACIO"</formula>
    </cfRule>
  </conditionalFormatting>
  <conditionalFormatting sqref="B59">
    <cfRule type="cellIs" dxfId="823" priority="2693" operator="equal">
      <formula>0</formula>
    </cfRule>
    <cfRule type="cellIs" dxfId="822" priority="2694" operator="equal">
      <formula>"VACIO"</formula>
    </cfRule>
  </conditionalFormatting>
  <conditionalFormatting sqref="B61">
    <cfRule type="cellIs" dxfId="821" priority="2691" operator="equal">
      <formula>0</formula>
    </cfRule>
    <cfRule type="cellIs" dxfId="820" priority="2692" operator="equal">
      <formula>"VACIO"</formula>
    </cfRule>
  </conditionalFormatting>
  <conditionalFormatting sqref="B63">
    <cfRule type="cellIs" dxfId="819" priority="2689" operator="equal">
      <formula>0</formula>
    </cfRule>
    <cfRule type="cellIs" dxfId="818" priority="2690" operator="equal">
      <formula>"VACIO"</formula>
    </cfRule>
  </conditionalFormatting>
  <conditionalFormatting sqref="B71:B72">
    <cfRule type="cellIs" dxfId="817" priority="2686" operator="equal">
      <formula>0</formula>
    </cfRule>
    <cfRule type="cellIs" dxfId="816" priority="2687" operator="equal">
      <formula>"VACIO"</formula>
    </cfRule>
  </conditionalFormatting>
  <conditionalFormatting sqref="B76">
    <cfRule type="cellIs" dxfId="815" priority="2682" operator="equal">
      <formula>0</formula>
    </cfRule>
    <cfRule type="cellIs" dxfId="814" priority="2683" operator="equal">
      <formula>"VACIO"</formula>
    </cfRule>
  </conditionalFormatting>
  <conditionalFormatting sqref="B78">
    <cfRule type="cellIs" dxfId="813" priority="2680" operator="equal">
      <formula>0</formula>
    </cfRule>
    <cfRule type="cellIs" dxfId="812" priority="2681" operator="equal">
      <formula>"VACIO"</formula>
    </cfRule>
  </conditionalFormatting>
  <conditionalFormatting sqref="B80">
    <cfRule type="cellIs" dxfId="811" priority="2678" operator="equal">
      <formula>0</formula>
    </cfRule>
    <cfRule type="cellIs" dxfId="810" priority="2679" operator="equal">
      <formula>"VACIO"</formula>
    </cfRule>
  </conditionalFormatting>
  <conditionalFormatting sqref="B88:B89">
    <cfRule type="cellIs" dxfId="809" priority="2675" operator="equal">
      <formula>0</formula>
    </cfRule>
    <cfRule type="cellIs" dxfId="808" priority="2676" operator="equal">
      <formula>"VACIO"</formula>
    </cfRule>
  </conditionalFormatting>
  <conditionalFormatting sqref="B92">
    <cfRule type="cellIs" dxfId="807" priority="2671" operator="equal">
      <formula>0</formula>
    </cfRule>
    <cfRule type="cellIs" dxfId="806" priority="2672" operator="equal">
      <formula>"VACIO"</formula>
    </cfRule>
  </conditionalFormatting>
  <conditionalFormatting sqref="B94">
    <cfRule type="cellIs" dxfId="805" priority="2669" operator="equal">
      <formula>0</formula>
    </cfRule>
    <cfRule type="cellIs" dxfId="804" priority="2670" operator="equal">
      <formula>"VACIO"</formula>
    </cfRule>
  </conditionalFormatting>
  <conditionalFormatting sqref="B96">
    <cfRule type="cellIs" dxfId="803" priority="2667" operator="equal">
      <formula>0</formula>
    </cfRule>
    <cfRule type="cellIs" dxfId="802" priority="2668" operator="equal">
      <formula>"VACIO"</formula>
    </cfRule>
  </conditionalFormatting>
  <conditionalFormatting sqref="B104:B105">
    <cfRule type="cellIs" dxfId="801" priority="2653" operator="equal">
      <formula>0</formula>
    </cfRule>
    <cfRule type="cellIs" dxfId="800" priority="2654" operator="equal">
      <formula>"VACIO"</formula>
    </cfRule>
  </conditionalFormatting>
  <conditionalFormatting sqref="B112">
    <cfRule type="cellIs" dxfId="799" priority="2649" operator="equal">
      <formula>0</formula>
    </cfRule>
    <cfRule type="cellIs" dxfId="798" priority="2650" operator="equal">
      <formula>"VACIO"</formula>
    </cfRule>
  </conditionalFormatting>
  <conditionalFormatting sqref="B114">
    <cfRule type="cellIs" dxfId="797" priority="2647" operator="equal">
      <formula>0</formula>
    </cfRule>
    <cfRule type="cellIs" dxfId="796" priority="2648" operator="equal">
      <formula>"VACIO"</formula>
    </cfRule>
  </conditionalFormatting>
  <conditionalFormatting sqref="B116">
    <cfRule type="cellIs" dxfId="795" priority="2645" operator="equal">
      <formula>0</formula>
    </cfRule>
    <cfRule type="cellIs" dxfId="794" priority="2646" operator="equal">
      <formula>"VACIO"</formula>
    </cfRule>
  </conditionalFormatting>
  <conditionalFormatting sqref="B125:B126">
    <cfRule type="cellIs" dxfId="793" priority="2642" operator="equal">
      <formula>0</formula>
    </cfRule>
    <cfRule type="cellIs" dxfId="792" priority="2643" operator="equal">
      <formula>"VACIO"</formula>
    </cfRule>
  </conditionalFormatting>
  <conditionalFormatting sqref="B130">
    <cfRule type="cellIs" dxfId="791" priority="2638" operator="equal">
      <formula>0</formula>
    </cfRule>
    <cfRule type="cellIs" dxfId="790" priority="2639" operator="equal">
      <formula>"VACIO"</formula>
    </cfRule>
  </conditionalFormatting>
  <conditionalFormatting sqref="B132">
    <cfRule type="cellIs" dxfId="789" priority="2636" operator="equal">
      <formula>0</formula>
    </cfRule>
    <cfRule type="cellIs" dxfId="788" priority="2637" operator="equal">
      <formula>"VACIO"</formula>
    </cfRule>
  </conditionalFormatting>
  <conditionalFormatting sqref="B134">
    <cfRule type="cellIs" dxfId="787" priority="2634" operator="equal">
      <formula>0</formula>
    </cfRule>
    <cfRule type="cellIs" dxfId="786" priority="2635" operator="equal">
      <formula>"VACIO"</formula>
    </cfRule>
  </conditionalFormatting>
  <conditionalFormatting sqref="B142:B143">
    <cfRule type="cellIs" dxfId="785" priority="2631" operator="equal">
      <formula>0</formula>
    </cfRule>
    <cfRule type="cellIs" dxfId="784" priority="2632" operator="equal">
      <formula>"VACIO"</formula>
    </cfRule>
  </conditionalFormatting>
  <conditionalFormatting sqref="B148">
    <cfRule type="cellIs" dxfId="783" priority="2627" operator="equal">
      <formula>0</formula>
    </cfRule>
    <cfRule type="cellIs" dxfId="782" priority="2628" operator="equal">
      <formula>"VACIO"</formula>
    </cfRule>
  </conditionalFormatting>
  <conditionalFormatting sqref="B150">
    <cfRule type="cellIs" dxfId="781" priority="2625" operator="equal">
      <formula>0</formula>
    </cfRule>
    <cfRule type="cellIs" dxfId="780" priority="2626" operator="equal">
      <formula>"VACIO"</formula>
    </cfRule>
  </conditionalFormatting>
  <conditionalFormatting sqref="B152">
    <cfRule type="cellIs" dxfId="779" priority="2623" operator="equal">
      <formula>0</formula>
    </cfRule>
    <cfRule type="cellIs" dxfId="778" priority="2624" operator="equal">
      <formula>"VACIO"</formula>
    </cfRule>
  </conditionalFormatting>
  <conditionalFormatting sqref="B160:B161">
    <cfRule type="cellIs" dxfId="777" priority="932" operator="equal">
      <formula>0</formula>
    </cfRule>
    <cfRule type="cellIs" dxfId="776" priority="933" operator="equal">
      <formula>"VACIO"</formula>
    </cfRule>
  </conditionalFormatting>
  <conditionalFormatting sqref="B167">
    <cfRule type="cellIs" dxfId="775" priority="928" operator="equal">
      <formula>0</formula>
    </cfRule>
    <cfRule type="cellIs" dxfId="774" priority="929" operator="equal">
      <formula>"VACIO"</formula>
    </cfRule>
  </conditionalFormatting>
  <conditionalFormatting sqref="B169">
    <cfRule type="cellIs" dxfId="773" priority="926" operator="equal">
      <formula>0</formula>
    </cfRule>
    <cfRule type="cellIs" dxfId="772" priority="927" operator="equal">
      <formula>"VACIO"</formula>
    </cfRule>
  </conditionalFormatting>
  <conditionalFormatting sqref="B171">
    <cfRule type="cellIs" dxfId="771" priority="924" operator="equal">
      <formula>0</formula>
    </cfRule>
    <cfRule type="cellIs" dxfId="770" priority="925" operator="equal">
      <formula>"VACIO"</formula>
    </cfRule>
  </conditionalFormatting>
  <conditionalFormatting sqref="B179:B180">
    <cfRule type="cellIs" dxfId="769" priority="919" operator="equal">
      <formula>0</formula>
    </cfRule>
    <cfRule type="cellIs" dxfId="768" priority="920" operator="equal">
      <formula>"VACIO"</formula>
    </cfRule>
  </conditionalFormatting>
  <conditionalFormatting sqref="B190">
    <cfRule type="cellIs" dxfId="767" priority="915" operator="equal">
      <formula>0</formula>
    </cfRule>
    <cfRule type="cellIs" dxfId="766" priority="916" operator="equal">
      <formula>"VACIO"</formula>
    </cfRule>
  </conditionalFormatting>
  <conditionalFormatting sqref="B192">
    <cfRule type="cellIs" dxfId="765" priority="913" operator="equal">
      <formula>0</formula>
    </cfRule>
    <cfRule type="cellIs" dxfId="764" priority="914" operator="equal">
      <formula>"VACIO"</formula>
    </cfRule>
  </conditionalFormatting>
  <conditionalFormatting sqref="B194">
    <cfRule type="cellIs" dxfId="763" priority="911" operator="equal">
      <formula>0</formula>
    </cfRule>
    <cfRule type="cellIs" dxfId="762" priority="912" operator="equal">
      <formula>"VACIO"</formula>
    </cfRule>
  </conditionalFormatting>
  <conditionalFormatting sqref="B202:B203">
    <cfRule type="cellIs" dxfId="761" priority="906" operator="equal">
      <formula>0</formula>
    </cfRule>
    <cfRule type="cellIs" dxfId="760" priority="907" operator="equal">
      <formula>"VACIO"</formula>
    </cfRule>
  </conditionalFormatting>
  <conditionalFormatting sqref="B208">
    <cfRule type="cellIs" dxfId="759" priority="902" operator="equal">
      <formula>0</formula>
    </cfRule>
    <cfRule type="cellIs" dxfId="758" priority="903" operator="equal">
      <formula>"VACIO"</formula>
    </cfRule>
  </conditionalFormatting>
  <conditionalFormatting sqref="B210">
    <cfRule type="cellIs" dxfId="757" priority="900" operator="equal">
      <formula>0</formula>
    </cfRule>
    <cfRule type="cellIs" dxfId="756" priority="901" operator="equal">
      <formula>"VACIO"</formula>
    </cfRule>
  </conditionalFormatting>
  <conditionalFormatting sqref="B212">
    <cfRule type="cellIs" dxfId="755" priority="898" operator="equal">
      <formula>0</formula>
    </cfRule>
    <cfRule type="cellIs" dxfId="754" priority="899" operator="equal">
      <formula>"VACIO"</formula>
    </cfRule>
  </conditionalFormatting>
  <conditionalFormatting sqref="B220:B221">
    <cfRule type="cellIs" dxfId="753" priority="893" operator="equal">
      <formula>0</formula>
    </cfRule>
    <cfRule type="cellIs" dxfId="752" priority="894" operator="equal">
      <formula>"VACIO"</formula>
    </cfRule>
  </conditionalFormatting>
  <conditionalFormatting sqref="B229">
    <cfRule type="cellIs" dxfId="751" priority="889" operator="equal">
      <formula>0</formula>
    </cfRule>
    <cfRule type="cellIs" dxfId="750" priority="890" operator="equal">
      <formula>"VACIO"</formula>
    </cfRule>
  </conditionalFormatting>
  <conditionalFormatting sqref="B231">
    <cfRule type="cellIs" dxfId="749" priority="887" operator="equal">
      <formula>0</formula>
    </cfRule>
    <cfRule type="cellIs" dxfId="748" priority="888" operator="equal">
      <formula>"VACIO"</formula>
    </cfRule>
  </conditionalFormatting>
  <conditionalFormatting sqref="B233">
    <cfRule type="cellIs" dxfId="747" priority="885" operator="equal">
      <formula>0</formula>
    </cfRule>
    <cfRule type="cellIs" dxfId="746" priority="886" operator="equal">
      <formula>"VACIO"</formula>
    </cfRule>
  </conditionalFormatting>
  <conditionalFormatting sqref="B241:B242">
    <cfRule type="cellIs" dxfId="745" priority="880" operator="equal">
      <formula>0</formula>
    </cfRule>
    <cfRule type="cellIs" dxfId="744" priority="881" operator="equal">
      <formula>"VACIO"</formula>
    </cfRule>
  </conditionalFormatting>
  <conditionalFormatting sqref="B246">
    <cfRule type="cellIs" dxfId="743" priority="876" operator="equal">
      <formula>0</formula>
    </cfRule>
    <cfRule type="cellIs" dxfId="742" priority="877" operator="equal">
      <formula>"VACIO"</formula>
    </cfRule>
  </conditionalFormatting>
  <conditionalFormatting sqref="B248">
    <cfRule type="cellIs" dxfId="741" priority="874" operator="equal">
      <formula>0</formula>
    </cfRule>
    <cfRule type="cellIs" dxfId="740" priority="875" operator="equal">
      <formula>"VACIO"</formula>
    </cfRule>
  </conditionalFormatting>
  <conditionalFormatting sqref="B250">
    <cfRule type="cellIs" dxfId="739" priority="872" operator="equal">
      <formula>0</formula>
    </cfRule>
    <cfRule type="cellIs" dxfId="738" priority="873" operator="equal">
      <formula>"VACIO"</formula>
    </cfRule>
  </conditionalFormatting>
  <conditionalFormatting sqref="B258:B259">
    <cfRule type="cellIs" dxfId="737" priority="867" operator="equal">
      <formula>0</formula>
    </cfRule>
    <cfRule type="cellIs" dxfId="736" priority="868" operator="equal">
      <formula>"VACIO"</formula>
    </cfRule>
  </conditionalFormatting>
  <conditionalFormatting sqref="B263">
    <cfRule type="cellIs" dxfId="735" priority="863" operator="equal">
      <formula>0</formula>
    </cfRule>
    <cfRule type="cellIs" dxfId="734" priority="864" operator="equal">
      <formula>"VACIO"</formula>
    </cfRule>
  </conditionalFormatting>
  <conditionalFormatting sqref="B265">
    <cfRule type="cellIs" dxfId="733" priority="861" operator="equal">
      <formula>0</formula>
    </cfRule>
    <cfRule type="cellIs" dxfId="732" priority="862" operator="equal">
      <formula>"VACIO"</formula>
    </cfRule>
  </conditionalFormatting>
  <conditionalFormatting sqref="B267">
    <cfRule type="cellIs" dxfId="731" priority="859" operator="equal">
      <formula>0</formula>
    </cfRule>
    <cfRule type="cellIs" dxfId="730" priority="860" operator="equal">
      <formula>"VACIO"</formula>
    </cfRule>
  </conditionalFormatting>
  <conditionalFormatting sqref="B275:B276">
    <cfRule type="cellIs" dxfId="729" priority="2609" operator="equal">
      <formula>0</formula>
    </cfRule>
    <cfRule type="cellIs" dxfId="728" priority="2610" operator="equal">
      <formula>"VACIO"</formula>
    </cfRule>
  </conditionalFormatting>
  <conditionalFormatting sqref="B279">
    <cfRule type="cellIs" dxfId="727" priority="2605" operator="equal">
      <formula>0</formula>
    </cfRule>
    <cfRule type="cellIs" dxfId="726" priority="2606" operator="equal">
      <formula>"VACIO"</formula>
    </cfRule>
  </conditionalFormatting>
  <conditionalFormatting sqref="B281">
    <cfRule type="cellIs" dxfId="725" priority="2603" operator="equal">
      <formula>0</formula>
    </cfRule>
    <cfRule type="cellIs" dxfId="724" priority="2604" operator="equal">
      <formula>"VACIO"</formula>
    </cfRule>
  </conditionalFormatting>
  <conditionalFormatting sqref="B283">
    <cfRule type="cellIs" dxfId="723" priority="2601" operator="equal">
      <formula>0</formula>
    </cfRule>
    <cfRule type="cellIs" dxfId="722" priority="2602" operator="equal">
      <formula>"VACIO"</formula>
    </cfRule>
  </conditionalFormatting>
  <conditionalFormatting sqref="B291:B292">
    <cfRule type="cellIs" dxfId="721" priority="2598" operator="equal">
      <formula>0</formula>
    </cfRule>
    <cfRule type="cellIs" dxfId="720" priority="2599" operator="equal">
      <formula>"VACIO"</formula>
    </cfRule>
  </conditionalFormatting>
  <conditionalFormatting sqref="B295">
    <cfRule type="cellIs" dxfId="719" priority="2594" operator="equal">
      <formula>0</formula>
    </cfRule>
    <cfRule type="cellIs" dxfId="718" priority="2595" operator="equal">
      <formula>"VACIO"</formula>
    </cfRule>
  </conditionalFormatting>
  <conditionalFormatting sqref="B297">
    <cfRule type="cellIs" dxfId="717" priority="2592" operator="equal">
      <formula>0</formula>
    </cfRule>
    <cfRule type="cellIs" dxfId="716" priority="2593" operator="equal">
      <formula>"VACIO"</formula>
    </cfRule>
  </conditionalFormatting>
  <conditionalFormatting sqref="B299">
    <cfRule type="cellIs" dxfId="715" priority="2590" operator="equal">
      <formula>0</formula>
    </cfRule>
    <cfRule type="cellIs" dxfId="714" priority="2591" operator="equal">
      <formula>"VACIO"</formula>
    </cfRule>
  </conditionalFormatting>
  <conditionalFormatting sqref="B307:B308">
    <cfRule type="cellIs" dxfId="713" priority="2587" operator="equal">
      <formula>0</formula>
    </cfRule>
    <cfRule type="cellIs" dxfId="712" priority="2588" operator="equal">
      <formula>"VACIO"</formula>
    </cfRule>
  </conditionalFormatting>
  <conditionalFormatting sqref="B310">
    <cfRule type="cellIs" dxfId="711" priority="2583" operator="equal">
      <formula>0</formula>
    </cfRule>
    <cfRule type="cellIs" dxfId="710" priority="2584" operator="equal">
      <formula>"VACIO"</formula>
    </cfRule>
  </conditionalFormatting>
  <conditionalFormatting sqref="B312">
    <cfRule type="cellIs" dxfId="709" priority="2581" operator="equal">
      <formula>0</formula>
    </cfRule>
    <cfRule type="cellIs" dxfId="708" priority="2582" operator="equal">
      <formula>"VACIO"</formula>
    </cfRule>
  </conditionalFormatting>
  <conditionalFormatting sqref="B314">
    <cfRule type="cellIs" dxfId="707" priority="2579" operator="equal">
      <formula>0</formula>
    </cfRule>
    <cfRule type="cellIs" dxfId="706" priority="2580" operator="equal">
      <formula>"VACIO"</formula>
    </cfRule>
  </conditionalFormatting>
  <conditionalFormatting sqref="B322:B323">
    <cfRule type="cellIs" dxfId="705" priority="2576" operator="equal">
      <formula>0</formula>
    </cfRule>
    <cfRule type="cellIs" dxfId="704" priority="2577" operator="equal">
      <formula>"VACIO"</formula>
    </cfRule>
  </conditionalFormatting>
  <conditionalFormatting sqref="B328">
    <cfRule type="cellIs" dxfId="703" priority="2572" operator="equal">
      <formula>0</formula>
    </cfRule>
    <cfRule type="cellIs" dxfId="702" priority="2573" operator="equal">
      <formula>"VACIO"</formula>
    </cfRule>
  </conditionalFormatting>
  <conditionalFormatting sqref="B330">
    <cfRule type="cellIs" dxfId="701" priority="2570" operator="equal">
      <formula>0</formula>
    </cfRule>
    <cfRule type="cellIs" dxfId="700" priority="2571" operator="equal">
      <formula>"VACIO"</formula>
    </cfRule>
  </conditionalFormatting>
  <conditionalFormatting sqref="B332">
    <cfRule type="cellIs" dxfId="699" priority="2568" operator="equal">
      <formula>0</formula>
    </cfRule>
    <cfRule type="cellIs" dxfId="698" priority="2569" operator="equal">
      <formula>"VACIO"</formula>
    </cfRule>
  </conditionalFormatting>
  <conditionalFormatting sqref="B340:B341">
    <cfRule type="cellIs" dxfId="697" priority="221" operator="equal">
      <formula>0</formula>
    </cfRule>
    <cfRule type="cellIs" dxfId="696" priority="222" operator="equal">
      <formula>"VACIO"</formula>
    </cfRule>
  </conditionalFormatting>
  <conditionalFormatting sqref="B345">
    <cfRule type="cellIs" dxfId="695" priority="219" operator="equal">
      <formula>0</formula>
    </cfRule>
    <cfRule type="cellIs" dxfId="694" priority="220" operator="equal">
      <formula>"VACIO"</formula>
    </cfRule>
  </conditionalFormatting>
  <conditionalFormatting sqref="B347">
    <cfRule type="cellIs" dxfId="693" priority="217" operator="equal">
      <formula>0</formula>
    </cfRule>
    <cfRule type="cellIs" dxfId="692" priority="218" operator="equal">
      <formula>"VACIO"</formula>
    </cfRule>
  </conditionalFormatting>
  <conditionalFormatting sqref="B349">
    <cfRule type="cellIs" dxfId="691" priority="215" operator="equal">
      <formula>0</formula>
    </cfRule>
    <cfRule type="cellIs" dxfId="690" priority="216" operator="equal">
      <formula>"VACIO"</formula>
    </cfRule>
  </conditionalFormatting>
  <conditionalFormatting sqref="B357:B358">
    <cfRule type="cellIs" dxfId="689" priority="854" operator="equal">
      <formula>0</formula>
    </cfRule>
    <cfRule type="cellIs" dxfId="688" priority="855" operator="equal">
      <formula>"VACIO"</formula>
    </cfRule>
  </conditionalFormatting>
  <conditionalFormatting sqref="B363">
    <cfRule type="cellIs" dxfId="687" priority="852" operator="equal">
      <formula>0</formula>
    </cfRule>
    <cfRule type="cellIs" dxfId="686" priority="853" operator="equal">
      <formula>"VACIO"</formula>
    </cfRule>
  </conditionalFormatting>
  <conditionalFormatting sqref="B365">
    <cfRule type="cellIs" dxfId="685" priority="850" operator="equal">
      <formula>0</formula>
    </cfRule>
    <cfRule type="cellIs" dxfId="684" priority="851" operator="equal">
      <formula>"VACIO"</formula>
    </cfRule>
  </conditionalFormatting>
  <conditionalFormatting sqref="B367">
    <cfRule type="cellIs" dxfId="683" priority="848" operator="equal">
      <formula>0</formula>
    </cfRule>
    <cfRule type="cellIs" dxfId="682" priority="849" operator="equal">
      <formula>"VACIO"</formula>
    </cfRule>
  </conditionalFormatting>
  <conditionalFormatting sqref="B375:B376">
    <cfRule type="cellIs" dxfId="681" priority="841" operator="equal">
      <formula>0</formula>
    </cfRule>
    <cfRule type="cellIs" dxfId="680" priority="842" operator="equal">
      <formula>"VACIO"</formula>
    </cfRule>
  </conditionalFormatting>
  <conditionalFormatting sqref="B382">
    <cfRule type="cellIs" dxfId="679" priority="839" operator="equal">
      <formula>0</formula>
    </cfRule>
    <cfRule type="cellIs" dxfId="678" priority="840" operator="equal">
      <formula>"VACIO"</formula>
    </cfRule>
  </conditionalFormatting>
  <conditionalFormatting sqref="B384">
    <cfRule type="cellIs" dxfId="677" priority="837" operator="equal">
      <formula>0</formula>
    </cfRule>
    <cfRule type="cellIs" dxfId="676" priority="838" operator="equal">
      <formula>"VACIO"</formula>
    </cfRule>
  </conditionalFormatting>
  <conditionalFormatting sqref="B386">
    <cfRule type="cellIs" dxfId="675" priority="835" operator="equal">
      <formula>0</formula>
    </cfRule>
    <cfRule type="cellIs" dxfId="674" priority="836" operator="equal">
      <formula>"VACIO"</formula>
    </cfRule>
  </conditionalFormatting>
  <conditionalFormatting sqref="B394:B395">
    <cfRule type="cellIs" dxfId="673" priority="828" operator="equal">
      <formula>0</formula>
    </cfRule>
    <cfRule type="cellIs" dxfId="672" priority="829" operator="equal">
      <formula>"VACIO"</formula>
    </cfRule>
  </conditionalFormatting>
  <conditionalFormatting sqref="B401">
    <cfRule type="cellIs" dxfId="671" priority="826" operator="equal">
      <formula>0</formula>
    </cfRule>
    <cfRule type="cellIs" dxfId="670" priority="827" operator="equal">
      <formula>"VACIO"</formula>
    </cfRule>
  </conditionalFormatting>
  <conditionalFormatting sqref="B403">
    <cfRule type="cellIs" dxfId="669" priority="824" operator="equal">
      <formula>0</formula>
    </cfRule>
    <cfRule type="cellIs" dxfId="668" priority="825" operator="equal">
      <formula>"VACIO"</formula>
    </cfRule>
  </conditionalFormatting>
  <conditionalFormatting sqref="B405">
    <cfRule type="cellIs" dxfId="667" priority="822" operator="equal">
      <formula>0</formula>
    </cfRule>
    <cfRule type="cellIs" dxfId="666" priority="823" operator="equal">
      <formula>"VACIO"</formula>
    </cfRule>
  </conditionalFormatting>
  <conditionalFormatting sqref="B413:B414">
    <cfRule type="cellIs" dxfId="665" priority="815" operator="equal">
      <formula>0</formula>
    </cfRule>
    <cfRule type="cellIs" dxfId="664" priority="816" operator="equal">
      <formula>"VACIO"</formula>
    </cfRule>
  </conditionalFormatting>
  <conditionalFormatting sqref="B421">
    <cfRule type="cellIs" dxfId="663" priority="813" operator="equal">
      <formula>0</formula>
    </cfRule>
    <cfRule type="cellIs" dxfId="662" priority="814" operator="equal">
      <formula>"VACIO"</formula>
    </cfRule>
  </conditionalFormatting>
  <conditionalFormatting sqref="B423">
    <cfRule type="cellIs" dxfId="661" priority="811" operator="equal">
      <formula>0</formula>
    </cfRule>
    <cfRule type="cellIs" dxfId="660" priority="812" operator="equal">
      <formula>"VACIO"</formula>
    </cfRule>
  </conditionalFormatting>
  <conditionalFormatting sqref="B425">
    <cfRule type="cellIs" dxfId="659" priority="809" operator="equal">
      <formula>0</formula>
    </cfRule>
    <cfRule type="cellIs" dxfId="658" priority="810" operator="equal">
      <formula>"VACIO"</formula>
    </cfRule>
  </conditionalFormatting>
  <conditionalFormatting sqref="B433:B434">
    <cfRule type="cellIs" dxfId="657" priority="208" operator="equal">
      <formula>0</formula>
    </cfRule>
    <cfRule type="cellIs" dxfId="656" priority="209" operator="equal">
      <formula>"VACIO"</formula>
    </cfRule>
  </conditionalFormatting>
  <conditionalFormatting sqref="B440">
    <cfRule type="cellIs" dxfId="655" priority="206" operator="equal">
      <formula>0</formula>
    </cfRule>
    <cfRule type="cellIs" dxfId="654" priority="207" operator="equal">
      <formula>"VACIO"</formula>
    </cfRule>
  </conditionalFormatting>
  <conditionalFormatting sqref="B442">
    <cfRule type="cellIs" dxfId="653" priority="204" operator="equal">
      <formula>0</formula>
    </cfRule>
    <cfRule type="cellIs" dxfId="652" priority="205" operator="equal">
      <formula>"VACIO"</formula>
    </cfRule>
  </conditionalFormatting>
  <conditionalFormatting sqref="B444">
    <cfRule type="cellIs" dxfId="651" priority="202" operator="equal">
      <formula>0</formula>
    </cfRule>
    <cfRule type="cellIs" dxfId="650" priority="203" operator="equal">
      <formula>"VACIO"</formula>
    </cfRule>
  </conditionalFormatting>
  <conditionalFormatting sqref="B453:B454">
    <cfRule type="cellIs" dxfId="649" priority="802" operator="equal">
      <formula>0</formula>
    </cfRule>
    <cfRule type="cellIs" dxfId="648" priority="803" operator="equal">
      <formula>"VACIO"</formula>
    </cfRule>
  </conditionalFormatting>
  <conditionalFormatting sqref="B462">
    <cfRule type="cellIs" dxfId="647" priority="800" operator="equal">
      <formula>0</formula>
    </cfRule>
    <cfRule type="cellIs" dxfId="646" priority="801" operator="equal">
      <formula>"VACIO"</formula>
    </cfRule>
  </conditionalFormatting>
  <conditionalFormatting sqref="B464">
    <cfRule type="cellIs" dxfId="645" priority="798" operator="equal">
      <formula>0</formula>
    </cfRule>
    <cfRule type="cellIs" dxfId="644" priority="799" operator="equal">
      <formula>"VACIO"</formula>
    </cfRule>
  </conditionalFormatting>
  <conditionalFormatting sqref="B466">
    <cfRule type="cellIs" dxfId="643" priority="796" operator="equal">
      <formula>0</formula>
    </cfRule>
    <cfRule type="cellIs" dxfId="642" priority="797" operator="equal">
      <formula>"VACIO"</formula>
    </cfRule>
  </conditionalFormatting>
  <conditionalFormatting sqref="B474:B475">
    <cfRule type="cellIs" dxfId="641" priority="789" operator="equal">
      <formula>0</formula>
    </cfRule>
    <cfRule type="cellIs" dxfId="640" priority="790" operator="equal">
      <formula>"VACIO"</formula>
    </cfRule>
  </conditionalFormatting>
  <conditionalFormatting sqref="B483">
    <cfRule type="cellIs" dxfId="639" priority="787" operator="equal">
      <formula>0</formula>
    </cfRule>
    <cfRule type="cellIs" dxfId="638" priority="788" operator="equal">
      <formula>"VACIO"</formula>
    </cfRule>
  </conditionalFormatting>
  <conditionalFormatting sqref="B485">
    <cfRule type="cellIs" dxfId="637" priority="785" operator="equal">
      <formula>0</formula>
    </cfRule>
    <cfRule type="cellIs" dxfId="636" priority="786" operator="equal">
      <formula>"VACIO"</formula>
    </cfRule>
  </conditionalFormatting>
  <conditionalFormatting sqref="B487">
    <cfRule type="cellIs" dxfId="635" priority="783" operator="equal">
      <formula>0</formula>
    </cfRule>
    <cfRule type="cellIs" dxfId="634" priority="784" operator="equal">
      <formula>"VACIO"</formula>
    </cfRule>
  </conditionalFormatting>
  <conditionalFormatting sqref="B495:B496">
    <cfRule type="cellIs" dxfId="633" priority="776" operator="equal">
      <formula>0</formula>
    </cfRule>
    <cfRule type="cellIs" dxfId="632" priority="777" operator="equal">
      <formula>"VACIO"</formula>
    </cfRule>
  </conditionalFormatting>
  <conditionalFormatting sqref="B504">
    <cfRule type="cellIs" dxfId="631" priority="774" operator="equal">
      <formula>0</formula>
    </cfRule>
    <cfRule type="cellIs" dxfId="630" priority="775" operator="equal">
      <formula>"VACIO"</formula>
    </cfRule>
  </conditionalFormatting>
  <conditionalFormatting sqref="B506">
    <cfRule type="cellIs" dxfId="629" priority="772" operator="equal">
      <formula>0</formula>
    </cfRule>
    <cfRule type="cellIs" dxfId="628" priority="773" operator="equal">
      <formula>"VACIO"</formula>
    </cfRule>
  </conditionalFormatting>
  <conditionalFormatting sqref="B508">
    <cfRule type="cellIs" dxfId="627" priority="770" operator="equal">
      <formula>0</formula>
    </cfRule>
    <cfRule type="cellIs" dxfId="626" priority="771" operator="equal">
      <formula>"VACIO"</formula>
    </cfRule>
  </conditionalFormatting>
  <conditionalFormatting sqref="B516:B517">
    <cfRule type="cellIs" dxfId="625" priority="763" operator="equal">
      <formula>0</formula>
    </cfRule>
    <cfRule type="cellIs" dxfId="624" priority="764" operator="equal">
      <formula>"VACIO"</formula>
    </cfRule>
  </conditionalFormatting>
  <conditionalFormatting sqref="B525">
    <cfRule type="cellIs" dxfId="623" priority="761" operator="equal">
      <formula>0</formula>
    </cfRule>
    <cfRule type="cellIs" dxfId="622" priority="762" operator="equal">
      <formula>"VACIO"</formula>
    </cfRule>
  </conditionalFormatting>
  <conditionalFormatting sqref="B527">
    <cfRule type="cellIs" dxfId="621" priority="759" operator="equal">
      <formula>0</formula>
    </cfRule>
    <cfRule type="cellIs" dxfId="620" priority="760" operator="equal">
      <formula>"VACIO"</formula>
    </cfRule>
  </conditionalFormatting>
  <conditionalFormatting sqref="B529">
    <cfRule type="cellIs" dxfId="619" priority="757" operator="equal">
      <formula>0</formula>
    </cfRule>
    <cfRule type="cellIs" dxfId="618" priority="758" operator="equal">
      <formula>"VACIO"</formula>
    </cfRule>
  </conditionalFormatting>
  <conditionalFormatting sqref="B537:B538">
    <cfRule type="cellIs" dxfId="617" priority="750" operator="equal">
      <formula>0</formula>
    </cfRule>
    <cfRule type="cellIs" dxfId="616" priority="751" operator="equal">
      <formula>"VACIO"</formula>
    </cfRule>
  </conditionalFormatting>
  <conditionalFormatting sqref="B544">
    <cfRule type="cellIs" dxfId="615" priority="748" operator="equal">
      <formula>0</formula>
    </cfRule>
    <cfRule type="cellIs" dxfId="614" priority="749" operator="equal">
      <formula>"VACIO"</formula>
    </cfRule>
  </conditionalFormatting>
  <conditionalFormatting sqref="B546">
    <cfRule type="cellIs" dxfId="613" priority="746" operator="equal">
      <formula>0</formula>
    </cfRule>
    <cfRule type="cellIs" dxfId="612" priority="747" operator="equal">
      <formula>"VACIO"</formula>
    </cfRule>
  </conditionalFormatting>
  <conditionalFormatting sqref="B548">
    <cfRule type="cellIs" dxfId="611" priority="744" operator="equal">
      <formula>0</formula>
    </cfRule>
    <cfRule type="cellIs" dxfId="610" priority="745" operator="equal">
      <formula>"VACIO"</formula>
    </cfRule>
  </conditionalFormatting>
  <conditionalFormatting sqref="B556:B557">
    <cfRule type="cellIs" dxfId="609" priority="737" operator="equal">
      <formula>0</formula>
    </cfRule>
    <cfRule type="cellIs" dxfId="608" priority="738" operator="equal">
      <formula>"VACIO"</formula>
    </cfRule>
  </conditionalFormatting>
  <conditionalFormatting sqref="B563">
    <cfRule type="cellIs" dxfId="607" priority="735" operator="equal">
      <formula>0</formula>
    </cfRule>
    <cfRule type="cellIs" dxfId="606" priority="736" operator="equal">
      <formula>"VACIO"</formula>
    </cfRule>
  </conditionalFormatting>
  <conditionalFormatting sqref="B565">
    <cfRule type="cellIs" dxfId="605" priority="733" operator="equal">
      <formula>0</formula>
    </cfRule>
    <cfRule type="cellIs" dxfId="604" priority="734" operator="equal">
      <formula>"VACIO"</formula>
    </cfRule>
  </conditionalFormatting>
  <conditionalFormatting sqref="B567">
    <cfRule type="cellIs" dxfId="603" priority="731" operator="equal">
      <formula>0</formula>
    </cfRule>
    <cfRule type="cellIs" dxfId="602" priority="732" operator="equal">
      <formula>"VACIO"</formula>
    </cfRule>
  </conditionalFormatting>
  <conditionalFormatting sqref="B575:B576">
    <cfRule type="cellIs" dxfId="601" priority="724" operator="equal">
      <formula>0</formula>
    </cfRule>
    <cfRule type="cellIs" dxfId="600" priority="725" operator="equal">
      <formula>"VACIO"</formula>
    </cfRule>
  </conditionalFormatting>
  <conditionalFormatting sqref="B582">
    <cfRule type="cellIs" dxfId="599" priority="722" operator="equal">
      <formula>0</formula>
    </cfRule>
    <cfRule type="cellIs" dxfId="598" priority="723" operator="equal">
      <formula>"VACIO"</formula>
    </cfRule>
  </conditionalFormatting>
  <conditionalFormatting sqref="B584">
    <cfRule type="cellIs" dxfId="597" priority="720" operator="equal">
      <formula>0</formula>
    </cfRule>
    <cfRule type="cellIs" dxfId="596" priority="721" operator="equal">
      <formula>"VACIO"</formula>
    </cfRule>
  </conditionalFormatting>
  <conditionalFormatting sqref="B586">
    <cfRule type="cellIs" dxfId="595" priority="718" operator="equal">
      <formula>0</formula>
    </cfRule>
    <cfRule type="cellIs" dxfId="594" priority="719" operator="equal">
      <formula>"VACIO"</formula>
    </cfRule>
  </conditionalFormatting>
  <conditionalFormatting sqref="B594:B595">
    <cfRule type="cellIs" dxfId="593" priority="711" operator="equal">
      <formula>0</formula>
    </cfRule>
    <cfRule type="cellIs" dxfId="592" priority="712" operator="equal">
      <formula>"VACIO"</formula>
    </cfRule>
  </conditionalFormatting>
  <conditionalFormatting sqref="B601">
    <cfRule type="cellIs" dxfId="591" priority="709" operator="equal">
      <formula>0</formula>
    </cfRule>
    <cfRule type="cellIs" dxfId="590" priority="710" operator="equal">
      <formula>"VACIO"</formula>
    </cfRule>
  </conditionalFormatting>
  <conditionalFormatting sqref="B603">
    <cfRule type="cellIs" dxfId="589" priority="707" operator="equal">
      <formula>0</formula>
    </cfRule>
    <cfRule type="cellIs" dxfId="588" priority="708" operator="equal">
      <formula>"VACIO"</formula>
    </cfRule>
  </conditionalFormatting>
  <conditionalFormatting sqref="B605">
    <cfRule type="cellIs" dxfId="587" priority="705" operator="equal">
      <formula>0</formula>
    </cfRule>
    <cfRule type="cellIs" dxfId="586" priority="706" operator="equal">
      <formula>"VACIO"</formula>
    </cfRule>
  </conditionalFormatting>
  <conditionalFormatting sqref="B613:B614">
    <cfRule type="cellIs" dxfId="585" priority="698" operator="equal">
      <formula>0</formula>
    </cfRule>
    <cfRule type="cellIs" dxfId="584" priority="699" operator="equal">
      <formula>"VACIO"</formula>
    </cfRule>
  </conditionalFormatting>
  <conditionalFormatting sqref="B622">
    <cfRule type="cellIs" dxfId="583" priority="696" operator="equal">
      <formula>0</formula>
    </cfRule>
    <cfRule type="cellIs" dxfId="582" priority="697" operator="equal">
      <formula>"VACIO"</formula>
    </cfRule>
  </conditionalFormatting>
  <conditionalFormatting sqref="B624">
    <cfRule type="cellIs" dxfId="581" priority="694" operator="equal">
      <formula>0</formula>
    </cfRule>
    <cfRule type="cellIs" dxfId="580" priority="695" operator="equal">
      <formula>"VACIO"</formula>
    </cfRule>
  </conditionalFormatting>
  <conditionalFormatting sqref="B626">
    <cfRule type="cellIs" dxfId="579" priority="692" operator="equal">
      <formula>0</formula>
    </cfRule>
    <cfRule type="cellIs" dxfId="578" priority="693" operator="equal">
      <formula>"VACIO"</formula>
    </cfRule>
  </conditionalFormatting>
  <conditionalFormatting sqref="B634:B635">
    <cfRule type="cellIs" dxfId="577" priority="685" operator="equal">
      <formula>0</formula>
    </cfRule>
    <cfRule type="cellIs" dxfId="576" priority="686" operator="equal">
      <formula>"VACIO"</formula>
    </cfRule>
  </conditionalFormatting>
  <conditionalFormatting sqref="B643">
    <cfRule type="cellIs" dxfId="575" priority="683" operator="equal">
      <formula>0</formula>
    </cfRule>
    <cfRule type="cellIs" dxfId="574" priority="684" operator="equal">
      <formula>"VACIO"</formula>
    </cfRule>
  </conditionalFormatting>
  <conditionalFormatting sqref="B645">
    <cfRule type="cellIs" dxfId="573" priority="681" operator="equal">
      <formula>0</formula>
    </cfRule>
    <cfRule type="cellIs" dxfId="572" priority="682" operator="equal">
      <formula>"VACIO"</formula>
    </cfRule>
  </conditionalFormatting>
  <conditionalFormatting sqref="B647">
    <cfRule type="cellIs" dxfId="571" priority="679" operator="equal">
      <formula>0</formula>
    </cfRule>
    <cfRule type="cellIs" dxfId="570" priority="680" operator="equal">
      <formula>"VACIO"</formula>
    </cfRule>
  </conditionalFormatting>
  <conditionalFormatting sqref="B655:B656">
    <cfRule type="cellIs" dxfId="569" priority="672" operator="equal">
      <formula>0</formula>
    </cfRule>
    <cfRule type="cellIs" dxfId="568" priority="673" operator="equal">
      <formula>"VACIO"</formula>
    </cfRule>
  </conditionalFormatting>
  <conditionalFormatting sqref="B663">
    <cfRule type="cellIs" dxfId="567" priority="670" operator="equal">
      <formula>0</formula>
    </cfRule>
    <cfRule type="cellIs" dxfId="566" priority="671" operator="equal">
      <formula>"VACIO"</formula>
    </cfRule>
  </conditionalFormatting>
  <conditionalFormatting sqref="B665">
    <cfRule type="cellIs" dxfId="565" priority="668" operator="equal">
      <formula>0</formula>
    </cfRule>
    <cfRule type="cellIs" dxfId="564" priority="669" operator="equal">
      <formula>"VACIO"</formula>
    </cfRule>
  </conditionalFormatting>
  <conditionalFormatting sqref="B667">
    <cfRule type="cellIs" dxfId="563" priority="666" operator="equal">
      <formula>0</formula>
    </cfRule>
    <cfRule type="cellIs" dxfId="562" priority="667" operator="equal">
      <formula>"VACIO"</formula>
    </cfRule>
  </conditionalFormatting>
  <conditionalFormatting sqref="B675:B676">
    <cfRule type="cellIs" dxfId="561" priority="659" operator="equal">
      <formula>0</formula>
    </cfRule>
    <cfRule type="cellIs" dxfId="560" priority="660" operator="equal">
      <formula>"VACIO"</formula>
    </cfRule>
  </conditionalFormatting>
  <conditionalFormatting sqref="B683">
    <cfRule type="cellIs" dxfId="559" priority="657" operator="equal">
      <formula>0</formula>
    </cfRule>
    <cfRule type="cellIs" dxfId="558" priority="658" operator="equal">
      <formula>"VACIO"</formula>
    </cfRule>
  </conditionalFormatting>
  <conditionalFormatting sqref="B685">
    <cfRule type="cellIs" dxfId="557" priority="655" operator="equal">
      <formula>0</formula>
    </cfRule>
    <cfRule type="cellIs" dxfId="556" priority="656" operator="equal">
      <formula>"VACIO"</formula>
    </cfRule>
  </conditionalFormatting>
  <conditionalFormatting sqref="B687">
    <cfRule type="cellIs" dxfId="555" priority="653" operator="equal">
      <formula>0</formula>
    </cfRule>
    <cfRule type="cellIs" dxfId="554" priority="654" operator="equal">
      <formula>"VACIO"</formula>
    </cfRule>
  </conditionalFormatting>
  <conditionalFormatting sqref="B695:B696">
    <cfRule type="cellIs" dxfId="553" priority="646" operator="equal">
      <formula>0</formula>
    </cfRule>
    <cfRule type="cellIs" dxfId="552" priority="647" operator="equal">
      <formula>"VACIO"</formula>
    </cfRule>
  </conditionalFormatting>
  <conditionalFormatting sqref="B700">
    <cfRule type="cellIs" dxfId="551" priority="644" operator="equal">
      <formula>0</formula>
    </cfRule>
    <cfRule type="cellIs" dxfId="550" priority="645" operator="equal">
      <formula>"VACIO"</formula>
    </cfRule>
  </conditionalFormatting>
  <conditionalFormatting sqref="B702">
    <cfRule type="cellIs" dxfId="549" priority="642" operator="equal">
      <formula>0</formula>
    </cfRule>
    <cfRule type="cellIs" dxfId="548" priority="643" operator="equal">
      <formula>"VACIO"</formula>
    </cfRule>
  </conditionalFormatting>
  <conditionalFormatting sqref="B704">
    <cfRule type="cellIs" dxfId="547" priority="640" operator="equal">
      <formula>0</formula>
    </cfRule>
    <cfRule type="cellIs" dxfId="546" priority="641" operator="equal">
      <formula>"VACIO"</formula>
    </cfRule>
  </conditionalFormatting>
  <conditionalFormatting sqref="B712:B713">
    <cfRule type="cellIs" dxfId="545" priority="633" operator="equal">
      <formula>0</formula>
    </cfRule>
    <cfRule type="cellIs" dxfId="544" priority="634" operator="equal">
      <formula>"VACIO"</formula>
    </cfRule>
  </conditionalFormatting>
  <conditionalFormatting sqref="B721">
    <cfRule type="cellIs" dxfId="543" priority="631" operator="equal">
      <formula>0</formula>
    </cfRule>
    <cfRule type="cellIs" dxfId="542" priority="632" operator="equal">
      <formula>"VACIO"</formula>
    </cfRule>
  </conditionalFormatting>
  <conditionalFormatting sqref="B723">
    <cfRule type="cellIs" dxfId="541" priority="629" operator="equal">
      <formula>0</formula>
    </cfRule>
    <cfRule type="cellIs" dxfId="540" priority="630" operator="equal">
      <formula>"VACIO"</formula>
    </cfRule>
  </conditionalFormatting>
  <conditionalFormatting sqref="B725">
    <cfRule type="cellIs" dxfId="539" priority="627" operator="equal">
      <formula>0</formula>
    </cfRule>
    <cfRule type="cellIs" dxfId="538" priority="628" operator="equal">
      <formula>"VACIO"</formula>
    </cfRule>
  </conditionalFormatting>
  <conditionalFormatting sqref="B733:B734">
    <cfRule type="cellIs" dxfId="537" priority="183" operator="equal">
      <formula>0</formula>
    </cfRule>
    <cfRule type="cellIs" dxfId="536" priority="184" operator="equal">
      <formula>"VACIO"</formula>
    </cfRule>
  </conditionalFormatting>
  <conditionalFormatting sqref="B741">
    <cfRule type="cellIs" dxfId="535" priority="181" operator="equal">
      <formula>0</formula>
    </cfRule>
    <cfRule type="cellIs" dxfId="534" priority="182" operator="equal">
      <formula>"VACIO"</formula>
    </cfRule>
  </conditionalFormatting>
  <conditionalFormatting sqref="B743">
    <cfRule type="cellIs" dxfId="533" priority="179" operator="equal">
      <formula>0</formula>
    </cfRule>
    <cfRule type="cellIs" dxfId="532" priority="180" operator="equal">
      <formula>"VACIO"</formula>
    </cfRule>
  </conditionalFormatting>
  <conditionalFormatting sqref="B745">
    <cfRule type="cellIs" dxfId="531" priority="177" operator="equal">
      <formula>0</formula>
    </cfRule>
    <cfRule type="cellIs" dxfId="530" priority="178" operator="equal">
      <formula>"VACIO"</formula>
    </cfRule>
  </conditionalFormatting>
  <conditionalFormatting sqref="B754:B755">
    <cfRule type="cellIs" dxfId="529" priority="170" operator="equal">
      <formula>0</formula>
    </cfRule>
    <cfRule type="cellIs" dxfId="528" priority="171" operator="equal">
      <formula>"VACIO"</formula>
    </cfRule>
  </conditionalFormatting>
  <conditionalFormatting sqref="B762">
    <cfRule type="cellIs" dxfId="527" priority="168" operator="equal">
      <formula>0</formula>
    </cfRule>
    <cfRule type="cellIs" dxfId="526" priority="169" operator="equal">
      <formula>"VACIO"</formula>
    </cfRule>
  </conditionalFormatting>
  <conditionalFormatting sqref="B764">
    <cfRule type="cellIs" dxfId="525" priority="166" operator="equal">
      <formula>0</formula>
    </cfRule>
    <cfRule type="cellIs" dxfId="524" priority="167" operator="equal">
      <formula>"VACIO"</formula>
    </cfRule>
  </conditionalFormatting>
  <conditionalFormatting sqref="B766">
    <cfRule type="cellIs" dxfId="523" priority="164" operator="equal">
      <formula>0</formula>
    </cfRule>
    <cfRule type="cellIs" dxfId="522" priority="165" operator="equal">
      <formula>"VACIO"</formula>
    </cfRule>
  </conditionalFormatting>
  <conditionalFormatting sqref="B775:B776">
    <cfRule type="cellIs" dxfId="521" priority="157" operator="equal">
      <formula>0</formula>
    </cfRule>
    <cfRule type="cellIs" dxfId="520" priority="158" operator="equal">
      <formula>"VACIO"</formula>
    </cfRule>
  </conditionalFormatting>
  <conditionalFormatting sqref="B783">
    <cfRule type="cellIs" dxfId="519" priority="155" operator="equal">
      <formula>0</formula>
    </cfRule>
    <cfRule type="cellIs" dxfId="518" priority="156" operator="equal">
      <formula>"VACIO"</formula>
    </cfRule>
  </conditionalFormatting>
  <conditionalFormatting sqref="B785">
    <cfRule type="cellIs" dxfId="517" priority="153" operator="equal">
      <formula>0</formula>
    </cfRule>
    <cfRule type="cellIs" dxfId="516" priority="154" operator="equal">
      <formula>"VACIO"</formula>
    </cfRule>
  </conditionalFormatting>
  <conditionalFormatting sqref="B787">
    <cfRule type="cellIs" dxfId="515" priority="151" operator="equal">
      <formula>0</formula>
    </cfRule>
    <cfRule type="cellIs" dxfId="514" priority="152" operator="equal">
      <formula>"VACIO"</formula>
    </cfRule>
  </conditionalFormatting>
  <conditionalFormatting sqref="B796:B797">
    <cfRule type="cellIs" dxfId="513" priority="620" operator="equal">
      <formula>0</formula>
    </cfRule>
    <cfRule type="cellIs" dxfId="512" priority="621" operator="equal">
      <formula>"VACIO"</formula>
    </cfRule>
  </conditionalFormatting>
  <conditionalFormatting sqref="B807">
    <cfRule type="cellIs" dxfId="511" priority="618" operator="equal">
      <formula>0</formula>
    </cfRule>
    <cfRule type="cellIs" dxfId="510" priority="619" operator="equal">
      <formula>"VACIO"</formula>
    </cfRule>
  </conditionalFormatting>
  <conditionalFormatting sqref="B809">
    <cfRule type="cellIs" dxfId="509" priority="616" operator="equal">
      <formula>0</formula>
    </cfRule>
    <cfRule type="cellIs" dxfId="508" priority="617" operator="equal">
      <formula>"VACIO"</formula>
    </cfRule>
  </conditionalFormatting>
  <conditionalFormatting sqref="B811">
    <cfRule type="cellIs" dxfId="507" priority="614" operator="equal">
      <formula>0</formula>
    </cfRule>
    <cfRule type="cellIs" dxfId="506" priority="615" operator="equal">
      <formula>"VACIO"</formula>
    </cfRule>
  </conditionalFormatting>
  <conditionalFormatting sqref="B819:B820">
    <cfRule type="cellIs" dxfId="505" priority="607" operator="equal">
      <formula>0</formula>
    </cfRule>
    <cfRule type="cellIs" dxfId="504" priority="608" operator="equal">
      <formula>"VACIO"</formula>
    </cfRule>
  </conditionalFormatting>
  <conditionalFormatting sqref="B830">
    <cfRule type="cellIs" dxfId="503" priority="605" operator="equal">
      <formula>0</formula>
    </cfRule>
    <cfRule type="cellIs" dxfId="502" priority="606" operator="equal">
      <formula>"VACIO"</formula>
    </cfRule>
  </conditionalFormatting>
  <conditionalFormatting sqref="B832">
    <cfRule type="cellIs" dxfId="501" priority="603" operator="equal">
      <formula>0</formula>
    </cfRule>
    <cfRule type="cellIs" dxfId="500" priority="604" operator="equal">
      <formula>"VACIO"</formula>
    </cfRule>
  </conditionalFormatting>
  <conditionalFormatting sqref="B834">
    <cfRule type="cellIs" dxfId="499" priority="601" operator="equal">
      <formula>0</formula>
    </cfRule>
    <cfRule type="cellIs" dxfId="498" priority="602" operator="equal">
      <formula>"VACIO"</formula>
    </cfRule>
  </conditionalFormatting>
  <conditionalFormatting sqref="B842:B843">
    <cfRule type="cellIs" dxfId="497" priority="594" operator="equal">
      <formula>0</formula>
    </cfRule>
    <cfRule type="cellIs" dxfId="496" priority="595" operator="equal">
      <formula>"VACIO"</formula>
    </cfRule>
  </conditionalFormatting>
  <conditionalFormatting sqref="B853">
    <cfRule type="cellIs" dxfId="495" priority="592" operator="equal">
      <formula>0</formula>
    </cfRule>
    <cfRule type="cellIs" dxfId="494" priority="593" operator="equal">
      <formula>"VACIO"</formula>
    </cfRule>
  </conditionalFormatting>
  <conditionalFormatting sqref="B855">
    <cfRule type="cellIs" dxfId="493" priority="590" operator="equal">
      <formula>0</formula>
    </cfRule>
    <cfRule type="cellIs" dxfId="492" priority="591" operator="equal">
      <formula>"VACIO"</formula>
    </cfRule>
  </conditionalFormatting>
  <conditionalFormatting sqref="B857">
    <cfRule type="cellIs" dxfId="491" priority="588" operator="equal">
      <formula>0</formula>
    </cfRule>
    <cfRule type="cellIs" dxfId="490" priority="589" operator="equal">
      <formula>"VACIO"</formula>
    </cfRule>
  </conditionalFormatting>
  <conditionalFormatting sqref="B865:B866">
    <cfRule type="cellIs" dxfId="489" priority="143" operator="equal">
      <formula>0</formula>
    </cfRule>
    <cfRule type="cellIs" dxfId="488" priority="144" operator="equal">
      <formula>"VACIO"</formula>
    </cfRule>
  </conditionalFormatting>
  <conditionalFormatting sqref="B876">
    <cfRule type="cellIs" dxfId="487" priority="141" operator="equal">
      <formula>0</formula>
    </cfRule>
    <cfRule type="cellIs" dxfId="486" priority="142" operator="equal">
      <formula>"VACIO"</formula>
    </cfRule>
  </conditionalFormatting>
  <conditionalFormatting sqref="B879">
    <cfRule type="cellIs" dxfId="485" priority="139" operator="equal">
      <formula>0</formula>
    </cfRule>
    <cfRule type="cellIs" dxfId="484" priority="140" operator="equal">
      <formula>"VACIO"</formula>
    </cfRule>
  </conditionalFormatting>
  <conditionalFormatting sqref="B881">
    <cfRule type="cellIs" dxfId="483" priority="137" operator="equal">
      <formula>0</formula>
    </cfRule>
    <cfRule type="cellIs" dxfId="482" priority="138" operator="equal">
      <formula>"VACIO"</formula>
    </cfRule>
  </conditionalFormatting>
  <conditionalFormatting sqref="B889:B890">
    <cfRule type="cellIs" dxfId="481" priority="568" operator="equal">
      <formula>0</formula>
    </cfRule>
    <cfRule type="cellIs" dxfId="480" priority="569" operator="equal">
      <formula>"VACIO"</formula>
    </cfRule>
  </conditionalFormatting>
  <conditionalFormatting sqref="B900">
    <cfRule type="cellIs" dxfId="479" priority="566" operator="equal">
      <formula>0</formula>
    </cfRule>
    <cfRule type="cellIs" dxfId="478" priority="567" operator="equal">
      <formula>"VACIO"</formula>
    </cfRule>
  </conditionalFormatting>
  <conditionalFormatting sqref="B903">
    <cfRule type="cellIs" dxfId="477" priority="564" operator="equal">
      <formula>0</formula>
    </cfRule>
    <cfRule type="cellIs" dxfId="476" priority="565" operator="equal">
      <formula>"VACIO"</formula>
    </cfRule>
  </conditionalFormatting>
  <conditionalFormatting sqref="B905">
    <cfRule type="cellIs" dxfId="475" priority="562" operator="equal">
      <formula>0</formula>
    </cfRule>
    <cfRule type="cellIs" dxfId="474" priority="563" operator="equal">
      <formula>"VACIO"</formula>
    </cfRule>
  </conditionalFormatting>
  <conditionalFormatting sqref="B913:B914">
    <cfRule type="cellIs" dxfId="473" priority="555" operator="equal">
      <formula>0</formula>
    </cfRule>
    <cfRule type="cellIs" dxfId="472" priority="556" operator="equal">
      <formula>"VACIO"</formula>
    </cfRule>
  </conditionalFormatting>
  <conditionalFormatting sqref="B924">
    <cfRule type="cellIs" dxfId="471" priority="131" operator="equal">
      <formula>0</formula>
    </cfRule>
    <cfRule type="cellIs" dxfId="470" priority="132" operator="equal">
      <formula>"VACIO"</formula>
    </cfRule>
  </conditionalFormatting>
  <conditionalFormatting sqref="B927">
    <cfRule type="cellIs" dxfId="469" priority="129" operator="equal">
      <formula>0</formula>
    </cfRule>
    <cfRule type="cellIs" dxfId="468" priority="130" operator="equal">
      <formula>"VACIO"</formula>
    </cfRule>
  </conditionalFormatting>
  <conditionalFormatting sqref="B929">
    <cfRule type="cellIs" dxfId="467" priority="127" operator="equal">
      <formula>0</formula>
    </cfRule>
    <cfRule type="cellIs" dxfId="466" priority="128" operator="equal">
      <formula>"VACIO"</formula>
    </cfRule>
  </conditionalFormatting>
  <conditionalFormatting sqref="B937:B938">
    <cfRule type="cellIs" dxfId="465" priority="516" operator="equal">
      <formula>0</formula>
    </cfRule>
    <cfRule type="cellIs" dxfId="464" priority="517" operator="equal">
      <formula>"VACIO"</formula>
    </cfRule>
  </conditionalFormatting>
  <conditionalFormatting sqref="B948">
    <cfRule type="cellIs" dxfId="463" priority="514" operator="equal">
      <formula>0</formula>
    </cfRule>
    <cfRule type="cellIs" dxfId="462" priority="515" operator="equal">
      <formula>"VACIO"</formula>
    </cfRule>
  </conditionalFormatting>
  <conditionalFormatting sqref="B950">
    <cfRule type="cellIs" dxfId="461" priority="512" operator="equal">
      <formula>0</formula>
    </cfRule>
    <cfRule type="cellIs" dxfId="460" priority="513" operator="equal">
      <formula>"VACIO"</formula>
    </cfRule>
  </conditionalFormatting>
  <conditionalFormatting sqref="B952">
    <cfRule type="cellIs" dxfId="459" priority="510" operator="equal">
      <formula>0</formula>
    </cfRule>
    <cfRule type="cellIs" dxfId="458" priority="511" operator="equal">
      <formula>"VACIO"</formula>
    </cfRule>
  </conditionalFormatting>
  <conditionalFormatting sqref="B960:B961">
    <cfRule type="cellIs" dxfId="457" priority="503" operator="equal">
      <formula>0</formula>
    </cfRule>
    <cfRule type="cellIs" dxfId="456" priority="504" operator="equal">
      <formula>"VACIO"</formula>
    </cfRule>
  </conditionalFormatting>
  <conditionalFormatting sqref="B971">
    <cfRule type="cellIs" dxfId="455" priority="501" operator="equal">
      <formula>0</formula>
    </cfRule>
    <cfRule type="cellIs" dxfId="454" priority="502" operator="equal">
      <formula>"VACIO"</formula>
    </cfRule>
  </conditionalFormatting>
  <conditionalFormatting sqref="B973">
    <cfRule type="cellIs" dxfId="453" priority="499" operator="equal">
      <formula>0</formula>
    </cfRule>
    <cfRule type="cellIs" dxfId="452" priority="500" operator="equal">
      <formula>"VACIO"</formula>
    </cfRule>
  </conditionalFormatting>
  <conditionalFormatting sqref="B975">
    <cfRule type="cellIs" dxfId="451" priority="497" operator="equal">
      <formula>0</formula>
    </cfRule>
    <cfRule type="cellIs" dxfId="450" priority="498" operator="equal">
      <formula>"VACIO"</formula>
    </cfRule>
  </conditionalFormatting>
  <conditionalFormatting sqref="B983:B984">
    <cfRule type="cellIs" dxfId="449" priority="490" operator="equal">
      <formula>0</formula>
    </cfRule>
    <cfRule type="cellIs" dxfId="448" priority="491" operator="equal">
      <formula>"VACIO"</formula>
    </cfRule>
  </conditionalFormatting>
  <conditionalFormatting sqref="B993">
    <cfRule type="cellIs" dxfId="447" priority="488" operator="equal">
      <formula>0</formula>
    </cfRule>
    <cfRule type="cellIs" dxfId="446" priority="489" operator="equal">
      <formula>"VACIO"</formula>
    </cfRule>
  </conditionalFormatting>
  <conditionalFormatting sqref="B995">
    <cfRule type="cellIs" dxfId="445" priority="486" operator="equal">
      <formula>0</formula>
    </cfRule>
    <cfRule type="cellIs" dxfId="444" priority="487" operator="equal">
      <formula>"VACIO"</formula>
    </cfRule>
  </conditionalFormatting>
  <conditionalFormatting sqref="B997">
    <cfRule type="cellIs" dxfId="443" priority="484" operator="equal">
      <formula>0</formula>
    </cfRule>
    <cfRule type="cellIs" dxfId="442" priority="485" operator="equal">
      <formula>"VACIO"</formula>
    </cfRule>
  </conditionalFormatting>
  <conditionalFormatting sqref="B1011:B1012">
    <cfRule type="cellIs" dxfId="441" priority="464" operator="equal">
      <formula>0</formula>
    </cfRule>
    <cfRule type="cellIs" dxfId="440" priority="465" operator="equal">
      <formula>"VACIO"</formula>
    </cfRule>
  </conditionalFormatting>
  <conditionalFormatting sqref="B1022">
    <cfRule type="cellIs" dxfId="439" priority="462" operator="equal">
      <formula>0</formula>
    </cfRule>
    <cfRule type="cellIs" dxfId="438" priority="463" operator="equal">
      <formula>"VACIO"</formula>
    </cfRule>
  </conditionalFormatting>
  <conditionalFormatting sqref="B1024">
    <cfRule type="cellIs" dxfId="437" priority="460" operator="equal">
      <formula>0</formula>
    </cfRule>
    <cfRule type="cellIs" dxfId="436" priority="461" operator="equal">
      <formula>"VACIO"</formula>
    </cfRule>
  </conditionalFormatting>
  <conditionalFormatting sqref="B1026">
    <cfRule type="cellIs" dxfId="435" priority="458" operator="equal">
      <formula>0</formula>
    </cfRule>
    <cfRule type="cellIs" dxfId="434" priority="459" operator="equal">
      <formula>"VACIO"</formula>
    </cfRule>
  </conditionalFormatting>
  <conditionalFormatting sqref="B1034:B1035">
    <cfRule type="cellIs" dxfId="433" priority="451" operator="equal">
      <formula>0</formula>
    </cfRule>
    <cfRule type="cellIs" dxfId="432" priority="452" operator="equal">
      <formula>"VACIO"</formula>
    </cfRule>
  </conditionalFormatting>
  <conditionalFormatting sqref="B1045">
    <cfRule type="cellIs" dxfId="431" priority="449" operator="equal">
      <formula>0</formula>
    </cfRule>
    <cfRule type="cellIs" dxfId="430" priority="450" operator="equal">
      <formula>"VACIO"</formula>
    </cfRule>
  </conditionalFormatting>
  <conditionalFormatting sqref="B1047">
    <cfRule type="cellIs" dxfId="429" priority="447" operator="equal">
      <formula>0</formula>
    </cfRule>
    <cfRule type="cellIs" dxfId="428" priority="448" operator="equal">
      <formula>"VACIO"</formula>
    </cfRule>
  </conditionalFormatting>
  <conditionalFormatting sqref="B1049">
    <cfRule type="cellIs" dxfId="427" priority="445" operator="equal">
      <formula>0</formula>
    </cfRule>
    <cfRule type="cellIs" dxfId="426" priority="446" operator="equal">
      <formula>"VACIO"</formula>
    </cfRule>
  </conditionalFormatting>
  <conditionalFormatting sqref="B1057:B1058">
    <cfRule type="cellIs" dxfId="425" priority="438" operator="equal">
      <formula>0</formula>
    </cfRule>
    <cfRule type="cellIs" dxfId="424" priority="439" operator="equal">
      <formula>"VACIO"</formula>
    </cfRule>
  </conditionalFormatting>
  <conditionalFormatting sqref="B1068">
    <cfRule type="cellIs" dxfId="423" priority="436" operator="equal">
      <formula>0</formula>
    </cfRule>
    <cfRule type="cellIs" dxfId="422" priority="437" operator="equal">
      <formula>"VACIO"</formula>
    </cfRule>
  </conditionalFormatting>
  <conditionalFormatting sqref="B1070">
    <cfRule type="cellIs" dxfId="421" priority="434" operator="equal">
      <formula>0</formula>
    </cfRule>
    <cfRule type="cellIs" dxfId="420" priority="435" operator="equal">
      <formula>"VACIO"</formula>
    </cfRule>
  </conditionalFormatting>
  <conditionalFormatting sqref="B1072">
    <cfRule type="cellIs" dxfId="419" priority="432" operator="equal">
      <formula>0</formula>
    </cfRule>
    <cfRule type="cellIs" dxfId="418" priority="433" operator="equal">
      <formula>"VACIO"</formula>
    </cfRule>
  </conditionalFormatting>
  <conditionalFormatting sqref="B1080:B1081">
    <cfRule type="cellIs" dxfId="417" priority="125" operator="equal">
      <formula>0</formula>
    </cfRule>
    <cfRule type="cellIs" dxfId="416" priority="126" operator="equal">
      <formula>"VACIO"</formula>
    </cfRule>
  </conditionalFormatting>
  <conditionalFormatting sqref="B1091">
    <cfRule type="cellIs" dxfId="415" priority="123" operator="equal">
      <formula>0</formula>
    </cfRule>
    <cfRule type="cellIs" dxfId="414" priority="124" operator="equal">
      <formula>"VACIO"</formula>
    </cfRule>
  </conditionalFormatting>
  <conditionalFormatting sqref="B1093">
    <cfRule type="cellIs" dxfId="413" priority="121" operator="equal">
      <formula>0</formula>
    </cfRule>
    <cfRule type="cellIs" dxfId="412" priority="122" operator="equal">
      <formula>"VACIO"</formula>
    </cfRule>
  </conditionalFormatting>
  <conditionalFormatting sqref="B1095">
    <cfRule type="cellIs" dxfId="411" priority="119" operator="equal">
      <formula>0</formula>
    </cfRule>
    <cfRule type="cellIs" dxfId="410" priority="120" operator="equal">
      <formula>"VACIO"</formula>
    </cfRule>
  </conditionalFormatting>
  <conditionalFormatting sqref="B1099:B1100">
    <cfRule type="cellIs" dxfId="409" priority="113" operator="equal">
      <formula>0</formula>
    </cfRule>
    <cfRule type="cellIs" dxfId="408" priority="114" operator="equal">
      <formula>"VACIO"</formula>
    </cfRule>
  </conditionalFormatting>
  <conditionalFormatting sqref="B1110">
    <cfRule type="cellIs" dxfId="407" priority="111" operator="equal">
      <formula>0</formula>
    </cfRule>
    <cfRule type="cellIs" dxfId="406" priority="112" operator="equal">
      <formula>"VACIO"</formula>
    </cfRule>
  </conditionalFormatting>
  <conditionalFormatting sqref="B1112">
    <cfRule type="cellIs" dxfId="405" priority="109" operator="equal">
      <formula>0</formula>
    </cfRule>
    <cfRule type="cellIs" dxfId="404" priority="110" operator="equal">
      <formula>"VACIO"</formula>
    </cfRule>
  </conditionalFormatting>
  <conditionalFormatting sqref="B1114">
    <cfRule type="cellIs" dxfId="403" priority="107" operator="equal">
      <formula>0</formula>
    </cfRule>
    <cfRule type="cellIs" dxfId="402" priority="108" operator="equal">
      <formula>"VACIO"</formula>
    </cfRule>
  </conditionalFormatting>
  <conditionalFormatting sqref="B1118:B1119">
    <cfRule type="cellIs" dxfId="401" priority="101" operator="equal">
      <formula>0</formula>
    </cfRule>
    <cfRule type="cellIs" dxfId="400" priority="102" operator="equal">
      <formula>"VACIO"</formula>
    </cfRule>
  </conditionalFormatting>
  <conditionalFormatting sqref="B1129">
    <cfRule type="cellIs" dxfId="399" priority="99" operator="equal">
      <formula>0</formula>
    </cfRule>
    <cfRule type="cellIs" dxfId="398" priority="100" operator="equal">
      <formula>"VACIO"</formula>
    </cfRule>
  </conditionalFormatting>
  <conditionalFormatting sqref="B1131">
    <cfRule type="cellIs" dxfId="397" priority="97" operator="equal">
      <formula>0</formula>
    </cfRule>
    <cfRule type="cellIs" dxfId="396" priority="98" operator="equal">
      <formula>"VACIO"</formula>
    </cfRule>
  </conditionalFormatting>
  <conditionalFormatting sqref="B1133">
    <cfRule type="cellIs" dxfId="395" priority="95" operator="equal">
      <formula>0</formula>
    </cfRule>
    <cfRule type="cellIs" dxfId="394" priority="96" operator="equal">
      <formula>"VACIO"</formula>
    </cfRule>
  </conditionalFormatting>
  <conditionalFormatting sqref="B1139:B1140">
    <cfRule type="cellIs" dxfId="393" priority="425" operator="equal">
      <formula>0</formula>
    </cfRule>
    <cfRule type="cellIs" dxfId="392" priority="426" operator="equal">
      <formula>"VACIO"</formula>
    </cfRule>
  </conditionalFormatting>
  <conditionalFormatting sqref="B1150">
    <cfRule type="cellIs" dxfId="391" priority="423" operator="equal">
      <formula>0</formula>
    </cfRule>
    <cfRule type="cellIs" dxfId="390" priority="424" operator="equal">
      <formula>"VACIO"</formula>
    </cfRule>
  </conditionalFormatting>
  <conditionalFormatting sqref="B1152">
    <cfRule type="cellIs" dxfId="389" priority="421" operator="equal">
      <formula>0</formula>
    </cfRule>
    <cfRule type="cellIs" dxfId="388" priority="422" operator="equal">
      <formula>"VACIO"</formula>
    </cfRule>
  </conditionalFormatting>
  <conditionalFormatting sqref="B1154">
    <cfRule type="cellIs" dxfId="387" priority="419" operator="equal">
      <formula>0</formula>
    </cfRule>
    <cfRule type="cellIs" dxfId="386" priority="420" operator="equal">
      <formula>"VACIO"</formula>
    </cfRule>
  </conditionalFormatting>
  <conditionalFormatting sqref="B1162:B1163">
    <cfRule type="cellIs" dxfId="385" priority="412" operator="equal">
      <formula>0</formula>
    </cfRule>
    <cfRule type="cellIs" dxfId="384" priority="413" operator="equal">
      <formula>"VACIO"</formula>
    </cfRule>
  </conditionalFormatting>
  <conditionalFormatting sqref="B1173">
    <cfRule type="cellIs" dxfId="383" priority="410" operator="equal">
      <formula>0</formula>
    </cfRule>
    <cfRule type="cellIs" dxfId="382" priority="411" operator="equal">
      <formula>"VACIO"</formula>
    </cfRule>
  </conditionalFormatting>
  <conditionalFormatting sqref="B1175">
    <cfRule type="cellIs" dxfId="381" priority="408" operator="equal">
      <formula>0</formula>
    </cfRule>
    <cfRule type="cellIs" dxfId="380" priority="409" operator="equal">
      <formula>"VACIO"</formula>
    </cfRule>
  </conditionalFormatting>
  <conditionalFormatting sqref="B1177">
    <cfRule type="cellIs" dxfId="379" priority="406" operator="equal">
      <formula>0</formula>
    </cfRule>
    <cfRule type="cellIs" dxfId="378" priority="407" operator="equal">
      <formula>"VACIO"</formula>
    </cfRule>
  </conditionalFormatting>
  <conditionalFormatting sqref="B1185:B1186">
    <cfRule type="cellIs" dxfId="377" priority="399" operator="equal">
      <formula>0</formula>
    </cfRule>
    <cfRule type="cellIs" dxfId="376" priority="400" operator="equal">
      <formula>"VACIO"</formula>
    </cfRule>
  </conditionalFormatting>
  <conditionalFormatting sqref="B1196">
    <cfRule type="cellIs" dxfId="375" priority="397" operator="equal">
      <formula>0</formula>
    </cfRule>
    <cfRule type="cellIs" dxfId="374" priority="398" operator="equal">
      <formula>"VACIO"</formula>
    </cfRule>
  </conditionalFormatting>
  <conditionalFormatting sqref="B1198">
    <cfRule type="cellIs" dxfId="373" priority="395" operator="equal">
      <formula>0</formula>
    </cfRule>
    <cfRule type="cellIs" dxfId="372" priority="396" operator="equal">
      <formula>"VACIO"</formula>
    </cfRule>
  </conditionalFormatting>
  <conditionalFormatting sqref="B1200">
    <cfRule type="cellIs" dxfId="371" priority="393" operator="equal">
      <formula>0</formula>
    </cfRule>
    <cfRule type="cellIs" dxfId="370" priority="394" operator="equal">
      <formula>"VACIO"</formula>
    </cfRule>
  </conditionalFormatting>
  <conditionalFormatting sqref="B1208:B1209">
    <cfRule type="cellIs" dxfId="369" priority="386" operator="equal">
      <formula>0</formula>
    </cfRule>
    <cfRule type="cellIs" dxfId="368" priority="387" operator="equal">
      <formula>"VACIO"</formula>
    </cfRule>
  </conditionalFormatting>
  <conditionalFormatting sqref="B1219">
    <cfRule type="cellIs" dxfId="367" priority="384" operator="equal">
      <formula>0</formula>
    </cfRule>
    <cfRule type="cellIs" dxfId="366" priority="385" operator="equal">
      <formula>"VACIO"</formula>
    </cfRule>
  </conditionalFormatting>
  <conditionalFormatting sqref="B1221">
    <cfRule type="cellIs" dxfId="365" priority="382" operator="equal">
      <formula>0</formula>
    </cfRule>
    <cfRule type="cellIs" dxfId="364" priority="383" operator="equal">
      <formula>"VACIO"</formula>
    </cfRule>
  </conditionalFormatting>
  <conditionalFormatting sqref="B1223">
    <cfRule type="cellIs" dxfId="363" priority="380" operator="equal">
      <formula>0</formula>
    </cfRule>
    <cfRule type="cellIs" dxfId="362" priority="381" operator="equal">
      <formula>"VACIO"</formula>
    </cfRule>
  </conditionalFormatting>
  <conditionalFormatting sqref="B1231:B1232">
    <cfRule type="cellIs" dxfId="361" priority="373" operator="equal">
      <formula>0</formula>
    </cfRule>
    <cfRule type="cellIs" dxfId="360" priority="374" operator="equal">
      <formula>"VACIO"</formula>
    </cfRule>
  </conditionalFormatting>
  <conditionalFormatting sqref="B1242">
    <cfRule type="cellIs" dxfId="359" priority="371" operator="equal">
      <formula>0</formula>
    </cfRule>
    <cfRule type="cellIs" dxfId="358" priority="372" operator="equal">
      <formula>"VACIO"</formula>
    </cfRule>
  </conditionalFormatting>
  <conditionalFormatting sqref="B1244">
    <cfRule type="cellIs" dxfId="357" priority="369" operator="equal">
      <formula>0</formula>
    </cfRule>
    <cfRule type="cellIs" dxfId="356" priority="370" operator="equal">
      <formula>"VACIO"</formula>
    </cfRule>
  </conditionalFormatting>
  <conditionalFormatting sqref="B1246">
    <cfRule type="cellIs" dxfId="355" priority="367" operator="equal">
      <formula>0</formula>
    </cfRule>
    <cfRule type="cellIs" dxfId="354" priority="368" operator="equal">
      <formula>"VACIO"</formula>
    </cfRule>
  </conditionalFormatting>
  <conditionalFormatting sqref="B1254:B1255">
    <cfRule type="cellIs" dxfId="353" priority="360" operator="equal">
      <formula>0</formula>
    </cfRule>
    <cfRule type="cellIs" dxfId="352" priority="361" operator="equal">
      <formula>"VACIO"</formula>
    </cfRule>
  </conditionalFormatting>
  <conditionalFormatting sqref="B1264">
    <cfRule type="cellIs" dxfId="351" priority="358" operator="equal">
      <formula>0</formula>
    </cfRule>
    <cfRule type="cellIs" dxfId="350" priority="359" operator="equal">
      <formula>"VACIO"</formula>
    </cfRule>
  </conditionalFormatting>
  <conditionalFormatting sqref="B1266">
    <cfRule type="cellIs" dxfId="349" priority="356" operator="equal">
      <formula>0</formula>
    </cfRule>
    <cfRule type="cellIs" dxfId="348" priority="357" operator="equal">
      <formula>"VACIO"</formula>
    </cfRule>
  </conditionalFormatting>
  <conditionalFormatting sqref="B1268">
    <cfRule type="cellIs" dxfId="347" priority="354" operator="equal">
      <formula>0</formula>
    </cfRule>
    <cfRule type="cellIs" dxfId="346" priority="355" operator="equal">
      <formula>"VACIO"</formula>
    </cfRule>
  </conditionalFormatting>
  <conditionalFormatting sqref="B1276:B1277">
    <cfRule type="cellIs" dxfId="345" priority="89" operator="equal">
      <formula>0</formula>
    </cfRule>
    <cfRule type="cellIs" dxfId="344" priority="90" operator="equal">
      <formula>"VACIO"</formula>
    </cfRule>
  </conditionalFormatting>
  <conditionalFormatting sqref="B1287">
    <cfRule type="cellIs" dxfId="343" priority="77" operator="equal">
      <formula>0</formula>
    </cfRule>
    <cfRule type="cellIs" dxfId="342" priority="78" operator="equal">
      <formula>"VACIO"</formula>
    </cfRule>
  </conditionalFormatting>
  <conditionalFormatting sqref="B1289">
    <cfRule type="cellIs" dxfId="341" priority="75" operator="equal">
      <formula>0</formula>
    </cfRule>
    <cfRule type="cellIs" dxfId="340" priority="76" operator="equal">
      <formula>"VACIO"</formula>
    </cfRule>
  </conditionalFormatting>
  <conditionalFormatting sqref="B1291">
    <cfRule type="cellIs" dxfId="339" priority="73" operator="equal">
      <formula>0</formula>
    </cfRule>
    <cfRule type="cellIs" dxfId="338" priority="74" operator="equal">
      <formula>"VACIO"</formula>
    </cfRule>
  </conditionalFormatting>
  <conditionalFormatting sqref="B1295:B1296">
    <cfRule type="cellIs" dxfId="337" priority="71" operator="equal">
      <formula>0</formula>
    </cfRule>
    <cfRule type="cellIs" dxfId="336" priority="72" operator="equal">
      <formula>"VACIO"</formula>
    </cfRule>
  </conditionalFormatting>
  <conditionalFormatting sqref="B1306">
    <cfRule type="cellIs" dxfId="335" priority="65" operator="equal">
      <formula>0</formula>
    </cfRule>
    <cfRule type="cellIs" dxfId="334" priority="66" operator="equal">
      <formula>"VACIO"</formula>
    </cfRule>
  </conditionalFormatting>
  <conditionalFormatting sqref="B1308">
    <cfRule type="cellIs" dxfId="333" priority="63" operator="equal">
      <formula>0</formula>
    </cfRule>
    <cfRule type="cellIs" dxfId="332" priority="64" operator="equal">
      <formula>"VACIO"</formula>
    </cfRule>
  </conditionalFormatting>
  <conditionalFormatting sqref="B1310">
    <cfRule type="cellIs" dxfId="331" priority="61" operator="equal">
      <formula>0</formula>
    </cfRule>
    <cfRule type="cellIs" dxfId="330" priority="62" operator="equal">
      <formula>"VACIO"</formula>
    </cfRule>
  </conditionalFormatting>
  <conditionalFormatting sqref="B1314:B1315">
    <cfRule type="cellIs" dxfId="329" priority="59" operator="equal">
      <formula>0</formula>
    </cfRule>
    <cfRule type="cellIs" dxfId="328" priority="60" operator="equal">
      <formula>"VACIO"</formula>
    </cfRule>
  </conditionalFormatting>
  <conditionalFormatting sqref="B1325">
    <cfRule type="cellIs" dxfId="327" priority="53" operator="equal">
      <formula>0</formula>
    </cfRule>
    <cfRule type="cellIs" dxfId="326" priority="54" operator="equal">
      <formula>"VACIO"</formula>
    </cfRule>
  </conditionalFormatting>
  <conditionalFormatting sqref="B1327">
    <cfRule type="cellIs" dxfId="325" priority="51" operator="equal">
      <formula>0</formula>
    </cfRule>
    <cfRule type="cellIs" dxfId="324" priority="52" operator="equal">
      <formula>"VACIO"</formula>
    </cfRule>
  </conditionalFormatting>
  <conditionalFormatting sqref="B1329">
    <cfRule type="cellIs" dxfId="323" priority="49" operator="equal">
      <formula>0</formula>
    </cfRule>
    <cfRule type="cellIs" dxfId="322" priority="50" operator="equal">
      <formula>"VACIO"</formula>
    </cfRule>
  </conditionalFormatting>
  <conditionalFormatting sqref="B1336:B1337">
    <cfRule type="cellIs" dxfId="321" priority="196" operator="equal">
      <formula>0</formula>
    </cfRule>
    <cfRule type="cellIs" dxfId="320" priority="197" operator="equal">
      <formula>"VACIO"</formula>
    </cfRule>
  </conditionalFormatting>
  <conditionalFormatting sqref="B1347">
    <cfRule type="cellIs" dxfId="319" priority="194" operator="equal">
      <formula>0</formula>
    </cfRule>
    <cfRule type="cellIs" dxfId="318" priority="195" operator="equal">
      <formula>"VACIO"</formula>
    </cfRule>
  </conditionalFormatting>
  <conditionalFormatting sqref="B1349">
    <cfRule type="cellIs" dxfId="317" priority="192" operator="equal">
      <formula>0</formula>
    </cfRule>
    <cfRule type="cellIs" dxfId="316" priority="193" operator="equal">
      <formula>"VACIO"</formula>
    </cfRule>
  </conditionalFormatting>
  <conditionalFormatting sqref="B1351">
    <cfRule type="cellIs" dxfId="315" priority="190" operator="equal">
      <formula>0</formula>
    </cfRule>
    <cfRule type="cellIs" dxfId="314" priority="191" operator="equal">
      <formula>"VACIO"</formula>
    </cfRule>
  </conditionalFormatting>
  <conditionalFormatting sqref="B1355:B1356">
    <cfRule type="cellIs" dxfId="313" priority="35" operator="equal">
      <formula>0</formula>
    </cfRule>
    <cfRule type="cellIs" dxfId="312" priority="36" operator="equal">
      <formula>"VACIO"</formula>
    </cfRule>
  </conditionalFormatting>
  <conditionalFormatting sqref="B1366">
    <cfRule type="cellIs" dxfId="311" priority="33" operator="equal">
      <formula>0</formula>
    </cfRule>
    <cfRule type="cellIs" dxfId="310" priority="34" operator="equal">
      <formula>"VACIO"</formula>
    </cfRule>
  </conditionalFormatting>
  <conditionalFormatting sqref="B1368">
    <cfRule type="cellIs" dxfId="309" priority="31" operator="equal">
      <formula>0</formula>
    </cfRule>
    <cfRule type="cellIs" dxfId="308" priority="32" operator="equal">
      <formula>"VACIO"</formula>
    </cfRule>
  </conditionalFormatting>
  <conditionalFormatting sqref="B1370">
    <cfRule type="cellIs" dxfId="307" priority="29" operator="equal">
      <formula>0</formula>
    </cfRule>
    <cfRule type="cellIs" dxfId="306" priority="30" operator="equal">
      <formula>"VACIO"</formula>
    </cfRule>
  </conditionalFormatting>
  <conditionalFormatting sqref="B1374:B1375">
    <cfRule type="cellIs" dxfId="305" priority="23" operator="equal">
      <formula>0</formula>
    </cfRule>
    <cfRule type="cellIs" dxfId="304" priority="24" operator="equal">
      <formula>"VACIO"</formula>
    </cfRule>
  </conditionalFormatting>
  <conditionalFormatting sqref="B1385">
    <cfRule type="cellIs" dxfId="303" priority="21" operator="equal">
      <formula>0</formula>
    </cfRule>
    <cfRule type="cellIs" dxfId="302" priority="22" operator="equal">
      <formula>"VACIO"</formula>
    </cfRule>
  </conditionalFormatting>
  <conditionalFormatting sqref="B1387">
    <cfRule type="cellIs" dxfId="301" priority="19" operator="equal">
      <formula>0</formula>
    </cfRule>
    <cfRule type="cellIs" dxfId="300" priority="20" operator="equal">
      <formula>"VACIO"</formula>
    </cfRule>
  </conditionalFormatting>
  <conditionalFormatting sqref="B1389">
    <cfRule type="cellIs" dxfId="299" priority="17" operator="equal">
      <formula>0</formula>
    </cfRule>
    <cfRule type="cellIs" dxfId="298" priority="18" operator="equal">
      <formula>"VACIO"</formula>
    </cfRule>
  </conditionalFormatting>
  <conditionalFormatting sqref="B1393:B1394">
    <cfRule type="cellIs" dxfId="297" priority="11" operator="equal">
      <formula>0</formula>
    </cfRule>
    <cfRule type="cellIs" dxfId="296" priority="12" operator="equal">
      <formula>"VACIO"</formula>
    </cfRule>
  </conditionalFormatting>
  <conditionalFormatting sqref="B1404">
    <cfRule type="cellIs" dxfId="295" priority="9" operator="equal">
      <formula>0</formula>
    </cfRule>
    <cfRule type="cellIs" dxfId="294" priority="10" operator="equal">
      <formula>"VACIO"</formula>
    </cfRule>
  </conditionalFormatting>
  <conditionalFormatting sqref="B1406">
    <cfRule type="cellIs" dxfId="293" priority="7" operator="equal">
      <formula>0</formula>
    </cfRule>
    <cfRule type="cellIs" dxfId="292" priority="8" operator="equal">
      <formula>"VACIO"</formula>
    </cfRule>
  </conditionalFormatting>
  <conditionalFormatting sqref="B1408">
    <cfRule type="cellIs" dxfId="291" priority="5" operator="equal">
      <formula>0</formula>
    </cfRule>
    <cfRule type="cellIs" dxfId="290" priority="6" operator="equal">
      <formula>"VACIO"</formula>
    </cfRule>
  </conditionalFormatting>
  <conditionalFormatting sqref="B1414:B1415">
    <cfRule type="cellIs" dxfId="289" priority="347" operator="equal">
      <formula>0</formula>
    </cfRule>
    <cfRule type="cellIs" dxfId="288" priority="348" operator="equal">
      <formula>"VACIO"</formula>
    </cfRule>
  </conditionalFormatting>
  <conditionalFormatting sqref="B1420">
    <cfRule type="cellIs" dxfId="287" priority="345" operator="equal">
      <formula>0</formula>
    </cfRule>
    <cfRule type="cellIs" dxfId="286" priority="346" operator="equal">
      <formula>"VACIO"</formula>
    </cfRule>
  </conditionalFormatting>
  <conditionalFormatting sqref="B1422">
    <cfRule type="cellIs" dxfId="285" priority="343" operator="equal">
      <formula>0</formula>
    </cfRule>
    <cfRule type="cellIs" dxfId="284" priority="344" operator="equal">
      <formula>"VACIO"</formula>
    </cfRule>
  </conditionalFormatting>
  <conditionalFormatting sqref="B1424">
    <cfRule type="cellIs" dxfId="283" priority="341" operator="equal">
      <formula>0</formula>
    </cfRule>
    <cfRule type="cellIs" dxfId="282" priority="342" operator="equal">
      <formula>"VACIO"</formula>
    </cfRule>
  </conditionalFormatting>
  <conditionalFormatting sqref="B1433:B1434">
    <cfRule type="cellIs" dxfId="281" priority="47" operator="equal">
      <formula>0</formula>
    </cfRule>
    <cfRule type="cellIs" dxfId="280" priority="48" operator="equal">
      <formula>"VACIO"</formula>
    </cfRule>
  </conditionalFormatting>
  <conditionalFormatting sqref="B1439">
    <cfRule type="cellIs" dxfId="279" priority="45" operator="equal">
      <formula>0</formula>
    </cfRule>
    <cfRule type="cellIs" dxfId="278" priority="46" operator="equal">
      <formula>"VACIO"</formula>
    </cfRule>
  </conditionalFormatting>
  <conditionalFormatting sqref="B1441">
    <cfRule type="cellIs" dxfId="277" priority="43" operator="equal">
      <formula>0</formula>
    </cfRule>
    <cfRule type="cellIs" dxfId="276" priority="44" operator="equal">
      <formula>"VACIO"</formula>
    </cfRule>
  </conditionalFormatting>
  <conditionalFormatting sqref="B1443">
    <cfRule type="cellIs" dxfId="275" priority="41" operator="equal">
      <formula>0</formula>
    </cfRule>
    <cfRule type="cellIs" dxfId="274" priority="42" operator="equal">
      <formula>"VACIO"</formula>
    </cfRule>
  </conditionalFormatting>
  <conditionalFormatting sqref="C35">
    <cfRule type="cellIs" dxfId="273" priority="1279" operator="equal">
      <formula>0</formula>
    </cfRule>
    <cfRule type="cellIs" dxfId="272" priority="1280" operator="equal">
      <formula>"VACIO"</formula>
    </cfRule>
  </conditionalFormatting>
  <conditionalFormatting sqref="C52">
    <cfRule type="cellIs" dxfId="271" priority="335" operator="equal">
      <formula>0</formula>
    </cfRule>
    <cfRule type="cellIs" dxfId="270" priority="336" operator="equal">
      <formula>"VACIO"</formula>
    </cfRule>
  </conditionalFormatting>
  <conditionalFormatting sqref="C71">
    <cfRule type="cellIs" dxfId="269" priority="333" operator="equal">
      <formula>0</formula>
    </cfRule>
    <cfRule type="cellIs" dxfId="268" priority="334" operator="equal">
      <formula>"VACIO"</formula>
    </cfRule>
  </conditionalFormatting>
  <conditionalFormatting sqref="C88">
    <cfRule type="cellIs" dxfId="267" priority="331" operator="equal">
      <formula>0</formula>
    </cfRule>
    <cfRule type="cellIs" dxfId="266" priority="332" operator="equal">
      <formula>"VACIO"</formula>
    </cfRule>
  </conditionalFormatting>
  <conditionalFormatting sqref="C104">
    <cfRule type="cellIs" dxfId="265" priority="329" operator="equal">
      <formula>0</formula>
    </cfRule>
    <cfRule type="cellIs" dxfId="264" priority="330" operator="equal">
      <formula>"VACIO"</formula>
    </cfRule>
  </conditionalFormatting>
  <conditionalFormatting sqref="C125">
    <cfRule type="cellIs" dxfId="263" priority="327" operator="equal">
      <formula>0</formula>
    </cfRule>
    <cfRule type="cellIs" dxfId="262" priority="328" operator="equal">
      <formula>"VACIO"</formula>
    </cfRule>
  </conditionalFormatting>
  <conditionalFormatting sqref="C142">
    <cfRule type="cellIs" dxfId="261" priority="325" operator="equal">
      <formula>0</formula>
    </cfRule>
    <cfRule type="cellIs" dxfId="260" priority="326" operator="equal">
      <formula>"VACIO"</formula>
    </cfRule>
  </conditionalFormatting>
  <conditionalFormatting sqref="C160">
    <cfRule type="cellIs" dxfId="259" priority="323" operator="equal">
      <formula>0</formula>
    </cfRule>
    <cfRule type="cellIs" dxfId="258" priority="324" operator="equal">
      <formula>"VACIO"</formula>
    </cfRule>
  </conditionalFormatting>
  <conditionalFormatting sqref="C179">
    <cfRule type="cellIs" dxfId="257" priority="321" operator="equal">
      <formula>0</formula>
    </cfRule>
    <cfRule type="cellIs" dxfId="256" priority="322" operator="equal">
      <formula>"VACIO"</formula>
    </cfRule>
  </conditionalFormatting>
  <conditionalFormatting sqref="C202">
    <cfRule type="cellIs" dxfId="255" priority="319" operator="equal">
      <formula>0</formula>
    </cfRule>
    <cfRule type="cellIs" dxfId="254" priority="320" operator="equal">
      <formula>"VACIO"</formula>
    </cfRule>
  </conditionalFormatting>
  <conditionalFormatting sqref="C220">
    <cfRule type="cellIs" dxfId="253" priority="317" operator="equal">
      <formula>0</formula>
    </cfRule>
    <cfRule type="cellIs" dxfId="252" priority="318" operator="equal">
      <formula>"VACIO"</formula>
    </cfRule>
  </conditionalFormatting>
  <conditionalFormatting sqref="C241">
    <cfRule type="cellIs" dxfId="251" priority="315" operator="equal">
      <formula>0</formula>
    </cfRule>
    <cfRule type="cellIs" dxfId="250" priority="316" operator="equal">
      <formula>"VACIO"</formula>
    </cfRule>
  </conditionalFormatting>
  <conditionalFormatting sqref="C258">
    <cfRule type="cellIs" dxfId="249" priority="313" operator="equal">
      <formula>0</formula>
    </cfRule>
    <cfRule type="cellIs" dxfId="248" priority="314" operator="equal">
      <formula>"VACIO"</formula>
    </cfRule>
  </conditionalFormatting>
  <conditionalFormatting sqref="C275">
    <cfRule type="cellIs" dxfId="247" priority="311" operator="equal">
      <formula>0</formula>
    </cfRule>
    <cfRule type="cellIs" dxfId="246" priority="312" operator="equal">
      <formula>"VACIO"</formula>
    </cfRule>
  </conditionalFormatting>
  <conditionalFormatting sqref="C291">
    <cfRule type="cellIs" dxfId="245" priority="309" operator="equal">
      <formula>0</formula>
    </cfRule>
    <cfRule type="cellIs" dxfId="244" priority="310" operator="equal">
      <formula>"VACIO"</formula>
    </cfRule>
  </conditionalFormatting>
  <conditionalFormatting sqref="C307">
    <cfRule type="cellIs" dxfId="243" priority="307" operator="equal">
      <formula>0</formula>
    </cfRule>
    <cfRule type="cellIs" dxfId="242" priority="308" operator="equal">
      <formula>"VACIO"</formula>
    </cfRule>
  </conditionalFormatting>
  <conditionalFormatting sqref="C322">
    <cfRule type="cellIs" dxfId="241" priority="305" operator="equal">
      <formula>0</formula>
    </cfRule>
    <cfRule type="cellIs" dxfId="240" priority="306" operator="equal">
      <formula>"VACIO"</formula>
    </cfRule>
  </conditionalFormatting>
  <conditionalFormatting sqref="C340">
    <cfRule type="cellIs" dxfId="239" priority="211" operator="equal">
      <formula>0</formula>
    </cfRule>
    <cfRule type="cellIs" dxfId="238" priority="212" operator="equal">
      <formula>"VACIO"</formula>
    </cfRule>
  </conditionalFormatting>
  <conditionalFormatting sqref="C357">
    <cfRule type="cellIs" dxfId="237" priority="303" operator="equal">
      <formula>0</formula>
    </cfRule>
    <cfRule type="cellIs" dxfId="236" priority="304" operator="equal">
      <formula>"VACIO"</formula>
    </cfRule>
  </conditionalFormatting>
  <conditionalFormatting sqref="C375">
    <cfRule type="cellIs" dxfId="235" priority="301" operator="equal">
      <formula>0</formula>
    </cfRule>
    <cfRule type="cellIs" dxfId="234" priority="302" operator="equal">
      <formula>"VACIO"</formula>
    </cfRule>
  </conditionalFormatting>
  <conditionalFormatting sqref="C394">
    <cfRule type="cellIs" dxfId="233" priority="299" operator="equal">
      <formula>0</formula>
    </cfRule>
    <cfRule type="cellIs" dxfId="232" priority="300" operator="equal">
      <formula>"VACIO"</formula>
    </cfRule>
  </conditionalFormatting>
  <conditionalFormatting sqref="C413">
    <cfRule type="cellIs" dxfId="231" priority="297" operator="equal">
      <formula>0</formula>
    </cfRule>
    <cfRule type="cellIs" dxfId="230" priority="298" operator="equal">
      <formula>"VACIO"</formula>
    </cfRule>
  </conditionalFormatting>
  <conditionalFormatting sqref="C433">
    <cfRule type="cellIs" dxfId="229" priority="198" operator="equal">
      <formula>0</formula>
    </cfRule>
    <cfRule type="cellIs" dxfId="228" priority="199" operator="equal">
      <formula>"VACIO"</formula>
    </cfRule>
  </conditionalFormatting>
  <conditionalFormatting sqref="C453">
    <cfRule type="cellIs" dxfId="227" priority="295" operator="equal">
      <formula>0</formula>
    </cfRule>
    <cfRule type="cellIs" dxfId="226" priority="296" operator="equal">
      <formula>"VACIO"</formula>
    </cfRule>
  </conditionalFormatting>
  <conditionalFormatting sqref="C474">
    <cfRule type="cellIs" dxfId="225" priority="293" operator="equal">
      <formula>0</formula>
    </cfRule>
    <cfRule type="cellIs" dxfId="224" priority="294" operator="equal">
      <formula>"VACIO"</formula>
    </cfRule>
  </conditionalFormatting>
  <conditionalFormatting sqref="C495">
    <cfRule type="cellIs" dxfId="223" priority="291" operator="equal">
      <formula>0</formula>
    </cfRule>
    <cfRule type="cellIs" dxfId="222" priority="292" operator="equal">
      <formula>"VACIO"</formula>
    </cfRule>
  </conditionalFormatting>
  <conditionalFormatting sqref="C516">
    <cfRule type="cellIs" dxfId="221" priority="289" operator="equal">
      <formula>0</formula>
    </cfRule>
    <cfRule type="cellIs" dxfId="220" priority="290" operator="equal">
      <formula>"VACIO"</formula>
    </cfRule>
  </conditionalFormatting>
  <conditionalFormatting sqref="C537">
    <cfRule type="cellIs" dxfId="219" priority="287" operator="equal">
      <formula>0</formula>
    </cfRule>
    <cfRule type="cellIs" dxfId="218" priority="288" operator="equal">
      <formula>"VACIO"</formula>
    </cfRule>
  </conditionalFormatting>
  <conditionalFormatting sqref="C556">
    <cfRule type="cellIs" dxfId="217" priority="285" operator="equal">
      <formula>0</formula>
    </cfRule>
    <cfRule type="cellIs" dxfId="216" priority="286" operator="equal">
      <formula>"VACIO"</formula>
    </cfRule>
  </conditionalFormatting>
  <conditionalFormatting sqref="C575">
    <cfRule type="cellIs" dxfId="215" priority="283" operator="equal">
      <formula>0</formula>
    </cfRule>
    <cfRule type="cellIs" dxfId="214" priority="284" operator="equal">
      <formula>"VACIO"</formula>
    </cfRule>
  </conditionalFormatting>
  <conditionalFormatting sqref="C594">
    <cfRule type="cellIs" dxfId="213" priority="281" operator="equal">
      <formula>0</formula>
    </cfRule>
    <cfRule type="cellIs" dxfId="212" priority="282" operator="equal">
      <formula>"VACIO"</formula>
    </cfRule>
  </conditionalFormatting>
  <conditionalFormatting sqref="C613">
    <cfRule type="cellIs" dxfId="211" priority="279" operator="equal">
      <formula>0</formula>
    </cfRule>
    <cfRule type="cellIs" dxfId="210" priority="280" operator="equal">
      <formula>"VACIO"</formula>
    </cfRule>
  </conditionalFormatting>
  <conditionalFormatting sqref="C634">
    <cfRule type="cellIs" dxfId="209" priority="277" operator="equal">
      <formula>0</formula>
    </cfRule>
    <cfRule type="cellIs" dxfId="208" priority="278" operator="equal">
      <formula>"VACIO"</formula>
    </cfRule>
  </conditionalFormatting>
  <conditionalFormatting sqref="C655">
    <cfRule type="cellIs" dxfId="207" priority="275" operator="equal">
      <formula>0</formula>
    </cfRule>
    <cfRule type="cellIs" dxfId="206" priority="276" operator="equal">
      <formula>"VACIO"</formula>
    </cfRule>
  </conditionalFormatting>
  <conditionalFormatting sqref="C675">
    <cfRule type="cellIs" dxfId="205" priority="273" operator="equal">
      <formula>0</formula>
    </cfRule>
    <cfRule type="cellIs" dxfId="204" priority="274" operator="equal">
      <formula>"VACIO"</formula>
    </cfRule>
  </conditionalFormatting>
  <conditionalFormatting sqref="C695">
    <cfRule type="cellIs" dxfId="203" priority="271" operator="equal">
      <formula>0</formula>
    </cfRule>
    <cfRule type="cellIs" dxfId="202" priority="272" operator="equal">
      <formula>"VACIO"</formula>
    </cfRule>
  </conditionalFormatting>
  <conditionalFormatting sqref="C712">
    <cfRule type="cellIs" dxfId="201" priority="269" operator="equal">
      <formula>0</formula>
    </cfRule>
    <cfRule type="cellIs" dxfId="200" priority="270" operator="equal">
      <formula>"VACIO"</formula>
    </cfRule>
  </conditionalFormatting>
  <conditionalFormatting sqref="C733">
    <cfRule type="cellIs" dxfId="199" priority="173" operator="equal">
      <formula>0</formula>
    </cfRule>
    <cfRule type="cellIs" dxfId="198" priority="174" operator="equal">
      <formula>"VACIO"</formula>
    </cfRule>
  </conditionalFormatting>
  <conditionalFormatting sqref="C754">
    <cfRule type="cellIs" dxfId="197" priority="160" operator="equal">
      <formula>0</formula>
    </cfRule>
    <cfRule type="cellIs" dxfId="196" priority="161" operator="equal">
      <formula>"VACIO"</formula>
    </cfRule>
  </conditionalFormatting>
  <conditionalFormatting sqref="C775">
    <cfRule type="cellIs" dxfId="195" priority="147" operator="equal">
      <formula>0</formula>
    </cfRule>
    <cfRule type="cellIs" dxfId="194" priority="148" operator="equal">
      <formula>"VACIO"</formula>
    </cfRule>
  </conditionalFormatting>
  <conditionalFormatting sqref="C796">
    <cfRule type="cellIs" dxfId="193" priority="267" operator="equal">
      <formula>0</formula>
    </cfRule>
    <cfRule type="cellIs" dxfId="192" priority="268" operator="equal">
      <formula>"VACIO"</formula>
    </cfRule>
  </conditionalFormatting>
  <conditionalFormatting sqref="C819">
    <cfRule type="cellIs" dxfId="191" priority="265" operator="equal">
      <formula>0</formula>
    </cfRule>
    <cfRule type="cellIs" dxfId="190" priority="266" operator="equal">
      <formula>"VACIO"</formula>
    </cfRule>
  </conditionalFormatting>
  <conditionalFormatting sqref="C842">
    <cfRule type="cellIs" dxfId="189" priority="263" operator="equal">
      <formula>0</formula>
    </cfRule>
    <cfRule type="cellIs" dxfId="188" priority="264" operator="equal">
      <formula>"VACIO"</formula>
    </cfRule>
  </conditionalFormatting>
  <conditionalFormatting sqref="C865">
    <cfRule type="cellIs" dxfId="187" priority="133" operator="equal">
      <formula>0</formula>
    </cfRule>
    <cfRule type="cellIs" dxfId="186" priority="134" operator="equal">
      <formula>"VACIO"</formula>
    </cfRule>
  </conditionalFormatting>
  <conditionalFormatting sqref="C889">
    <cfRule type="cellIs" dxfId="185" priority="259" operator="equal">
      <formula>0</formula>
    </cfRule>
    <cfRule type="cellIs" dxfId="184" priority="260" operator="equal">
      <formula>"VACIO"</formula>
    </cfRule>
  </conditionalFormatting>
  <conditionalFormatting sqref="C913">
    <cfRule type="cellIs" dxfId="183" priority="257" operator="equal">
      <formula>0</formula>
    </cfRule>
    <cfRule type="cellIs" dxfId="182" priority="258" operator="equal">
      <formula>"VACIO"</formula>
    </cfRule>
  </conditionalFormatting>
  <conditionalFormatting sqref="C937">
    <cfRule type="cellIs" dxfId="181" priority="251" operator="equal">
      <formula>0</formula>
    </cfRule>
    <cfRule type="cellIs" dxfId="180" priority="252" operator="equal">
      <formula>"VACIO"</formula>
    </cfRule>
  </conditionalFormatting>
  <conditionalFormatting sqref="C960">
    <cfRule type="cellIs" dxfId="179" priority="249" operator="equal">
      <formula>0</formula>
    </cfRule>
    <cfRule type="cellIs" dxfId="178" priority="250" operator="equal">
      <formula>"VACIO"</formula>
    </cfRule>
  </conditionalFormatting>
  <conditionalFormatting sqref="C983">
    <cfRule type="cellIs" dxfId="177" priority="247" operator="equal">
      <formula>0</formula>
    </cfRule>
    <cfRule type="cellIs" dxfId="176" priority="248" operator="equal">
      <formula>"VACIO"</formula>
    </cfRule>
  </conditionalFormatting>
  <conditionalFormatting sqref="C1011">
    <cfRule type="cellIs" dxfId="175" priority="243" operator="equal">
      <formula>0</formula>
    </cfRule>
    <cfRule type="cellIs" dxfId="174" priority="244" operator="equal">
      <formula>"VACIO"</formula>
    </cfRule>
  </conditionalFormatting>
  <conditionalFormatting sqref="C1034">
    <cfRule type="cellIs" dxfId="173" priority="241" operator="equal">
      <formula>0</formula>
    </cfRule>
    <cfRule type="cellIs" dxfId="172" priority="242" operator="equal">
      <formula>"VACIO"</formula>
    </cfRule>
  </conditionalFormatting>
  <conditionalFormatting sqref="C1057">
    <cfRule type="cellIs" dxfId="171" priority="239" operator="equal">
      <formula>0</formula>
    </cfRule>
    <cfRule type="cellIs" dxfId="170" priority="240" operator="equal">
      <formula>"VACIO"</formula>
    </cfRule>
  </conditionalFormatting>
  <conditionalFormatting sqref="C1080">
    <cfRule type="cellIs" dxfId="169" priority="115" operator="equal">
      <formula>0</formula>
    </cfRule>
    <cfRule type="cellIs" dxfId="168" priority="116" operator="equal">
      <formula>"VACIO"</formula>
    </cfRule>
  </conditionalFormatting>
  <conditionalFormatting sqref="C1099">
    <cfRule type="cellIs" dxfId="167" priority="103" operator="equal">
      <formula>0</formula>
    </cfRule>
    <cfRule type="cellIs" dxfId="166" priority="104" operator="equal">
      <formula>"VACIO"</formula>
    </cfRule>
  </conditionalFormatting>
  <conditionalFormatting sqref="C1118">
    <cfRule type="cellIs" dxfId="165" priority="91" operator="equal">
      <formula>0</formula>
    </cfRule>
    <cfRule type="cellIs" dxfId="164" priority="92" operator="equal">
      <formula>"VACIO"</formula>
    </cfRule>
  </conditionalFormatting>
  <conditionalFormatting sqref="C1139">
    <cfRule type="cellIs" dxfId="163" priority="237" operator="equal">
      <formula>0</formula>
    </cfRule>
    <cfRule type="cellIs" dxfId="162" priority="238" operator="equal">
      <formula>"VACIO"</formula>
    </cfRule>
  </conditionalFormatting>
  <conditionalFormatting sqref="C1162">
    <cfRule type="cellIs" dxfId="161" priority="235" operator="equal">
      <formula>0</formula>
    </cfRule>
    <cfRule type="cellIs" dxfId="160" priority="236" operator="equal">
      <formula>"VACIO"</formula>
    </cfRule>
  </conditionalFormatting>
  <conditionalFormatting sqref="C1185">
    <cfRule type="cellIs" dxfId="159" priority="233" operator="equal">
      <formula>0</formula>
    </cfRule>
    <cfRule type="cellIs" dxfId="158" priority="234" operator="equal">
      <formula>"VACIO"</formula>
    </cfRule>
  </conditionalFormatting>
  <conditionalFormatting sqref="C1208">
    <cfRule type="cellIs" dxfId="157" priority="231" operator="equal">
      <formula>0</formula>
    </cfRule>
    <cfRule type="cellIs" dxfId="156" priority="232" operator="equal">
      <formula>"VACIO"</formula>
    </cfRule>
  </conditionalFormatting>
  <conditionalFormatting sqref="C1231">
    <cfRule type="cellIs" dxfId="155" priority="229" operator="equal">
      <formula>0</formula>
    </cfRule>
    <cfRule type="cellIs" dxfId="154" priority="230" operator="equal">
      <formula>"VACIO"</formula>
    </cfRule>
  </conditionalFormatting>
  <conditionalFormatting sqref="C1254">
    <cfRule type="cellIs" dxfId="153" priority="227" operator="equal">
      <formula>0</formula>
    </cfRule>
    <cfRule type="cellIs" dxfId="152" priority="228" operator="equal">
      <formula>"VACIO"</formula>
    </cfRule>
  </conditionalFormatting>
  <conditionalFormatting sqref="C1276">
    <cfRule type="cellIs" dxfId="151" priority="79" operator="equal">
      <formula>0</formula>
    </cfRule>
    <cfRule type="cellIs" dxfId="150" priority="80" operator="equal">
      <formula>"VACIO"</formula>
    </cfRule>
  </conditionalFormatting>
  <conditionalFormatting sqref="C1295">
    <cfRule type="cellIs" dxfId="149" priority="67" operator="equal">
      <formula>0</formula>
    </cfRule>
    <cfRule type="cellIs" dxfId="148" priority="68" operator="equal">
      <formula>"VACIO"</formula>
    </cfRule>
  </conditionalFormatting>
  <conditionalFormatting sqref="C1314">
    <cfRule type="cellIs" dxfId="147" priority="55" operator="equal">
      <formula>0</formula>
    </cfRule>
    <cfRule type="cellIs" dxfId="146" priority="56" operator="equal">
      <formula>"VACIO"</formula>
    </cfRule>
  </conditionalFormatting>
  <conditionalFormatting sqref="C1336">
    <cfRule type="cellIs" dxfId="145" priority="186" operator="equal">
      <formula>0</formula>
    </cfRule>
    <cfRule type="cellIs" dxfId="144" priority="187" operator="equal">
      <formula>"VACIO"</formula>
    </cfRule>
  </conditionalFormatting>
  <conditionalFormatting sqref="C1355">
    <cfRule type="cellIs" dxfId="143" priority="25" operator="equal">
      <formula>0</formula>
    </cfRule>
    <cfRule type="cellIs" dxfId="142" priority="26" operator="equal">
      <formula>"VACIO"</formula>
    </cfRule>
  </conditionalFormatting>
  <conditionalFormatting sqref="C1374">
    <cfRule type="cellIs" dxfId="141" priority="13" operator="equal">
      <formula>0</formula>
    </cfRule>
    <cfRule type="cellIs" dxfId="140" priority="14" operator="equal">
      <formula>"VACIO"</formula>
    </cfRule>
  </conditionalFormatting>
  <conditionalFormatting sqref="C1393">
    <cfRule type="cellIs" dxfId="139" priority="1" operator="equal">
      <formula>0</formula>
    </cfRule>
    <cfRule type="cellIs" dxfId="138" priority="2" operator="equal">
      <formula>"VACIO"</formula>
    </cfRule>
  </conditionalFormatting>
  <conditionalFormatting sqref="C1414">
    <cfRule type="cellIs" dxfId="137" priority="225" operator="equal">
      <formula>0</formula>
    </cfRule>
    <cfRule type="cellIs" dxfId="136" priority="226" operator="equal">
      <formula>"VACIO"</formula>
    </cfRule>
  </conditionalFormatting>
  <conditionalFormatting sqref="C1433">
    <cfRule type="cellIs" dxfId="135" priority="37" operator="equal">
      <formula>0</formula>
    </cfRule>
    <cfRule type="cellIs" dxfId="134" priority="38" operator="equal">
      <formula>"VACIO"</formula>
    </cfRule>
  </conditionalFormatting>
  <conditionalFormatting sqref="D15">
    <cfRule type="cellIs" dxfId="133" priority="2732" stopIfTrue="1" operator="equal">
      <formula>"casilla disponible"</formula>
    </cfRule>
  </conditionalFormatting>
  <conditionalFormatting sqref="D32">
    <cfRule type="cellIs" dxfId="132" priority="2721" stopIfTrue="1" operator="equal">
      <formula>"casilla disponible"</formula>
    </cfRule>
  </conditionalFormatting>
  <conditionalFormatting sqref="D49">
    <cfRule type="cellIs" dxfId="131" priority="2710" stopIfTrue="1" operator="equal">
      <formula>"casilla disponible"</formula>
    </cfRule>
  </conditionalFormatting>
  <conditionalFormatting sqref="D68">
    <cfRule type="cellIs" dxfId="130" priority="2699" stopIfTrue="1" operator="equal">
      <formula>"casilla disponible"</formula>
    </cfRule>
  </conditionalFormatting>
  <conditionalFormatting sqref="D85">
    <cfRule type="cellIs" dxfId="129" priority="2688" stopIfTrue="1" operator="equal">
      <formula>"casilla disponible"</formula>
    </cfRule>
  </conditionalFormatting>
  <conditionalFormatting sqref="D101">
    <cfRule type="cellIs" dxfId="128" priority="2677" stopIfTrue="1" operator="equal">
      <formula>"casilla disponible"</formula>
    </cfRule>
  </conditionalFormatting>
  <conditionalFormatting sqref="D121">
    <cfRule type="cellIs" dxfId="127" priority="2655" stopIfTrue="1" operator="equal">
      <formula>"casilla disponible"</formula>
    </cfRule>
  </conditionalFormatting>
  <conditionalFormatting sqref="D139">
    <cfRule type="cellIs" dxfId="126" priority="2644" stopIfTrue="1" operator="equal">
      <formula>"casilla disponible"</formula>
    </cfRule>
  </conditionalFormatting>
  <conditionalFormatting sqref="D157">
    <cfRule type="cellIs" dxfId="125" priority="2633" stopIfTrue="1" operator="equal">
      <formula>"casilla disponible"</formula>
    </cfRule>
  </conditionalFormatting>
  <conditionalFormatting sqref="D176">
    <cfRule type="cellIs" dxfId="124" priority="934" stopIfTrue="1" operator="equal">
      <formula>"casilla disponible"</formula>
    </cfRule>
  </conditionalFormatting>
  <conditionalFormatting sqref="D199">
    <cfRule type="cellIs" dxfId="123" priority="921" stopIfTrue="1" operator="equal">
      <formula>"casilla disponible"</formula>
    </cfRule>
  </conditionalFormatting>
  <conditionalFormatting sqref="D217">
    <cfRule type="cellIs" dxfId="122" priority="908" stopIfTrue="1" operator="equal">
      <formula>"casilla disponible"</formula>
    </cfRule>
  </conditionalFormatting>
  <conditionalFormatting sqref="D238">
    <cfRule type="cellIs" dxfId="121" priority="895" stopIfTrue="1" operator="equal">
      <formula>"casilla disponible"</formula>
    </cfRule>
  </conditionalFormatting>
  <conditionalFormatting sqref="D255">
    <cfRule type="cellIs" dxfId="120" priority="882" stopIfTrue="1" operator="equal">
      <formula>"casilla disponible"</formula>
    </cfRule>
  </conditionalFormatting>
  <conditionalFormatting sqref="D272">
    <cfRule type="cellIs" dxfId="119" priority="869" stopIfTrue="1" operator="equal">
      <formula>"casilla disponible"</formula>
    </cfRule>
  </conditionalFormatting>
  <conditionalFormatting sqref="D288">
    <cfRule type="cellIs" dxfId="118" priority="2611" stopIfTrue="1" operator="equal">
      <formula>"casilla disponible"</formula>
    </cfRule>
  </conditionalFormatting>
  <conditionalFormatting sqref="D304">
    <cfRule type="cellIs" dxfId="117" priority="2600" stopIfTrue="1" operator="equal">
      <formula>"casilla disponible"</formula>
    </cfRule>
  </conditionalFormatting>
  <conditionalFormatting sqref="D319">
    <cfRule type="cellIs" dxfId="116" priority="2589" stopIfTrue="1" operator="equal">
      <formula>"casilla disponible"</formula>
    </cfRule>
  </conditionalFormatting>
  <conditionalFormatting sqref="D337">
    <cfRule type="cellIs" dxfId="115" priority="2578" stopIfTrue="1" operator="equal">
      <formula>"casilla disponible"</formula>
    </cfRule>
  </conditionalFormatting>
  <conditionalFormatting sqref="D354">
    <cfRule type="cellIs" dxfId="114" priority="223" stopIfTrue="1" operator="equal">
      <formula>"casilla disponible"</formula>
    </cfRule>
  </conditionalFormatting>
  <conditionalFormatting sqref="D372">
    <cfRule type="cellIs" dxfId="113" priority="856" stopIfTrue="1" operator="equal">
      <formula>"casilla disponible"</formula>
    </cfRule>
  </conditionalFormatting>
  <conditionalFormatting sqref="D391">
    <cfRule type="cellIs" dxfId="112" priority="843" stopIfTrue="1" operator="equal">
      <formula>"casilla disponible"</formula>
    </cfRule>
  </conditionalFormatting>
  <conditionalFormatting sqref="D410">
    <cfRule type="cellIs" dxfId="111" priority="830" stopIfTrue="1" operator="equal">
      <formula>"casilla disponible"</formula>
    </cfRule>
  </conditionalFormatting>
  <conditionalFormatting sqref="D430">
    <cfRule type="cellIs" dxfId="110" priority="817" stopIfTrue="1" operator="equal">
      <formula>"casilla disponible"</formula>
    </cfRule>
  </conditionalFormatting>
  <conditionalFormatting sqref="D449">
    <cfRule type="cellIs" dxfId="109" priority="210" stopIfTrue="1" operator="equal">
      <formula>"casilla disponible"</formula>
    </cfRule>
  </conditionalFormatting>
  <conditionalFormatting sqref="D471">
    <cfRule type="cellIs" dxfId="108" priority="804" stopIfTrue="1" operator="equal">
      <formula>"casilla disponible"</formula>
    </cfRule>
  </conditionalFormatting>
  <conditionalFormatting sqref="D492">
    <cfRule type="cellIs" dxfId="107" priority="791" stopIfTrue="1" operator="equal">
      <formula>"casilla disponible"</formula>
    </cfRule>
  </conditionalFormatting>
  <conditionalFormatting sqref="D513">
    <cfRule type="cellIs" dxfId="106" priority="778" stopIfTrue="1" operator="equal">
      <formula>"casilla disponible"</formula>
    </cfRule>
  </conditionalFormatting>
  <conditionalFormatting sqref="D534">
    <cfRule type="cellIs" dxfId="105" priority="765" stopIfTrue="1" operator="equal">
      <formula>"casilla disponible"</formula>
    </cfRule>
  </conditionalFormatting>
  <conditionalFormatting sqref="D553">
    <cfRule type="cellIs" dxfId="104" priority="752" stopIfTrue="1" operator="equal">
      <formula>"casilla disponible"</formula>
    </cfRule>
  </conditionalFormatting>
  <conditionalFormatting sqref="D572">
    <cfRule type="cellIs" dxfId="103" priority="739" stopIfTrue="1" operator="equal">
      <formula>"casilla disponible"</formula>
    </cfRule>
  </conditionalFormatting>
  <conditionalFormatting sqref="D591">
    <cfRule type="cellIs" dxfId="102" priority="726" stopIfTrue="1" operator="equal">
      <formula>"casilla disponible"</formula>
    </cfRule>
  </conditionalFormatting>
  <conditionalFormatting sqref="D610">
    <cfRule type="cellIs" dxfId="101" priority="713" stopIfTrue="1" operator="equal">
      <formula>"casilla disponible"</formula>
    </cfRule>
  </conditionalFormatting>
  <conditionalFormatting sqref="D631">
    <cfRule type="cellIs" dxfId="100" priority="700" stopIfTrue="1" operator="equal">
      <formula>"casilla disponible"</formula>
    </cfRule>
  </conditionalFormatting>
  <conditionalFormatting sqref="D652">
    <cfRule type="cellIs" dxfId="99" priority="687" stopIfTrue="1" operator="equal">
      <formula>"casilla disponible"</formula>
    </cfRule>
  </conditionalFormatting>
  <conditionalFormatting sqref="D672">
    <cfRule type="cellIs" dxfId="98" priority="674" stopIfTrue="1" operator="equal">
      <formula>"casilla disponible"</formula>
    </cfRule>
  </conditionalFormatting>
  <conditionalFormatting sqref="D692">
    <cfRule type="cellIs" dxfId="97" priority="661" stopIfTrue="1" operator="equal">
      <formula>"casilla disponible"</formula>
    </cfRule>
  </conditionalFormatting>
  <conditionalFormatting sqref="D709">
    <cfRule type="cellIs" dxfId="96" priority="648" stopIfTrue="1" operator="equal">
      <formula>"casilla disponible"</formula>
    </cfRule>
  </conditionalFormatting>
  <conditionalFormatting sqref="D730">
    <cfRule type="cellIs" dxfId="95" priority="635" stopIfTrue="1" operator="equal">
      <formula>"casilla disponible"</formula>
    </cfRule>
  </conditionalFormatting>
  <conditionalFormatting sqref="D750">
    <cfRule type="cellIs" dxfId="94" priority="185" stopIfTrue="1" operator="equal">
      <formula>"casilla disponible"</formula>
    </cfRule>
  </conditionalFormatting>
  <conditionalFormatting sqref="D771">
    <cfRule type="cellIs" dxfId="93" priority="172" stopIfTrue="1" operator="equal">
      <formula>"casilla disponible"</formula>
    </cfRule>
  </conditionalFormatting>
  <conditionalFormatting sqref="D792">
    <cfRule type="cellIs" dxfId="92" priority="159" stopIfTrue="1" operator="equal">
      <formula>"casilla disponible"</formula>
    </cfRule>
  </conditionalFormatting>
  <conditionalFormatting sqref="D816">
    <cfRule type="cellIs" dxfId="91" priority="622" stopIfTrue="1" operator="equal">
      <formula>"casilla disponible"</formula>
    </cfRule>
  </conditionalFormatting>
  <conditionalFormatting sqref="D839">
    <cfRule type="cellIs" dxfId="90" priority="609" stopIfTrue="1" operator="equal">
      <formula>"casilla disponible"</formula>
    </cfRule>
  </conditionalFormatting>
  <conditionalFormatting sqref="D862">
    <cfRule type="cellIs" dxfId="89" priority="596" stopIfTrue="1" operator="equal">
      <formula>"casilla disponible"</formula>
    </cfRule>
  </conditionalFormatting>
  <conditionalFormatting sqref="D886">
    <cfRule type="cellIs" dxfId="88" priority="145" stopIfTrue="1" operator="equal">
      <formula>"casilla disponible"</formula>
    </cfRule>
  </conditionalFormatting>
  <conditionalFormatting sqref="D910">
    <cfRule type="cellIs" dxfId="87" priority="570" stopIfTrue="1" operator="equal">
      <formula>"casilla disponible"</formula>
    </cfRule>
  </conditionalFormatting>
  <conditionalFormatting sqref="D934">
    <cfRule type="cellIs" dxfId="86" priority="557" stopIfTrue="1" operator="equal">
      <formula>"casilla disponible"</formula>
    </cfRule>
  </conditionalFormatting>
  <conditionalFormatting sqref="D957">
    <cfRule type="cellIs" dxfId="85" priority="518" stopIfTrue="1" operator="equal">
      <formula>"casilla disponible"</formula>
    </cfRule>
  </conditionalFormatting>
  <conditionalFormatting sqref="D980">
    <cfRule type="cellIs" dxfId="84" priority="505" stopIfTrue="1" operator="equal">
      <formula>"casilla disponible"</formula>
    </cfRule>
  </conditionalFormatting>
  <conditionalFormatting sqref="D1002">
    <cfRule type="cellIs" dxfId="83" priority="492" stopIfTrue="1" operator="equal">
      <formula>"casilla disponible"</formula>
    </cfRule>
  </conditionalFormatting>
  <conditionalFormatting sqref="D1008">
    <cfRule type="cellIs" dxfId="82" priority="479" stopIfTrue="1" operator="equal">
      <formula>"casilla disponible"</formula>
    </cfRule>
  </conditionalFormatting>
  <conditionalFormatting sqref="D1031">
    <cfRule type="cellIs" dxfId="81" priority="466" stopIfTrue="1" operator="equal">
      <formula>"casilla disponible"</formula>
    </cfRule>
  </conditionalFormatting>
  <conditionalFormatting sqref="D1054">
    <cfRule type="cellIs" dxfId="80" priority="453" stopIfTrue="1" operator="equal">
      <formula>"casilla disponible"</formula>
    </cfRule>
  </conditionalFormatting>
  <conditionalFormatting sqref="D1077">
    <cfRule type="cellIs" dxfId="79" priority="440" stopIfTrue="1" operator="equal">
      <formula>"casilla disponible"</formula>
    </cfRule>
  </conditionalFormatting>
  <conditionalFormatting sqref="D1159">
    <cfRule type="cellIs" dxfId="78" priority="427" stopIfTrue="1" operator="equal">
      <formula>"casilla disponible"</formula>
    </cfRule>
  </conditionalFormatting>
  <conditionalFormatting sqref="D1182">
    <cfRule type="cellIs" dxfId="77" priority="414" stopIfTrue="1" operator="equal">
      <formula>"casilla disponible"</formula>
    </cfRule>
  </conditionalFormatting>
  <conditionalFormatting sqref="D1205">
    <cfRule type="cellIs" dxfId="76" priority="401" stopIfTrue="1" operator="equal">
      <formula>"casilla disponible"</formula>
    </cfRule>
  </conditionalFormatting>
  <conditionalFormatting sqref="D1228">
    <cfRule type="cellIs" dxfId="75" priority="388" stopIfTrue="1" operator="equal">
      <formula>"casilla disponible"</formula>
    </cfRule>
  </conditionalFormatting>
  <conditionalFormatting sqref="D1251">
    <cfRule type="cellIs" dxfId="74" priority="375" stopIfTrue="1" operator="equal">
      <formula>"casilla disponible"</formula>
    </cfRule>
  </conditionalFormatting>
  <conditionalFormatting sqref="D1273">
    <cfRule type="cellIs" dxfId="73" priority="362" stopIfTrue="1" operator="equal">
      <formula>"casilla disponible"</formula>
    </cfRule>
  </conditionalFormatting>
  <conditionalFormatting sqref="D1429">
    <cfRule type="cellIs" dxfId="72" priority="349" stopIfTrue="1" operator="equal">
      <formula>"casilla disponible"</formula>
    </cfRule>
  </conditionalFormatting>
  <pageMargins left="0.25" right="0.25" top="0.75" bottom="0.75" header="0.3" footer="0.3"/>
  <pageSetup paperSize="9" scale="58" fitToHeight="0" orientation="portrait" r:id="rId1"/>
  <rowBreaks count="23" manualBreakCount="23">
    <brk id="50" max="6" man="1"/>
    <brk id="103" max="6" man="1"/>
    <brk id="159" max="6" man="1"/>
    <brk id="218" max="6" man="1"/>
    <brk id="274" max="6" man="1"/>
    <brk id="356" max="6" man="1"/>
    <brk id="374" max="6" man="1"/>
    <brk id="412" max="6" man="1"/>
    <brk id="494" max="6" man="1"/>
    <brk id="555" max="6" man="1"/>
    <brk id="612" max="6" man="1"/>
    <brk id="674" max="6" man="1"/>
    <brk id="752" max="6" man="1"/>
    <brk id="795" max="6" man="1"/>
    <brk id="841" max="6" man="1"/>
    <brk id="888" max="6" man="1"/>
    <brk id="936" max="6" man="1"/>
    <brk id="1033" max="6" man="1"/>
    <brk id="1117" max="6" man="1"/>
    <brk id="1160" max="6" man="1"/>
    <brk id="1207" max="6" man="1"/>
    <brk id="1253" max="6" man="1"/>
    <brk id="1333" max="6" man="1"/>
  </rowBreak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0000000}">
          <x14:formula1>
            <xm:f>INSUMOS!$B$2:$B$253</xm:f>
          </x14:formula1>
          <xm:sqref>B3:B5 B1395:B1403 B1357:B1365 B1297:B1305 B1278:B1286 B1256:B1263 B1120:B1128 B1101:B1109 B782 B756:B761 B615:B621 B342:B344 B222:B228 B181:B182 B1233:B1241 B1210:B1218 B1187:B1195 B1164:B1172 B1141:B1149 B1059:B1067 B1036:B1044 B1013:B1021 B939:B947 B867:B875 B891:B899 B844:B852 B735:B740 B821:B829 B798:B806 B714:B720 B577:B581 B657:B662 B518:B524 B636:B642 B596:B600 B396:B400 B377:B381 B359:B362 B187:B189 B162:B166 B127:B129 B144:B147 B309 B293:B294 B277:B278 B324:B327 B106:B111 B90:B91 B37:B39 B54:B58 B20:B22 B476:B482 B962:B970 B73:B75 B205:B207 B243:B245 B415:B420 B260:B262 B1416:B1419 B435:B439 B1338:B1346 B455:B461 B497:B503 B697:B699 B915:B923 B985:B992 B1082:B1090 B1316:B1324 B1435:B1438 B1376:B1384 B539:B543 B558:B562 B677:B682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3695D9-A4C1-47A2-A7AE-DC2C616BBC9E}">
  <sheetPr>
    <tabColor rgb="FF00B050"/>
  </sheetPr>
  <dimension ref="A1"/>
  <sheetViews>
    <sheetView workbookViewId="0"/>
  </sheetViews>
  <sheetFormatPr baseColWidth="10" defaultColWidth="11" defaultRowHeight="16.5" x14ac:dyDescent="0.3"/>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50"/>
  </sheetPr>
  <dimension ref="A1:J564"/>
  <sheetViews>
    <sheetView showOutlineSymbols="0" topLeftCell="B169" zoomScaleNormal="100" zoomScaleSheetLayoutView="85" workbookViewId="0">
      <selection activeCell="D240" sqref="D240"/>
    </sheetView>
  </sheetViews>
  <sheetFormatPr baseColWidth="10" defaultColWidth="11.625" defaultRowHeight="12.75" x14ac:dyDescent="0.3"/>
  <cols>
    <col min="1" max="1" width="8.375" style="326" hidden="1" customWidth="1"/>
    <col min="2" max="2" width="43.375" style="324" customWidth="1"/>
    <col min="3" max="3" width="11.625" style="324"/>
    <col min="4" max="4" width="20.25" style="324" bestFit="1" customWidth="1"/>
    <col min="5" max="16384" width="11.625" style="324"/>
  </cols>
  <sheetData>
    <row r="1" spans="1:4" x14ac:dyDescent="0.3">
      <c r="A1" s="322" t="s">
        <v>486</v>
      </c>
      <c r="B1" s="322" t="s">
        <v>278</v>
      </c>
      <c r="C1" s="322" t="s">
        <v>7</v>
      </c>
      <c r="D1" s="323" t="s">
        <v>487</v>
      </c>
    </row>
    <row r="2" spans="1:4" x14ac:dyDescent="0.3">
      <c r="B2" s="500" t="s">
        <v>298</v>
      </c>
      <c r="C2" s="500" t="s">
        <v>15</v>
      </c>
      <c r="D2" s="329">
        <f>+'M-C'!E102</f>
        <v>391965</v>
      </c>
    </row>
    <row r="3" spans="1:4" x14ac:dyDescent="0.3">
      <c r="B3" s="500" t="s">
        <v>331</v>
      </c>
      <c r="C3" s="500" t="s">
        <v>15</v>
      </c>
      <c r="D3" s="329">
        <f>+'M-C'!E103</f>
        <v>420962.5</v>
      </c>
    </row>
    <row r="4" spans="1:4" x14ac:dyDescent="0.3">
      <c r="B4" s="500" t="s">
        <v>311</v>
      </c>
      <c r="C4" s="500" t="s">
        <v>15</v>
      </c>
      <c r="D4" s="329">
        <f>+'M-C'!E104</f>
        <v>460985</v>
      </c>
    </row>
    <row r="5" spans="1:4" x14ac:dyDescent="0.3">
      <c r="B5" s="500" t="s">
        <v>488</v>
      </c>
      <c r="C5" s="500" t="s">
        <v>15</v>
      </c>
      <c r="D5" s="329">
        <f>+'M-C'!E105</f>
        <v>505412.5</v>
      </c>
    </row>
    <row r="6" spans="1:4" x14ac:dyDescent="0.3">
      <c r="B6" s="500" t="s">
        <v>489</v>
      </c>
      <c r="C6" s="500" t="s">
        <v>15</v>
      </c>
      <c r="D6" s="329">
        <f>+'M-C'!E106</f>
        <v>539631.25</v>
      </c>
    </row>
    <row r="7" spans="1:4" x14ac:dyDescent="0.3">
      <c r="B7" s="500" t="s">
        <v>490</v>
      </c>
      <c r="C7" s="500" t="s">
        <v>15</v>
      </c>
      <c r="D7" s="329">
        <f>+'M-C'!E107</f>
        <v>657590</v>
      </c>
    </row>
    <row r="8" spans="1:4" x14ac:dyDescent="0.3">
      <c r="B8" s="500" t="s">
        <v>350</v>
      </c>
      <c r="C8" s="500" t="s">
        <v>15</v>
      </c>
      <c r="D8" s="329">
        <f>+'M-C'!E108</f>
        <v>523982.5</v>
      </c>
    </row>
    <row r="9" spans="1:4" x14ac:dyDescent="0.3">
      <c r="B9" s="500" t="s">
        <v>344</v>
      </c>
      <c r="C9" s="500" t="s">
        <v>15</v>
      </c>
      <c r="D9" s="329">
        <f>+'M-C'!E109</f>
        <v>401525</v>
      </c>
    </row>
    <row r="10" spans="1:4" x14ac:dyDescent="0.3">
      <c r="B10" s="500" t="s">
        <v>491</v>
      </c>
      <c r="C10" s="500" t="s">
        <v>15</v>
      </c>
      <c r="D10" s="329">
        <f>+'M-C'!E110</f>
        <v>353787.5</v>
      </c>
    </row>
    <row r="11" spans="1:4" ht="25.5" x14ac:dyDescent="0.3">
      <c r="B11" s="500" t="s">
        <v>319</v>
      </c>
      <c r="C11" s="500" t="s">
        <v>26</v>
      </c>
      <c r="D11" s="329">
        <v>75625</v>
      </c>
    </row>
    <row r="12" spans="1:4" x14ac:dyDescent="0.3">
      <c r="B12" s="500" t="s">
        <v>296</v>
      </c>
      <c r="C12" s="500" t="s">
        <v>315</v>
      </c>
      <c r="D12" s="329">
        <v>17000</v>
      </c>
    </row>
    <row r="13" spans="1:4" x14ac:dyDescent="0.3">
      <c r="B13" s="500" t="s">
        <v>297</v>
      </c>
      <c r="C13" s="500" t="s">
        <v>315</v>
      </c>
      <c r="D13" s="329">
        <v>238000</v>
      </c>
    </row>
    <row r="14" spans="1:4" x14ac:dyDescent="0.3">
      <c r="B14" s="500" t="s">
        <v>292</v>
      </c>
      <c r="C14" s="500" t="s">
        <v>492</v>
      </c>
      <c r="D14" s="329">
        <v>160000</v>
      </c>
    </row>
    <row r="15" spans="1:4" x14ac:dyDescent="0.3">
      <c r="B15" s="500" t="s">
        <v>279</v>
      </c>
      <c r="C15" s="500" t="s">
        <v>13</v>
      </c>
      <c r="D15" s="325">
        <v>108625.00000000001</v>
      </c>
    </row>
    <row r="16" spans="1:4" ht="25.5" x14ac:dyDescent="0.3">
      <c r="B16" s="500" t="s">
        <v>293</v>
      </c>
      <c r="C16" s="500" t="s">
        <v>15</v>
      </c>
      <c r="D16" s="325">
        <v>6187.5000000000009</v>
      </c>
    </row>
    <row r="17" spans="2:4" x14ac:dyDescent="0.3">
      <c r="B17" s="500" t="s">
        <v>483</v>
      </c>
      <c r="C17" s="500" t="s">
        <v>304</v>
      </c>
      <c r="D17" s="325">
        <v>35282.5</v>
      </c>
    </row>
    <row r="18" spans="2:4" x14ac:dyDescent="0.3">
      <c r="B18" s="500" t="s">
        <v>493</v>
      </c>
      <c r="C18" s="500" t="s">
        <v>15</v>
      </c>
      <c r="D18" s="325">
        <v>143687.50000000003</v>
      </c>
    </row>
    <row r="19" spans="2:4" x14ac:dyDescent="0.3">
      <c r="B19" s="500" t="s">
        <v>494</v>
      </c>
      <c r="C19" s="500" t="s">
        <v>187</v>
      </c>
      <c r="D19" s="325">
        <v>143687.50000000003</v>
      </c>
    </row>
    <row r="20" spans="2:4" x14ac:dyDescent="0.3">
      <c r="B20" s="500" t="s">
        <v>495</v>
      </c>
      <c r="C20" s="500" t="s">
        <v>15</v>
      </c>
      <c r="D20" s="325">
        <v>116875.00000000001</v>
      </c>
    </row>
    <row r="21" spans="2:4" x14ac:dyDescent="0.3">
      <c r="B21" s="500" t="s">
        <v>496</v>
      </c>
      <c r="C21" s="500" t="s">
        <v>15</v>
      </c>
      <c r="D21" s="325">
        <v>194906.25000000003</v>
      </c>
    </row>
    <row r="22" spans="2:4" x14ac:dyDescent="0.3">
      <c r="B22" s="500" t="s">
        <v>484</v>
      </c>
      <c r="C22" s="500" t="s">
        <v>15</v>
      </c>
      <c r="D22" s="325">
        <v>180468.75000000003</v>
      </c>
    </row>
    <row r="23" spans="2:4" x14ac:dyDescent="0.3">
      <c r="B23" s="500" t="s">
        <v>497</v>
      </c>
      <c r="C23" s="500" t="s">
        <v>15</v>
      </c>
      <c r="D23" s="325">
        <v>180468.75000000003</v>
      </c>
    </row>
    <row r="24" spans="2:4" x14ac:dyDescent="0.3">
      <c r="B24" s="500" t="s">
        <v>469</v>
      </c>
      <c r="C24" s="500" t="s">
        <v>498</v>
      </c>
      <c r="D24" s="329">
        <v>40000</v>
      </c>
    </row>
    <row r="25" spans="2:4" x14ac:dyDescent="0.3">
      <c r="B25" s="500" t="s">
        <v>499</v>
      </c>
      <c r="C25" s="500" t="s">
        <v>100</v>
      </c>
      <c r="D25" s="325">
        <v>60944.125000000007</v>
      </c>
    </row>
    <row r="26" spans="2:4" x14ac:dyDescent="0.3">
      <c r="B26" s="500" t="s">
        <v>500</v>
      </c>
      <c r="C26" s="500" t="s">
        <v>15</v>
      </c>
      <c r="D26" s="450">
        <v>133000</v>
      </c>
    </row>
    <row r="27" spans="2:4" x14ac:dyDescent="0.3">
      <c r="B27" s="500" t="s">
        <v>501</v>
      </c>
      <c r="C27" s="500" t="s">
        <v>15</v>
      </c>
      <c r="D27" s="325">
        <v>61875.000000000007</v>
      </c>
    </row>
    <row r="28" spans="2:4" x14ac:dyDescent="0.3">
      <c r="B28" s="500" t="s">
        <v>502</v>
      </c>
      <c r="C28" s="500" t="s">
        <v>15</v>
      </c>
      <c r="D28" s="325">
        <v>81812.5</v>
      </c>
    </row>
    <row r="29" spans="2:4" x14ac:dyDescent="0.3">
      <c r="B29" s="500" t="s">
        <v>503</v>
      </c>
      <c r="C29" s="500" t="s">
        <v>317</v>
      </c>
      <c r="D29" s="325">
        <v>9941.25</v>
      </c>
    </row>
    <row r="30" spans="2:4" x14ac:dyDescent="0.3">
      <c r="B30" s="500" t="s">
        <v>305</v>
      </c>
      <c r="C30" s="500" t="s">
        <v>15</v>
      </c>
      <c r="D30" s="325">
        <v>58500</v>
      </c>
    </row>
    <row r="31" spans="2:4" x14ac:dyDescent="0.3">
      <c r="B31" s="500" t="s">
        <v>306</v>
      </c>
      <c r="C31" s="500" t="s">
        <v>504</v>
      </c>
      <c r="D31" s="450">
        <v>10000</v>
      </c>
    </row>
    <row r="32" spans="2:4" x14ac:dyDescent="0.3">
      <c r="B32" s="500" t="s">
        <v>312</v>
      </c>
      <c r="C32" s="500" t="s">
        <v>315</v>
      </c>
      <c r="D32" s="450">
        <v>130000</v>
      </c>
    </row>
    <row r="33" spans="2:4" x14ac:dyDescent="0.3">
      <c r="B33" s="500" t="s">
        <v>314</v>
      </c>
      <c r="C33" s="500" t="s">
        <v>492</v>
      </c>
      <c r="D33" s="325">
        <v>20625</v>
      </c>
    </row>
    <row r="34" spans="2:4" x14ac:dyDescent="0.3">
      <c r="B34" s="500" t="s">
        <v>505</v>
      </c>
      <c r="C34" s="500" t="s">
        <v>43</v>
      </c>
      <c r="D34" s="450">
        <v>8312</v>
      </c>
    </row>
    <row r="35" spans="2:4" x14ac:dyDescent="0.3">
      <c r="B35" s="500" t="s">
        <v>332</v>
      </c>
      <c r="C35" s="500" t="s">
        <v>43</v>
      </c>
      <c r="D35" s="450">
        <v>8312</v>
      </c>
    </row>
    <row r="36" spans="2:4" x14ac:dyDescent="0.3">
      <c r="B36" s="500" t="s">
        <v>343</v>
      </c>
      <c r="C36" s="500" t="s">
        <v>43</v>
      </c>
      <c r="D36" s="450">
        <v>8312</v>
      </c>
    </row>
    <row r="37" spans="2:4" x14ac:dyDescent="0.3">
      <c r="B37" s="500" t="s">
        <v>506</v>
      </c>
      <c r="C37" s="500" t="s">
        <v>43</v>
      </c>
      <c r="D37" s="450">
        <v>8312</v>
      </c>
    </row>
    <row r="38" spans="2:4" x14ac:dyDescent="0.3">
      <c r="B38" s="500" t="s">
        <v>333</v>
      </c>
      <c r="C38" s="500" t="s">
        <v>43</v>
      </c>
      <c r="D38" s="450">
        <v>9500</v>
      </c>
    </row>
    <row r="39" spans="2:4" x14ac:dyDescent="0.3">
      <c r="B39" s="500" t="s">
        <v>334</v>
      </c>
      <c r="C39" s="500" t="s">
        <v>43</v>
      </c>
      <c r="D39" s="451">
        <v>22687.500000000004</v>
      </c>
    </row>
    <row r="40" spans="2:4" x14ac:dyDescent="0.3">
      <c r="B40" s="500" t="s">
        <v>335</v>
      </c>
      <c r="C40" s="500" t="s">
        <v>43</v>
      </c>
      <c r="D40" s="451">
        <v>10312.5</v>
      </c>
    </row>
    <row r="41" spans="2:4" x14ac:dyDescent="0.3">
      <c r="B41" s="500" t="s">
        <v>336</v>
      </c>
      <c r="C41" s="500" t="s">
        <v>85</v>
      </c>
      <c r="D41" s="451">
        <v>3162.5000000000005</v>
      </c>
    </row>
    <row r="42" spans="2:4" x14ac:dyDescent="0.3">
      <c r="B42" s="500" t="s">
        <v>337</v>
      </c>
      <c r="C42" s="500" t="s">
        <v>507</v>
      </c>
      <c r="D42" s="450">
        <v>89375</v>
      </c>
    </row>
    <row r="43" spans="2:4" x14ac:dyDescent="0.3">
      <c r="B43" s="500" t="s">
        <v>338</v>
      </c>
      <c r="C43" s="500" t="s">
        <v>507</v>
      </c>
      <c r="D43" s="451">
        <v>103125.00000000001</v>
      </c>
    </row>
    <row r="44" spans="2:4" x14ac:dyDescent="0.3">
      <c r="B44" s="500" t="s">
        <v>508</v>
      </c>
      <c r="C44" s="500" t="s">
        <v>26</v>
      </c>
      <c r="D44" s="450">
        <f>275000/(1.07*5.9)</f>
        <v>43560.90606684619</v>
      </c>
    </row>
    <row r="45" spans="2:4" x14ac:dyDescent="0.3">
      <c r="B45" s="500" t="s">
        <v>509</v>
      </c>
      <c r="C45" s="500" t="s">
        <v>510</v>
      </c>
      <c r="D45" s="450">
        <v>155000</v>
      </c>
    </row>
    <row r="46" spans="2:4" x14ac:dyDescent="0.3">
      <c r="B46" s="500" t="s">
        <v>316</v>
      </c>
      <c r="C46" s="500" t="s">
        <v>43</v>
      </c>
      <c r="D46" s="450">
        <v>8600</v>
      </c>
    </row>
    <row r="47" spans="2:4" ht="25.5" x14ac:dyDescent="0.3">
      <c r="B47" s="500" t="s">
        <v>339</v>
      </c>
      <c r="C47" s="500" t="s">
        <v>100</v>
      </c>
      <c r="D47" s="450">
        <f>+D44</f>
        <v>43560.90606684619</v>
      </c>
    </row>
    <row r="48" spans="2:4" x14ac:dyDescent="0.3">
      <c r="B48" s="500" t="s">
        <v>340</v>
      </c>
      <c r="C48" s="500" t="s">
        <v>315</v>
      </c>
      <c r="D48" s="451">
        <v>23237.500000000004</v>
      </c>
    </row>
    <row r="49" spans="2:4" ht="25.5" x14ac:dyDescent="0.3">
      <c r="B49" s="500" t="s">
        <v>341</v>
      </c>
      <c r="C49" s="500" t="s">
        <v>13</v>
      </c>
      <c r="D49" s="451">
        <v>3025.0000000000005</v>
      </c>
    </row>
    <row r="50" spans="2:4" x14ac:dyDescent="0.3">
      <c r="B50" s="500" t="s">
        <v>468</v>
      </c>
      <c r="C50" s="500" t="s">
        <v>91</v>
      </c>
      <c r="D50" s="450">
        <v>400000</v>
      </c>
    </row>
    <row r="51" spans="2:4" x14ac:dyDescent="0.3">
      <c r="B51" s="500" t="s">
        <v>345</v>
      </c>
      <c r="C51" s="500" t="s">
        <v>187</v>
      </c>
      <c r="D51" s="450">
        <f>4854*1.19</f>
        <v>5776.2599999999993</v>
      </c>
    </row>
    <row r="52" spans="2:4" x14ac:dyDescent="0.3">
      <c r="B52" s="500" t="s">
        <v>354</v>
      </c>
      <c r="C52" s="500" t="s">
        <v>511</v>
      </c>
      <c r="D52" s="329">
        <v>78000</v>
      </c>
    </row>
    <row r="53" spans="2:4" x14ac:dyDescent="0.3">
      <c r="B53" s="500" t="s">
        <v>352</v>
      </c>
      <c r="C53" s="500" t="s">
        <v>511</v>
      </c>
      <c r="D53" s="329">
        <v>25000</v>
      </c>
    </row>
    <row r="54" spans="2:4" x14ac:dyDescent="0.3">
      <c r="B54" s="500" t="s">
        <v>512</v>
      </c>
      <c r="C54" s="500" t="s">
        <v>317</v>
      </c>
      <c r="D54" s="329">
        <v>1000</v>
      </c>
    </row>
    <row r="55" spans="2:4" x14ac:dyDescent="0.3">
      <c r="B55" s="500" t="s">
        <v>513</v>
      </c>
      <c r="C55" s="500" t="s">
        <v>325</v>
      </c>
      <c r="D55" s="451">
        <v>120000</v>
      </c>
    </row>
    <row r="56" spans="2:4" x14ac:dyDescent="0.3">
      <c r="B56" s="500" t="s">
        <v>514</v>
      </c>
      <c r="C56" s="500" t="s">
        <v>13</v>
      </c>
      <c r="D56" s="325">
        <v>108625.00000000001</v>
      </c>
    </row>
    <row r="57" spans="2:4" x14ac:dyDescent="0.3">
      <c r="B57" s="500" t="s">
        <v>515</v>
      </c>
      <c r="C57" s="500" t="s">
        <v>85</v>
      </c>
      <c r="D57" s="325">
        <v>23375.000000000004</v>
      </c>
    </row>
    <row r="58" spans="2:4" x14ac:dyDescent="0.3">
      <c r="B58" s="500" t="s">
        <v>361</v>
      </c>
      <c r="C58" s="500" t="s">
        <v>315</v>
      </c>
      <c r="D58" s="329">
        <v>55000</v>
      </c>
    </row>
    <row r="59" spans="2:4" x14ac:dyDescent="0.3">
      <c r="B59" s="500" t="s">
        <v>362</v>
      </c>
      <c r="C59" s="500" t="s">
        <v>187</v>
      </c>
      <c r="D59" s="325">
        <v>11687.500000000002</v>
      </c>
    </row>
    <row r="60" spans="2:4" x14ac:dyDescent="0.3">
      <c r="B60" s="500" t="s">
        <v>363</v>
      </c>
      <c r="C60" s="500" t="s">
        <v>187</v>
      </c>
      <c r="D60" s="325">
        <v>121.00000000000001</v>
      </c>
    </row>
    <row r="61" spans="2:4" x14ac:dyDescent="0.3">
      <c r="B61" s="500" t="s">
        <v>364</v>
      </c>
      <c r="C61" s="500" t="s">
        <v>516</v>
      </c>
      <c r="D61" s="329">
        <f>(18000/90)</f>
        <v>200</v>
      </c>
    </row>
    <row r="62" spans="2:4" x14ac:dyDescent="0.3">
      <c r="B62" s="500" t="s">
        <v>365</v>
      </c>
      <c r="C62" s="500" t="s">
        <v>317</v>
      </c>
      <c r="D62" s="325">
        <v>4125</v>
      </c>
    </row>
    <row r="63" spans="2:4" x14ac:dyDescent="0.3">
      <c r="B63" s="500" t="s">
        <v>378</v>
      </c>
      <c r="C63" s="500" t="s">
        <v>516</v>
      </c>
      <c r="D63" s="329">
        <v>17000</v>
      </c>
    </row>
    <row r="64" spans="2:4" x14ac:dyDescent="0.3">
      <c r="B64" s="500" t="s">
        <v>517</v>
      </c>
      <c r="C64" s="500" t="s">
        <v>516</v>
      </c>
      <c r="D64" s="329">
        <v>29000</v>
      </c>
    </row>
    <row r="65" spans="2:10" x14ac:dyDescent="0.3">
      <c r="B65" s="500" t="s">
        <v>518</v>
      </c>
      <c r="C65" s="500" t="s">
        <v>516</v>
      </c>
      <c r="D65" s="329">
        <v>6300</v>
      </c>
    </row>
    <row r="66" spans="2:10" x14ac:dyDescent="0.3">
      <c r="B66" s="500" t="s">
        <v>519</v>
      </c>
      <c r="C66" s="500" t="s">
        <v>516</v>
      </c>
      <c r="D66" s="325">
        <v>10725</v>
      </c>
    </row>
    <row r="67" spans="2:10" x14ac:dyDescent="0.3">
      <c r="B67" s="500" t="s">
        <v>520</v>
      </c>
      <c r="C67" s="500" t="s">
        <v>187</v>
      </c>
      <c r="D67" s="329">
        <v>53000</v>
      </c>
    </row>
    <row r="68" spans="2:10" x14ac:dyDescent="0.3">
      <c r="B68" s="500" t="s">
        <v>392</v>
      </c>
      <c r="C68" s="500" t="s">
        <v>187</v>
      </c>
      <c r="D68" s="329">
        <v>7900</v>
      </c>
    </row>
    <row r="69" spans="2:10" x14ac:dyDescent="0.3">
      <c r="B69" s="500" t="s">
        <v>380</v>
      </c>
      <c r="C69" s="500" t="s">
        <v>187</v>
      </c>
      <c r="D69" s="329">
        <v>14500</v>
      </c>
    </row>
    <row r="70" spans="2:10" x14ac:dyDescent="0.3">
      <c r="B70" s="500" t="s">
        <v>382</v>
      </c>
      <c r="C70" s="500" t="s">
        <v>187</v>
      </c>
      <c r="D70" s="329">
        <v>19500</v>
      </c>
    </row>
    <row r="71" spans="2:10" x14ac:dyDescent="0.3">
      <c r="B71" s="500" t="s">
        <v>367</v>
      </c>
      <c r="C71" s="500" t="s">
        <v>516</v>
      </c>
      <c r="D71" s="329">
        <f>17000/6</f>
        <v>2833.3333333333335</v>
      </c>
    </row>
    <row r="72" spans="2:10" x14ac:dyDescent="0.3">
      <c r="B72" s="500" t="s">
        <v>368</v>
      </c>
      <c r="C72" s="500" t="s">
        <v>516</v>
      </c>
      <c r="D72" s="329">
        <v>3200</v>
      </c>
    </row>
    <row r="73" spans="2:10" x14ac:dyDescent="0.3">
      <c r="B73" s="500" t="s">
        <v>369</v>
      </c>
      <c r="C73" s="500" t="s">
        <v>187</v>
      </c>
      <c r="D73" s="329">
        <v>2000</v>
      </c>
    </row>
    <row r="74" spans="2:10" x14ac:dyDescent="0.3">
      <c r="B74" s="500" t="s">
        <v>370</v>
      </c>
      <c r="C74" s="500" t="s">
        <v>187</v>
      </c>
      <c r="D74" s="464">
        <v>18900</v>
      </c>
    </row>
    <row r="75" spans="2:10" x14ac:dyDescent="0.3">
      <c r="B75" s="500" t="s">
        <v>473</v>
      </c>
      <c r="C75" s="500" t="s">
        <v>315</v>
      </c>
      <c r="D75" s="329">
        <v>211750.00000000003</v>
      </c>
      <c r="H75" s="503"/>
      <c r="I75" s="503"/>
      <c r="J75" s="504"/>
    </row>
    <row r="76" spans="2:10" ht="25.5" x14ac:dyDescent="0.3">
      <c r="B76" s="500" t="s">
        <v>376</v>
      </c>
      <c r="C76" s="500" t="s">
        <v>187</v>
      </c>
      <c r="D76" s="464">
        <v>24900</v>
      </c>
    </row>
    <row r="77" spans="2:10" x14ac:dyDescent="0.3">
      <c r="B77" s="500" t="s">
        <v>371</v>
      </c>
      <c r="C77" s="500" t="s">
        <v>187</v>
      </c>
      <c r="D77" s="329">
        <v>500</v>
      </c>
    </row>
    <row r="78" spans="2:10" x14ac:dyDescent="0.3">
      <c r="B78" s="500" t="s">
        <v>375</v>
      </c>
      <c r="C78" s="500" t="s">
        <v>187</v>
      </c>
      <c r="D78" s="329">
        <v>44900</v>
      </c>
    </row>
    <row r="79" spans="2:10" x14ac:dyDescent="0.3">
      <c r="B79" s="500" t="s">
        <v>521</v>
      </c>
      <c r="C79" s="500" t="s">
        <v>187</v>
      </c>
      <c r="D79" s="329">
        <v>5000</v>
      </c>
    </row>
    <row r="80" spans="2:10" x14ac:dyDescent="0.3">
      <c r="B80" s="500" t="s">
        <v>377</v>
      </c>
      <c r="C80" s="500" t="s">
        <v>187</v>
      </c>
      <c r="D80" s="329">
        <v>37125</v>
      </c>
    </row>
    <row r="81" spans="2:4" x14ac:dyDescent="0.3">
      <c r="B81" s="500" t="s">
        <v>522</v>
      </c>
      <c r="C81" s="500" t="s">
        <v>187</v>
      </c>
      <c r="D81" s="329">
        <v>95000</v>
      </c>
    </row>
    <row r="82" spans="2:4" ht="25.5" x14ac:dyDescent="0.3">
      <c r="B82" s="500" t="s">
        <v>523</v>
      </c>
      <c r="C82" s="500" t="s">
        <v>187</v>
      </c>
      <c r="D82" s="325">
        <v>34375</v>
      </c>
    </row>
    <row r="83" spans="2:4" x14ac:dyDescent="0.3">
      <c r="B83" s="500" t="s">
        <v>524</v>
      </c>
      <c r="C83" s="500" t="s">
        <v>187</v>
      </c>
      <c r="D83" s="329">
        <v>58000</v>
      </c>
    </row>
    <row r="84" spans="2:4" x14ac:dyDescent="0.3">
      <c r="B84" s="500" t="s">
        <v>385</v>
      </c>
      <c r="C84" s="500" t="s">
        <v>187</v>
      </c>
      <c r="D84" s="325">
        <v>687.5</v>
      </c>
    </row>
    <row r="85" spans="2:4" x14ac:dyDescent="0.3">
      <c r="B85" s="500" t="s">
        <v>384</v>
      </c>
      <c r="C85" s="500" t="s">
        <v>91</v>
      </c>
      <c r="D85" s="329">
        <f>31000/6</f>
        <v>5166.666666666667</v>
      </c>
    </row>
    <row r="86" spans="2:4" x14ac:dyDescent="0.3">
      <c r="B86" s="500" t="s">
        <v>403</v>
      </c>
      <c r="C86" s="500" t="s">
        <v>187</v>
      </c>
      <c r="D86" s="329">
        <v>1450000</v>
      </c>
    </row>
    <row r="87" spans="2:4" x14ac:dyDescent="0.3">
      <c r="B87" s="500" t="s">
        <v>404</v>
      </c>
      <c r="C87" s="500" t="s">
        <v>187</v>
      </c>
      <c r="D87" s="329">
        <v>51850</v>
      </c>
    </row>
    <row r="88" spans="2:4" x14ac:dyDescent="0.3">
      <c r="B88" s="500" t="s">
        <v>405</v>
      </c>
      <c r="C88" s="500" t="s">
        <v>187</v>
      </c>
      <c r="D88" s="329">
        <v>573000</v>
      </c>
    </row>
    <row r="89" spans="2:4" x14ac:dyDescent="0.3">
      <c r="B89" s="500" t="s">
        <v>406</v>
      </c>
      <c r="C89" s="500" t="s">
        <v>187</v>
      </c>
      <c r="D89" s="329">
        <v>52000</v>
      </c>
    </row>
    <row r="90" spans="2:4" x14ac:dyDescent="0.3">
      <c r="B90" s="500" t="s">
        <v>525</v>
      </c>
      <c r="C90" s="500" t="s">
        <v>169</v>
      </c>
      <c r="D90" s="329">
        <v>85000</v>
      </c>
    </row>
    <row r="91" spans="2:4" x14ac:dyDescent="0.3">
      <c r="B91" s="500" t="s">
        <v>407</v>
      </c>
      <c r="C91" s="500" t="s">
        <v>169</v>
      </c>
      <c r="D91" s="329">
        <v>90250</v>
      </c>
    </row>
    <row r="92" spans="2:4" x14ac:dyDescent="0.3">
      <c r="B92" s="500" t="s">
        <v>408</v>
      </c>
      <c r="C92" s="500" t="s">
        <v>91</v>
      </c>
      <c r="D92" s="329">
        <f>784000/305</f>
        <v>2570.4918032786886</v>
      </c>
    </row>
    <row r="93" spans="2:4" x14ac:dyDescent="0.3">
      <c r="B93" s="500" t="s">
        <v>409</v>
      </c>
      <c r="C93" s="500" t="s">
        <v>187</v>
      </c>
      <c r="D93" s="329">
        <v>18900</v>
      </c>
    </row>
    <row r="94" spans="2:4" x14ac:dyDescent="0.3">
      <c r="B94" s="500" t="s">
        <v>410</v>
      </c>
      <c r="C94" s="500" t="s">
        <v>187</v>
      </c>
      <c r="D94" s="329">
        <v>19900</v>
      </c>
    </row>
    <row r="95" spans="2:4" x14ac:dyDescent="0.3">
      <c r="B95" s="500" t="s">
        <v>411</v>
      </c>
      <c r="C95" s="500" t="s">
        <v>187</v>
      </c>
      <c r="D95" s="329">
        <v>25900</v>
      </c>
    </row>
    <row r="96" spans="2:4" x14ac:dyDescent="0.3">
      <c r="B96" s="500" t="s">
        <v>412</v>
      </c>
      <c r="C96" s="500" t="s">
        <v>187</v>
      </c>
      <c r="D96" s="329">
        <v>850</v>
      </c>
    </row>
    <row r="97" spans="2:4" x14ac:dyDescent="0.3">
      <c r="B97" s="500" t="s">
        <v>386</v>
      </c>
      <c r="C97" s="500" t="s">
        <v>187</v>
      </c>
      <c r="D97" s="329">
        <v>1050000</v>
      </c>
    </row>
    <row r="98" spans="2:4" x14ac:dyDescent="0.3">
      <c r="B98" s="500" t="s">
        <v>526</v>
      </c>
      <c r="C98" s="500" t="s">
        <v>187</v>
      </c>
      <c r="D98" s="325">
        <v>118112.50000000001</v>
      </c>
    </row>
    <row r="99" spans="2:4" x14ac:dyDescent="0.3">
      <c r="B99" s="500" t="s">
        <v>389</v>
      </c>
      <c r="C99" s="500" t="s">
        <v>516</v>
      </c>
      <c r="D99" s="325">
        <v>4812.5</v>
      </c>
    </row>
    <row r="100" spans="2:4" x14ac:dyDescent="0.3">
      <c r="B100" s="500" t="s">
        <v>527</v>
      </c>
      <c r="C100" s="500" t="s">
        <v>187</v>
      </c>
      <c r="D100" s="325">
        <v>98862.500000000015</v>
      </c>
    </row>
    <row r="101" spans="2:4" x14ac:dyDescent="0.3">
      <c r="B101" s="500" t="s">
        <v>390</v>
      </c>
      <c r="C101" s="500" t="s">
        <v>187</v>
      </c>
      <c r="D101" s="329">
        <v>23000</v>
      </c>
    </row>
    <row r="102" spans="2:4" x14ac:dyDescent="0.3">
      <c r="B102" s="500" t="s">
        <v>388</v>
      </c>
      <c r="C102" s="500" t="s">
        <v>187</v>
      </c>
      <c r="D102" s="329">
        <v>40000</v>
      </c>
    </row>
    <row r="103" spans="2:4" ht="25.5" x14ac:dyDescent="0.3">
      <c r="B103" s="500" t="s">
        <v>399</v>
      </c>
      <c r="C103" s="500" t="s">
        <v>187</v>
      </c>
      <c r="D103" s="329">
        <v>45000</v>
      </c>
    </row>
    <row r="104" spans="2:4" x14ac:dyDescent="0.3">
      <c r="B104" s="500" t="s">
        <v>400</v>
      </c>
      <c r="C104" s="500" t="s">
        <v>91</v>
      </c>
      <c r="D104" s="325">
        <v>24462.9</v>
      </c>
    </row>
    <row r="105" spans="2:4" ht="38.25" x14ac:dyDescent="0.3">
      <c r="B105" s="500" t="s">
        <v>401</v>
      </c>
      <c r="C105" s="500" t="s">
        <v>187</v>
      </c>
      <c r="D105" s="325">
        <v>658350</v>
      </c>
    </row>
    <row r="106" spans="2:4" x14ac:dyDescent="0.3">
      <c r="B106" s="500" t="s">
        <v>528</v>
      </c>
      <c r="C106" s="500" t="s">
        <v>187</v>
      </c>
      <c r="D106" s="325">
        <v>19937.5</v>
      </c>
    </row>
    <row r="107" spans="2:4" x14ac:dyDescent="0.3">
      <c r="B107" s="500" t="s">
        <v>402</v>
      </c>
      <c r="C107" s="500" t="s">
        <v>187</v>
      </c>
      <c r="D107" s="329">
        <v>55000</v>
      </c>
    </row>
    <row r="108" spans="2:4" x14ac:dyDescent="0.3">
      <c r="B108" s="500" t="s">
        <v>529</v>
      </c>
      <c r="C108" s="500" t="s">
        <v>91</v>
      </c>
      <c r="D108" s="325">
        <v>26915.625000000004</v>
      </c>
    </row>
    <row r="109" spans="2:4" x14ac:dyDescent="0.3">
      <c r="B109" s="500" t="s">
        <v>413</v>
      </c>
      <c r="C109" s="500" t="s">
        <v>516</v>
      </c>
      <c r="D109" s="325">
        <v>34205.875</v>
      </c>
    </row>
    <row r="110" spans="2:4" x14ac:dyDescent="0.3">
      <c r="B110" s="500" t="s">
        <v>414</v>
      </c>
      <c r="C110" s="500" t="s">
        <v>187</v>
      </c>
      <c r="D110" s="329">
        <v>700</v>
      </c>
    </row>
    <row r="111" spans="2:4" x14ac:dyDescent="0.3">
      <c r="B111" s="500" t="s">
        <v>415</v>
      </c>
      <c r="C111" s="500" t="s">
        <v>187</v>
      </c>
      <c r="D111" s="329">
        <v>900</v>
      </c>
    </row>
    <row r="112" spans="2:4" x14ac:dyDescent="0.3">
      <c r="B112" s="500" t="s">
        <v>416</v>
      </c>
      <c r="C112" s="500" t="s">
        <v>187</v>
      </c>
      <c r="D112" s="329">
        <v>1000</v>
      </c>
    </row>
    <row r="113" spans="2:4" x14ac:dyDescent="0.3">
      <c r="B113" s="500" t="s">
        <v>417</v>
      </c>
      <c r="C113" s="500" t="s">
        <v>187</v>
      </c>
      <c r="D113" s="329">
        <v>1000</v>
      </c>
    </row>
    <row r="114" spans="2:4" x14ac:dyDescent="0.3">
      <c r="B114" s="500" t="s">
        <v>418</v>
      </c>
      <c r="C114" s="500" t="s">
        <v>187</v>
      </c>
      <c r="D114" s="329">
        <v>700</v>
      </c>
    </row>
    <row r="115" spans="2:4" x14ac:dyDescent="0.3">
      <c r="B115" s="500" t="s">
        <v>372</v>
      </c>
      <c r="C115" s="500" t="s">
        <v>530</v>
      </c>
      <c r="D115" s="329">
        <v>80000</v>
      </c>
    </row>
    <row r="116" spans="2:4" x14ac:dyDescent="0.3">
      <c r="B116" s="500" t="s">
        <v>387</v>
      </c>
      <c r="C116" s="500" t="s">
        <v>516</v>
      </c>
      <c r="D116" s="329">
        <v>2800</v>
      </c>
    </row>
    <row r="117" spans="2:4" x14ac:dyDescent="0.3">
      <c r="B117" s="500" t="s">
        <v>419</v>
      </c>
      <c r="C117" s="500" t="s">
        <v>187</v>
      </c>
      <c r="D117" s="329">
        <v>50000</v>
      </c>
    </row>
    <row r="118" spans="2:4" x14ac:dyDescent="0.3">
      <c r="B118" s="500" t="s">
        <v>531</v>
      </c>
      <c r="C118" s="500" t="s">
        <v>91</v>
      </c>
      <c r="D118" s="329">
        <v>50000</v>
      </c>
    </row>
    <row r="119" spans="2:4" x14ac:dyDescent="0.3">
      <c r="B119" s="500" t="s">
        <v>422</v>
      </c>
      <c r="C119" s="500" t="s">
        <v>516</v>
      </c>
      <c r="D119" s="329">
        <v>58000</v>
      </c>
    </row>
    <row r="120" spans="2:4" x14ac:dyDescent="0.3">
      <c r="B120" s="500" t="s">
        <v>423</v>
      </c>
      <c r="C120" s="500" t="s">
        <v>187</v>
      </c>
      <c r="D120" s="329">
        <v>3000</v>
      </c>
    </row>
    <row r="121" spans="2:4" x14ac:dyDescent="0.3">
      <c r="B121" s="500" t="s">
        <v>424</v>
      </c>
      <c r="C121" s="500" t="s">
        <v>187</v>
      </c>
      <c r="D121" s="329">
        <v>6000</v>
      </c>
    </row>
    <row r="122" spans="2:4" x14ac:dyDescent="0.3">
      <c r="B122" s="500" t="s">
        <v>425</v>
      </c>
      <c r="C122" s="500" t="s">
        <v>187</v>
      </c>
      <c r="D122" s="329">
        <v>10000</v>
      </c>
    </row>
    <row r="123" spans="2:4" x14ac:dyDescent="0.3">
      <c r="B123" s="500" t="s">
        <v>426</v>
      </c>
      <c r="C123" s="500" t="s">
        <v>187</v>
      </c>
      <c r="D123" s="329">
        <v>4000</v>
      </c>
    </row>
    <row r="124" spans="2:4" x14ac:dyDescent="0.3">
      <c r="B124" s="500" t="s">
        <v>421</v>
      </c>
      <c r="C124" s="500" t="s">
        <v>187</v>
      </c>
      <c r="D124" s="329">
        <v>3500</v>
      </c>
    </row>
    <row r="125" spans="2:4" x14ac:dyDescent="0.3">
      <c r="B125" s="500" t="s">
        <v>427</v>
      </c>
      <c r="C125" s="500" t="s">
        <v>17</v>
      </c>
      <c r="D125" s="329">
        <v>72000</v>
      </c>
    </row>
    <row r="126" spans="2:4" x14ac:dyDescent="0.3">
      <c r="B126" s="500" t="s">
        <v>532</v>
      </c>
      <c r="C126" s="500" t="s">
        <v>315</v>
      </c>
      <c r="D126" s="325">
        <v>6875.0000000000009</v>
      </c>
    </row>
    <row r="127" spans="2:4" x14ac:dyDescent="0.3">
      <c r="B127" s="500" t="s">
        <v>533</v>
      </c>
      <c r="C127" s="500" t="s">
        <v>315</v>
      </c>
      <c r="D127" s="325">
        <v>54862.500000000007</v>
      </c>
    </row>
    <row r="128" spans="2:4" x14ac:dyDescent="0.3">
      <c r="B128" s="500" t="s">
        <v>432</v>
      </c>
      <c r="C128" s="500" t="s">
        <v>17</v>
      </c>
      <c r="D128" s="329">
        <f>210000/6</f>
        <v>35000</v>
      </c>
    </row>
    <row r="129" spans="2:4" x14ac:dyDescent="0.3">
      <c r="B129" s="500" t="s">
        <v>433</v>
      </c>
      <c r="C129" s="500" t="s">
        <v>85</v>
      </c>
      <c r="D129" s="329">
        <v>15000</v>
      </c>
    </row>
    <row r="130" spans="2:4" x14ac:dyDescent="0.3">
      <c r="B130" s="500" t="s">
        <v>434</v>
      </c>
      <c r="C130" s="500" t="s">
        <v>315</v>
      </c>
      <c r="D130" s="329">
        <v>78000</v>
      </c>
    </row>
    <row r="131" spans="2:4" x14ac:dyDescent="0.3">
      <c r="B131" s="500" t="s">
        <v>428</v>
      </c>
      <c r="C131" s="500" t="s">
        <v>17</v>
      </c>
      <c r="D131" s="329">
        <f>110000/6</f>
        <v>18333.333333333332</v>
      </c>
    </row>
    <row r="132" spans="2:4" x14ac:dyDescent="0.3">
      <c r="B132" s="500" t="s">
        <v>429</v>
      </c>
      <c r="C132" s="500" t="s">
        <v>85</v>
      </c>
      <c r="D132" s="329">
        <v>3800</v>
      </c>
    </row>
    <row r="133" spans="2:4" x14ac:dyDescent="0.3">
      <c r="B133" s="500" t="s">
        <v>430</v>
      </c>
      <c r="C133" s="500" t="s">
        <v>315</v>
      </c>
      <c r="D133" s="329">
        <v>15000</v>
      </c>
    </row>
    <row r="134" spans="2:4" x14ac:dyDescent="0.3">
      <c r="B134" s="500" t="s">
        <v>534</v>
      </c>
      <c r="C134" s="500" t="s">
        <v>17</v>
      </c>
      <c r="D134" s="329">
        <v>70000</v>
      </c>
    </row>
    <row r="135" spans="2:4" x14ac:dyDescent="0.3">
      <c r="B135" s="500" t="s">
        <v>535</v>
      </c>
      <c r="C135" s="500" t="s">
        <v>85</v>
      </c>
      <c r="D135" s="329">
        <v>2500</v>
      </c>
    </row>
    <row r="136" spans="2:4" x14ac:dyDescent="0.3">
      <c r="B136" s="500" t="s">
        <v>536</v>
      </c>
      <c r="C136" s="500" t="s">
        <v>315</v>
      </c>
      <c r="D136" s="329">
        <v>9000</v>
      </c>
    </row>
    <row r="137" spans="2:4" x14ac:dyDescent="0.3">
      <c r="B137" s="500" t="s">
        <v>537</v>
      </c>
      <c r="C137" s="500" t="s">
        <v>538</v>
      </c>
      <c r="D137" s="325">
        <v>375375.00000000006</v>
      </c>
    </row>
    <row r="138" spans="2:4" x14ac:dyDescent="0.3">
      <c r="B138" s="500" t="s">
        <v>539</v>
      </c>
      <c r="C138" s="500" t="s">
        <v>315</v>
      </c>
      <c r="D138" s="329">
        <v>150000</v>
      </c>
    </row>
    <row r="139" spans="2:4" ht="25.5" x14ac:dyDescent="0.3">
      <c r="B139" s="500" t="s">
        <v>435</v>
      </c>
      <c r="C139" s="500" t="s">
        <v>187</v>
      </c>
      <c r="D139" s="329">
        <v>1190000</v>
      </c>
    </row>
    <row r="140" spans="2:4" x14ac:dyDescent="0.3">
      <c r="B140" s="500" t="s">
        <v>436</v>
      </c>
      <c r="C140" s="500" t="s">
        <v>516</v>
      </c>
      <c r="D140" s="329">
        <v>60000</v>
      </c>
    </row>
    <row r="141" spans="2:4" x14ac:dyDescent="0.3">
      <c r="B141" s="500" t="s">
        <v>438</v>
      </c>
      <c r="C141" s="500" t="s">
        <v>187</v>
      </c>
      <c r="D141" s="329">
        <v>40000</v>
      </c>
    </row>
    <row r="142" spans="2:4" x14ac:dyDescent="0.3">
      <c r="B142" s="500" t="s">
        <v>442</v>
      </c>
      <c r="C142" s="500" t="s">
        <v>187</v>
      </c>
      <c r="D142" s="329">
        <v>58900</v>
      </c>
    </row>
    <row r="143" spans="2:4" x14ac:dyDescent="0.3">
      <c r="B143" s="500" t="s">
        <v>443</v>
      </c>
      <c r="C143" s="500" t="s">
        <v>91</v>
      </c>
      <c r="D143" s="329">
        <f>90000/6</f>
        <v>15000</v>
      </c>
    </row>
    <row r="144" spans="2:4" ht="25.5" x14ac:dyDescent="0.3">
      <c r="B144" s="500" t="s">
        <v>540</v>
      </c>
      <c r="C144" s="500" t="s">
        <v>315</v>
      </c>
      <c r="D144" s="325">
        <v>27979.875000000004</v>
      </c>
    </row>
    <row r="145" spans="2:4" x14ac:dyDescent="0.3">
      <c r="B145" s="500" t="s">
        <v>541</v>
      </c>
      <c r="C145" s="500" t="s">
        <v>315</v>
      </c>
      <c r="D145" s="325">
        <v>25034.625000000004</v>
      </c>
    </row>
    <row r="146" spans="2:4" x14ac:dyDescent="0.3">
      <c r="B146" s="500" t="s">
        <v>542</v>
      </c>
      <c r="C146" s="500" t="s">
        <v>315</v>
      </c>
      <c r="D146" s="325">
        <v>74250</v>
      </c>
    </row>
    <row r="147" spans="2:4" x14ac:dyDescent="0.3">
      <c r="B147" s="500" t="s">
        <v>474</v>
      </c>
      <c r="C147" s="500" t="s">
        <v>315</v>
      </c>
      <c r="D147" s="329">
        <v>1200</v>
      </c>
    </row>
    <row r="148" spans="2:4" ht="25.5" x14ac:dyDescent="0.3">
      <c r="B148" s="500" t="s">
        <v>441</v>
      </c>
      <c r="C148" s="500" t="s">
        <v>100</v>
      </c>
      <c r="D148" s="329">
        <v>350000</v>
      </c>
    </row>
    <row r="149" spans="2:4" ht="25.5" x14ac:dyDescent="0.3">
      <c r="B149" s="500" t="s">
        <v>444</v>
      </c>
      <c r="C149" s="500" t="s">
        <v>543</v>
      </c>
      <c r="D149" s="329">
        <v>450000</v>
      </c>
    </row>
    <row r="150" spans="2:4" x14ac:dyDescent="0.3">
      <c r="B150" s="500" t="s">
        <v>445</v>
      </c>
      <c r="C150" s="500" t="s">
        <v>100</v>
      </c>
      <c r="D150" s="329">
        <v>150000</v>
      </c>
    </row>
    <row r="151" spans="2:4" ht="25.5" x14ac:dyDescent="0.3">
      <c r="B151" s="500" t="s">
        <v>450</v>
      </c>
      <c r="C151" s="500" t="s">
        <v>315</v>
      </c>
      <c r="D151" s="325">
        <v>40562.5</v>
      </c>
    </row>
    <row r="152" spans="2:4" ht="38.25" x14ac:dyDescent="0.3">
      <c r="B152" s="500" t="s">
        <v>451</v>
      </c>
      <c r="C152" s="500" t="s">
        <v>315</v>
      </c>
      <c r="D152" s="329">
        <v>3500000</v>
      </c>
    </row>
    <row r="153" spans="2:4" x14ac:dyDescent="0.3">
      <c r="B153" s="500" t="s">
        <v>452</v>
      </c>
      <c r="C153" s="500" t="s">
        <v>315</v>
      </c>
      <c r="D153" s="329">
        <v>2100000</v>
      </c>
    </row>
    <row r="154" spans="2:4" ht="38.25" x14ac:dyDescent="0.3">
      <c r="B154" s="500" t="s">
        <v>454</v>
      </c>
      <c r="C154" s="500" t="s">
        <v>315</v>
      </c>
      <c r="D154" s="329">
        <v>3500000</v>
      </c>
    </row>
    <row r="155" spans="2:4" ht="38.25" x14ac:dyDescent="0.3">
      <c r="B155" s="500" t="s">
        <v>455</v>
      </c>
      <c r="C155" s="500" t="s">
        <v>315</v>
      </c>
      <c r="D155" s="329">
        <v>5000000</v>
      </c>
    </row>
    <row r="156" spans="2:4" x14ac:dyDescent="0.3">
      <c r="B156" s="500" t="s">
        <v>453</v>
      </c>
      <c r="C156" s="500" t="s">
        <v>315</v>
      </c>
      <c r="D156" s="329">
        <v>2300000</v>
      </c>
    </row>
    <row r="157" spans="2:4" x14ac:dyDescent="0.3">
      <c r="B157" s="500" t="s">
        <v>456</v>
      </c>
      <c r="C157" s="500" t="s">
        <v>315</v>
      </c>
      <c r="D157" s="329">
        <v>380000</v>
      </c>
    </row>
    <row r="158" spans="2:4" x14ac:dyDescent="0.3">
      <c r="B158" s="500" t="s">
        <v>457</v>
      </c>
      <c r="C158" s="500" t="s">
        <v>315</v>
      </c>
      <c r="D158" s="329">
        <v>25987.500000000004</v>
      </c>
    </row>
    <row r="159" spans="2:4" x14ac:dyDescent="0.3">
      <c r="B159" s="500" t="s">
        <v>470</v>
      </c>
      <c r="C159" s="500" t="s">
        <v>315</v>
      </c>
      <c r="D159" s="329">
        <v>180000</v>
      </c>
    </row>
    <row r="160" spans="2:4" x14ac:dyDescent="0.3">
      <c r="B160" s="500" t="s">
        <v>472</v>
      </c>
      <c r="C160" s="500" t="s">
        <v>315</v>
      </c>
      <c r="D160" s="325">
        <v>337012.5</v>
      </c>
    </row>
    <row r="161" spans="2:4" x14ac:dyDescent="0.3">
      <c r="B161" s="500" t="s">
        <v>458</v>
      </c>
      <c r="C161" s="500" t="s">
        <v>315</v>
      </c>
      <c r="D161" s="329">
        <v>40000</v>
      </c>
    </row>
    <row r="162" spans="2:4" x14ac:dyDescent="0.3">
      <c r="B162" s="500" t="s">
        <v>459</v>
      </c>
      <c r="C162" s="500" t="s">
        <v>315</v>
      </c>
      <c r="D162" s="329">
        <v>450000</v>
      </c>
    </row>
    <row r="163" spans="2:4" x14ac:dyDescent="0.3">
      <c r="B163" s="500" t="s">
        <v>460</v>
      </c>
      <c r="C163" s="500" t="s">
        <v>315</v>
      </c>
      <c r="D163" s="329">
        <v>490000</v>
      </c>
    </row>
    <row r="164" spans="2:4" x14ac:dyDescent="0.3">
      <c r="B164" s="500" t="s">
        <v>462</v>
      </c>
      <c r="C164" s="500" t="s">
        <v>315</v>
      </c>
      <c r="D164" s="325">
        <v>25437.500000000004</v>
      </c>
    </row>
    <row r="165" spans="2:4" x14ac:dyDescent="0.3">
      <c r="B165" s="500" t="s">
        <v>446</v>
      </c>
      <c r="C165" s="500" t="s">
        <v>100</v>
      </c>
      <c r="D165" s="329">
        <v>390000</v>
      </c>
    </row>
    <row r="166" spans="2:4" x14ac:dyDescent="0.3">
      <c r="B166" s="500" t="s">
        <v>461</v>
      </c>
      <c r="C166" s="500" t="s">
        <v>187</v>
      </c>
      <c r="D166" s="329">
        <v>250000</v>
      </c>
    </row>
    <row r="167" spans="2:4" x14ac:dyDescent="0.3">
      <c r="B167" s="500" t="s">
        <v>447</v>
      </c>
      <c r="C167" s="500" t="s">
        <v>187</v>
      </c>
      <c r="D167" s="329">
        <v>70000</v>
      </c>
    </row>
    <row r="168" spans="2:4" x14ac:dyDescent="0.3">
      <c r="B168" s="500" t="s">
        <v>448</v>
      </c>
      <c r="C168" s="500" t="s">
        <v>187</v>
      </c>
      <c r="D168" s="329">
        <v>50000</v>
      </c>
    </row>
    <row r="169" spans="2:4" ht="25.5" x14ac:dyDescent="0.3">
      <c r="B169" s="500" t="s">
        <v>544</v>
      </c>
      <c r="C169" s="500" t="s">
        <v>315</v>
      </c>
      <c r="D169" s="329">
        <v>350000</v>
      </c>
    </row>
    <row r="170" spans="2:4" x14ac:dyDescent="0.3">
      <c r="B170" s="500" t="s">
        <v>393</v>
      </c>
      <c r="C170" s="500" t="s">
        <v>516</v>
      </c>
      <c r="D170" s="450">
        <v>1800</v>
      </c>
    </row>
    <row r="171" spans="2:4" x14ac:dyDescent="0.3">
      <c r="B171" s="500" t="s">
        <v>396</v>
      </c>
      <c r="C171" s="500" t="s">
        <v>315</v>
      </c>
      <c r="D171" s="450">
        <v>24900</v>
      </c>
    </row>
    <row r="172" spans="2:4" x14ac:dyDescent="0.3">
      <c r="B172" s="500" t="s">
        <v>464</v>
      </c>
      <c r="C172" s="500" t="s">
        <v>315</v>
      </c>
      <c r="D172" s="450">
        <v>235000</v>
      </c>
    </row>
    <row r="173" spans="2:4" x14ac:dyDescent="0.3">
      <c r="B173" s="500" t="s">
        <v>463</v>
      </c>
      <c r="C173" s="500" t="s">
        <v>315</v>
      </c>
      <c r="D173" s="450">
        <v>60000</v>
      </c>
    </row>
    <row r="174" spans="2:4" x14ac:dyDescent="0.3">
      <c r="B174" s="500" t="s">
        <v>466</v>
      </c>
      <c r="C174" s="500" t="s">
        <v>187</v>
      </c>
      <c r="D174" s="502">
        <v>250000</v>
      </c>
    </row>
    <row r="175" spans="2:4" x14ac:dyDescent="0.3">
      <c r="B175" s="500" t="s">
        <v>467</v>
      </c>
      <c r="C175" s="500" t="s">
        <v>187</v>
      </c>
      <c r="D175" s="450">
        <v>550000</v>
      </c>
    </row>
    <row r="176" spans="2:4" x14ac:dyDescent="0.3">
      <c r="B176" s="500" t="s">
        <v>397</v>
      </c>
      <c r="C176" s="500" t="s">
        <v>516</v>
      </c>
      <c r="D176" s="450">
        <v>8900</v>
      </c>
    </row>
    <row r="177" spans="2:4" x14ac:dyDescent="0.3">
      <c r="B177" s="500" t="s">
        <v>398</v>
      </c>
      <c r="C177" s="500" t="s">
        <v>516</v>
      </c>
      <c r="D177" s="450">
        <v>280</v>
      </c>
    </row>
    <row r="178" spans="2:4" x14ac:dyDescent="0.3">
      <c r="B178" s="500" t="s">
        <v>465</v>
      </c>
      <c r="C178" s="500" t="s">
        <v>315</v>
      </c>
      <c r="D178" s="325">
        <v>48125.000000000007</v>
      </c>
    </row>
    <row r="179" spans="2:4" x14ac:dyDescent="0.3">
      <c r="B179" s="500" t="s">
        <v>545</v>
      </c>
      <c r="C179" s="500" t="s">
        <v>315</v>
      </c>
      <c r="D179" s="325">
        <v>8593750</v>
      </c>
    </row>
    <row r="180" spans="2:4" x14ac:dyDescent="0.3">
      <c r="B180" s="500" t="s">
        <v>546</v>
      </c>
      <c r="C180" s="500" t="s">
        <v>100</v>
      </c>
      <c r="D180" s="329">
        <v>2500</v>
      </c>
    </row>
    <row r="181" spans="2:4" ht="16.5" x14ac:dyDescent="0.3">
      <c r="B181" s="500" t="s">
        <v>320</v>
      </c>
      <c r="C181" s="500" t="s">
        <v>100</v>
      </c>
      <c r="D181" s="428">
        <v>8500</v>
      </c>
    </row>
    <row r="182" spans="2:4" x14ac:dyDescent="0.3">
      <c r="B182" s="500" t="s">
        <v>358</v>
      </c>
      <c r="C182" s="500" t="s">
        <v>317</v>
      </c>
      <c r="D182" s="329">
        <v>32250</v>
      </c>
    </row>
    <row r="183" spans="2:4" x14ac:dyDescent="0.3">
      <c r="B183" s="500" t="s">
        <v>547</v>
      </c>
      <c r="C183" s="500" t="s">
        <v>511</v>
      </c>
      <c r="D183" s="325">
        <v>199375.00000000003</v>
      </c>
    </row>
    <row r="184" spans="2:4" x14ac:dyDescent="0.3">
      <c r="B184" s="500" t="s">
        <v>548</v>
      </c>
      <c r="C184" s="500" t="s">
        <v>187</v>
      </c>
      <c r="D184" s="325">
        <v>4915.6250000000018</v>
      </c>
    </row>
    <row r="185" spans="2:4" x14ac:dyDescent="0.3">
      <c r="B185" s="500" t="s">
        <v>549</v>
      </c>
      <c r="C185" s="500" t="s">
        <v>317</v>
      </c>
      <c r="D185" s="325">
        <v>24956.250000000004</v>
      </c>
    </row>
    <row r="186" spans="2:4" x14ac:dyDescent="0.3">
      <c r="B186" s="500" t="s">
        <v>550</v>
      </c>
      <c r="C186" s="500" t="s">
        <v>317</v>
      </c>
      <c r="D186" s="325">
        <v>71500</v>
      </c>
    </row>
    <row r="187" spans="2:4" x14ac:dyDescent="0.3">
      <c r="B187" s="500" t="s">
        <v>551</v>
      </c>
      <c r="C187" s="500" t="s">
        <v>317</v>
      </c>
      <c r="D187" s="325">
        <v>14368.750000000002</v>
      </c>
    </row>
    <row r="188" spans="2:4" x14ac:dyDescent="0.3">
      <c r="B188" s="500" t="s">
        <v>552</v>
      </c>
      <c r="C188" s="500" t="s">
        <v>315</v>
      </c>
      <c r="D188" s="325">
        <v>28737.500000000004</v>
      </c>
    </row>
    <row r="189" spans="2:4" x14ac:dyDescent="0.3">
      <c r="B189" s="500" t="s">
        <v>553</v>
      </c>
      <c r="C189" s="500" t="s">
        <v>43</v>
      </c>
      <c r="D189" s="325">
        <v>17393.750000000004</v>
      </c>
    </row>
    <row r="190" spans="2:4" x14ac:dyDescent="0.3">
      <c r="B190" s="500" t="s">
        <v>554</v>
      </c>
      <c r="C190" s="500" t="s">
        <v>43</v>
      </c>
      <c r="D190" s="325">
        <v>14368.750000000002</v>
      </c>
    </row>
    <row r="191" spans="2:4" x14ac:dyDescent="0.3">
      <c r="B191" s="500" t="s">
        <v>555</v>
      </c>
      <c r="C191" s="500" t="s">
        <v>100</v>
      </c>
      <c r="D191" s="325">
        <v>14368.750000000002</v>
      </c>
    </row>
    <row r="192" spans="2:4" x14ac:dyDescent="0.3">
      <c r="B192" s="500" t="s">
        <v>355</v>
      </c>
      <c r="C192" s="500" t="s">
        <v>317</v>
      </c>
      <c r="D192" s="329">
        <f>18000/25</f>
        <v>720</v>
      </c>
    </row>
    <row r="193" spans="2:4" x14ac:dyDescent="0.3">
      <c r="B193" s="500" t="s">
        <v>357</v>
      </c>
      <c r="C193" s="500" t="s">
        <v>317</v>
      </c>
      <c r="D193" s="329">
        <f>19000/2</f>
        <v>9500</v>
      </c>
    </row>
    <row r="194" spans="2:4" x14ac:dyDescent="0.3">
      <c r="B194" s="501" t="s">
        <v>356</v>
      </c>
      <c r="C194" s="500" t="s">
        <v>100</v>
      </c>
      <c r="D194" s="329">
        <f>50000</f>
        <v>50000</v>
      </c>
    </row>
    <row r="195" spans="2:4" x14ac:dyDescent="0.3">
      <c r="B195" s="501" t="s">
        <v>556</v>
      </c>
      <c r="C195" s="500" t="s">
        <v>100</v>
      </c>
      <c r="D195" s="329">
        <v>45000</v>
      </c>
    </row>
    <row r="196" spans="2:4" x14ac:dyDescent="0.3">
      <c r="B196" s="501" t="s">
        <v>360</v>
      </c>
      <c r="C196" s="500" t="s">
        <v>100</v>
      </c>
      <c r="D196" s="325">
        <v>38500</v>
      </c>
    </row>
    <row r="197" spans="2:4" x14ac:dyDescent="0.3">
      <c r="B197" s="500" t="s">
        <v>475</v>
      </c>
      <c r="C197" s="500" t="s">
        <v>187</v>
      </c>
      <c r="D197" s="325">
        <v>150000</v>
      </c>
    </row>
    <row r="198" spans="2:4" ht="25.5" x14ac:dyDescent="0.3">
      <c r="B198" s="500" t="s">
        <v>557</v>
      </c>
      <c r="C198" s="500" t="s">
        <v>63</v>
      </c>
      <c r="D198" s="325">
        <v>4840.0000000000018</v>
      </c>
    </row>
    <row r="199" spans="2:4" x14ac:dyDescent="0.3">
      <c r="B199" s="500" t="s">
        <v>476</v>
      </c>
      <c r="C199" s="500" t="s">
        <v>63</v>
      </c>
      <c r="D199" s="325">
        <v>70000</v>
      </c>
    </row>
    <row r="200" spans="2:4" x14ac:dyDescent="0.3">
      <c r="B200" s="500" t="s">
        <v>477</v>
      </c>
      <c r="C200" s="500" t="s">
        <v>63</v>
      </c>
      <c r="D200" s="325">
        <v>20000</v>
      </c>
    </row>
    <row r="201" spans="2:4" x14ac:dyDescent="0.3">
      <c r="B201" s="500" t="s">
        <v>478</v>
      </c>
      <c r="C201" s="500" t="s">
        <v>63</v>
      </c>
      <c r="D201" s="325">
        <v>78900</v>
      </c>
    </row>
    <row r="202" spans="2:4" x14ac:dyDescent="0.3">
      <c r="B202" s="500" t="s">
        <v>558</v>
      </c>
      <c r="C202" s="500" t="s">
        <v>63</v>
      </c>
      <c r="D202" s="329">
        <v>3800</v>
      </c>
    </row>
    <row r="203" spans="2:4" x14ac:dyDescent="0.3">
      <c r="B203" s="500" t="s">
        <v>559</v>
      </c>
      <c r="C203" s="500" t="s">
        <v>63</v>
      </c>
      <c r="D203" s="325">
        <v>3403.1250000000005</v>
      </c>
    </row>
    <row r="204" spans="2:4" x14ac:dyDescent="0.3">
      <c r="B204" s="500" t="s">
        <v>560</v>
      </c>
      <c r="C204" s="500" t="s">
        <v>63</v>
      </c>
      <c r="D204" s="325">
        <v>2887.5000000000005</v>
      </c>
    </row>
    <row r="205" spans="2:4" x14ac:dyDescent="0.3">
      <c r="B205" s="500" t="s">
        <v>561</v>
      </c>
      <c r="C205" s="500" t="s">
        <v>26</v>
      </c>
      <c r="D205" s="325">
        <v>14140.060000000001</v>
      </c>
    </row>
    <row r="206" spans="2:4" x14ac:dyDescent="0.3">
      <c r="B206" s="500" t="s">
        <v>562</v>
      </c>
      <c r="C206" s="500" t="s">
        <v>43</v>
      </c>
      <c r="D206" s="325">
        <v>7218.7500000000009</v>
      </c>
    </row>
    <row r="207" spans="2:4" x14ac:dyDescent="0.3">
      <c r="B207" s="500" t="s">
        <v>563</v>
      </c>
      <c r="C207" s="500" t="s">
        <v>43</v>
      </c>
      <c r="D207" s="325">
        <v>7218.7500000000009</v>
      </c>
    </row>
    <row r="208" spans="2:4" x14ac:dyDescent="0.3">
      <c r="B208" s="500" t="s">
        <v>482</v>
      </c>
      <c r="C208" s="500" t="s">
        <v>315</v>
      </c>
      <c r="D208" s="329">
        <v>2000</v>
      </c>
    </row>
    <row r="209" spans="2:4" x14ac:dyDescent="0.3">
      <c r="B209" s="500" t="s">
        <v>485</v>
      </c>
      <c r="C209" s="500" t="s">
        <v>100</v>
      </c>
      <c r="D209" s="329">
        <v>8000</v>
      </c>
    </row>
    <row r="210" spans="2:4" x14ac:dyDescent="0.3">
      <c r="B210" s="500" t="s">
        <v>564</v>
      </c>
      <c r="C210" s="500" t="s">
        <v>516</v>
      </c>
      <c r="D210" s="325">
        <v>48125.000000000007</v>
      </c>
    </row>
    <row r="211" spans="2:4" x14ac:dyDescent="0.3">
      <c r="B211" s="500" t="s">
        <v>565</v>
      </c>
      <c r="C211" s="500" t="s">
        <v>315</v>
      </c>
      <c r="D211" s="325">
        <v>1274625</v>
      </c>
    </row>
    <row r="212" spans="2:4" x14ac:dyDescent="0.3">
      <c r="B212" s="500" t="s">
        <v>566</v>
      </c>
      <c r="C212" s="500" t="s">
        <v>26</v>
      </c>
      <c r="D212" s="325">
        <v>4840.0000000000018</v>
      </c>
    </row>
    <row r="213" spans="2:4" x14ac:dyDescent="0.3">
      <c r="B213" s="500" t="s">
        <v>567</v>
      </c>
      <c r="C213" s="500" t="s">
        <v>516</v>
      </c>
      <c r="D213" s="329">
        <v>3000</v>
      </c>
    </row>
    <row r="214" spans="2:4" x14ac:dyDescent="0.3">
      <c r="B214" s="500" t="s">
        <v>568</v>
      </c>
      <c r="C214" s="500" t="s">
        <v>315</v>
      </c>
      <c r="D214" s="329">
        <v>200</v>
      </c>
    </row>
    <row r="215" spans="2:4" x14ac:dyDescent="0.3">
      <c r="B215" s="500" t="s">
        <v>569</v>
      </c>
      <c r="C215" s="500" t="s">
        <v>187</v>
      </c>
      <c r="D215" s="325">
        <v>2681.25</v>
      </c>
    </row>
    <row r="216" spans="2:4" x14ac:dyDescent="0.3">
      <c r="B216" s="500" t="s">
        <v>570</v>
      </c>
      <c r="C216" s="500" t="s">
        <v>516</v>
      </c>
      <c r="D216" s="325">
        <v>26397.250000000004</v>
      </c>
    </row>
    <row r="217" spans="2:4" x14ac:dyDescent="0.3">
      <c r="B217" s="500" t="s">
        <v>571</v>
      </c>
      <c r="C217" s="500" t="s">
        <v>572</v>
      </c>
      <c r="D217" s="329">
        <v>6000</v>
      </c>
    </row>
    <row r="218" spans="2:4" x14ac:dyDescent="0.3">
      <c r="B218" s="500" t="s">
        <v>573</v>
      </c>
      <c r="C218" s="500" t="s">
        <v>572</v>
      </c>
      <c r="D218" s="329">
        <v>11000</v>
      </c>
    </row>
    <row r="219" spans="2:4" x14ac:dyDescent="0.3">
      <c r="B219" s="500" t="s">
        <v>574</v>
      </c>
      <c r="C219" s="500" t="s">
        <v>315</v>
      </c>
      <c r="D219" s="325">
        <v>378.12500000000006</v>
      </c>
    </row>
    <row r="220" spans="2:4" x14ac:dyDescent="0.3">
      <c r="B220" s="500" t="s">
        <v>575</v>
      </c>
      <c r="C220" s="500" t="s">
        <v>317</v>
      </c>
      <c r="D220" s="325">
        <v>12856.250000000002</v>
      </c>
    </row>
    <row r="221" spans="2:4" x14ac:dyDescent="0.3">
      <c r="B221" s="500" t="s">
        <v>576</v>
      </c>
      <c r="C221" s="500" t="s">
        <v>63</v>
      </c>
      <c r="D221" s="329">
        <v>9500</v>
      </c>
    </row>
    <row r="222" spans="2:4" x14ac:dyDescent="0.3">
      <c r="B222" s="500" t="s">
        <v>577</v>
      </c>
      <c r="C222" s="500" t="s">
        <v>63</v>
      </c>
      <c r="D222" s="325">
        <v>9831.2500000000036</v>
      </c>
    </row>
    <row r="223" spans="2:4" x14ac:dyDescent="0.3">
      <c r="B223" s="500" t="s">
        <v>578</v>
      </c>
      <c r="C223" s="500" t="s">
        <v>63</v>
      </c>
      <c r="D223" s="329">
        <v>1300</v>
      </c>
    </row>
    <row r="224" spans="2:4" x14ac:dyDescent="0.3">
      <c r="B224" s="500" t="s">
        <v>480</v>
      </c>
      <c r="C224" s="500" t="s">
        <v>317</v>
      </c>
      <c r="D224" s="329">
        <v>500</v>
      </c>
    </row>
    <row r="225" spans="2:4" x14ac:dyDescent="0.3">
      <c r="B225" s="500" t="s">
        <v>579</v>
      </c>
      <c r="C225" s="500" t="s">
        <v>63</v>
      </c>
      <c r="D225" s="329">
        <v>8000</v>
      </c>
    </row>
    <row r="226" spans="2:4" x14ac:dyDescent="0.3">
      <c r="B226" s="500" t="s">
        <v>580</v>
      </c>
      <c r="C226" s="500" t="s">
        <v>63</v>
      </c>
      <c r="D226" s="325">
        <v>53542.500000000007</v>
      </c>
    </row>
    <row r="227" spans="2:4" x14ac:dyDescent="0.3">
      <c r="B227" s="500" t="s">
        <v>581</v>
      </c>
      <c r="C227" s="500" t="s">
        <v>63</v>
      </c>
      <c r="D227" s="325">
        <v>529375.00000000012</v>
      </c>
    </row>
    <row r="228" spans="2:4" x14ac:dyDescent="0.3">
      <c r="B228" s="500" t="s">
        <v>582</v>
      </c>
      <c r="C228" s="500" t="s">
        <v>516</v>
      </c>
      <c r="D228" s="325">
        <v>385.00000000000006</v>
      </c>
    </row>
    <row r="229" spans="2:4" x14ac:dyDescent="0.3">
      <c r="B229" s="500" t="s">
        <v>449</v>
      </c>
      <c r="C229" s="500" t="s">
        <v>63</v>
      </c>
      <c r="D229" s="325">
        <v>9831.2500000000036</v>
      </c>
    </row>
    <row r="230" spans="2:4" x14ac:dyDescent="0.3">
      <c r="B230" s="500" t="s">
        <v>583</v>
      </c>
      <c r="C230" s="500" t="s">
        <v>516</v>
      </c>
      <c r="D230" s="325">
        <v>11412.500000000002</v>
      </c>
    </row>
    <row r="231" spans="2:4" x14ac:dyDescent="0.3">
      <c r="B231" s="500" t="s">
        <v>584</v>
      </c>
      <c r="C231" s="500" t="s">
        <v>315</v>
      </c>
      <c r="D231" s="325">
        <v>101612.50000000001</v>
      </c>
    </row>
    <row r="232" spans="2:4" ht="25.5" x14ac:dyDescent="0.3">
      <c r="B232" s="500" t="s">
        <v>585</v>
      </c>
      <c r="C232" s="500" t="s">
        <v>187</v>
      </c>
      <c r="D232" s="325">
        <v>55962.500000000007</v>
      </c>
    </row>
    <row r="233" spans="2:4" x14ac:dyDescent="0.3">
      <c r="B233" s="500" t="s">
        <v>395</v>
      </c>
      <c r="C233" s="500" t="s">
        <v>187</v>
      </c>
      <c r="D233" s="325">
        <v>18906.250000000007</v>
      </c>
    </row>
    <row r="234" spans="2:4" x14ac:dyDescent="0.3">
      <c r="B234" s="500" t="s">
        <v>586</v>
      </c>
      <c r="C234" s="500" t="s">
        <v>187</v>
      </c>
      <c r="D234" s="325">
        <v>164813</v>
      </c>
    </row>
    <row r="235" spans="2:4" x14ac:dyDescent="0.3">
      <c r="B235" s="500" t="s">
        <v>391</v>
      </c>
      <c r="C235" s="500" t="s">
        <v>187</v>
      </c>
      <c r="D235" s="325">
        <v>18562.5</v>
      </c>
    </row>
    <row r="236" spans="2:4" x14ac:dyDescent="0.3">
      <c r="B236" s="500" t="s">
        <v>587</v>
      </c>
      <c r="C236" s="500" t="s">
        <v>516</v>
      </c>
      <c r="D236" s="325">
        <v>3368.7500000000005</v>
      </c>
    </row>
    <row r="237" spans="2:4" x14ac:dyDescent="0.3">
      <c r="B237" s="500" t="s">
        <v>588</v>
      </c>
      <c r="C237" s="500" t="s">
        <v>516</v>
      </c>
      <c r="D237" s="325">
        <v>6840.6250000000009</v>
      </c>
    </row>
    <row r="238" spans="2:4" x14ac:dyDescent="0.3">
      <c r="B238" s="500" t="s">
        <v>479</v>
      </c>
      <c r="C238" s="500" t="s">
        <v>315</v>
      </c>
      <c r="D238" s="329">
        <v>180000</v>
      </c>
    </row>
    <row r="239" spans="2:4" x14ac:dyDescent="0.3">
      <c r="B239" s="500" t="s">
        <v>379</v>
      </c>
      <c r="C239" s="500" t="s">
        <v>315</v>
      </c>
      <c r="D239" s="329">
        <v>25000</v>
      </c>
    </row>
    <row r="240" spans="2:4" x14ac:dyDescent="0.3">
      <c r="B240" s="500" t="s">
        <v>481</v>
      </c>
      <c r="C240" s="500" t="s">
        <v>315</v>
      </c>
      <c r="D240" s="329">
        <v>30000</v>
      </c>
    </row>
    <row r="241" spans="2:4" ht="25.5" x14ac:dyDescent="0.3">
      <c r="B241" s="500" t="s">
        <v>324</v>
      </c>
      <c r="C241" s="500" t="s">
        <v>325</v>
      </c>
      <c r="D241" s="325">
        <v>3500</v>
      </c>
    </row>
    <row r="242" spans="2:4" x14ac:dyDescent="0.3">
      <c r="B242" s="500" t="s">
        <v>589</v>
      </c>
      <c r="C242" s="500" t="s">
        <v>516</v>
      </c>
      <c r="D242" s="325">
        <v>11412.500000000002</v>
      </c>
    </row>
    <row r="243" spans="2:4" x14ac:dyDescent="0.3">
      <c r="B243" s="500" t="s">
        <v>590</v>
      </c>
      <c r="C243" s="500" t="s">
        <v>516</v>
      </c>
      <c r="D243" s="325">
        <v>16293.750000000002</v>
      </c>
    </row>
    <row r="244" spans="2:4" x14ac:dyDescent="0.3">
      <c r="B244" s="500" t="s">
        <v>591</v>
      </c>
      <c r="C244" s="500" t="s">
        <v>187</v>
      </c>
      <c r="D244" s="325">
        <v>4881.25</v>
      </c>
    </row>
    <row r="245" spans="2:4" x14ac:dyDescent="0.3">
      <c r="B245" s="500" t="s">
        <v>471</v>
      </c>
      <c r="C245" s="500" t="s">
        <v>315</v>
      </c>
      <c r="D245" s="329">
        <v>2500000</v>
      </c>
    </row>
    <row r="246" spans="2:4" x14ac:dyDescent="0.3">
      <c r="B246" s="500" t="s">
        <v>592</v>
      </c>
      <c r="C246" s="500" t="s">
        <v>516</v>
      </c>
      <c r="D246" s="325">
        <v>23375.000000000004</v>
      </c>
    </row>
    <row r="247" spans="2:4" x14ac:dyDescent="0.3">
      <c r="B247" s="500" t="s">
        <v>593</v>
      </c>
      <c r="C247" s="500" t="s">
        <v>187</v>
      </c>
      <c r="D247" s="329">
        <v>1200</v>
      </c>
    </row>
    <row r="248" spans="2:4" x14ac:dyDescent="0.3">
      <c r="B248" s="500" t="s">
        <v>594</v>
      </c>
      <c r="C248" s="500" t="s">
        <v>187</v>
      </c>
      <c r="D248" s="325">
        <v>226875.00000000003</v>
      </c>
    </row>
    <row r="249" spans="2:4" x14ac:dyDescent="0.3">
      <c r="B249" s="500" t="s">
        <v>394</v>
      </c>
      <c r="C249" s="500" t="s">
        <v>187</v>
      </c>
      <c r="D249" s="329">
        <v>800</v>
      </c>
    </row>
    <row r="250" spans="2:4" x14ac:dyDescent="0.3">
      <c r="B250" s="500" t="s">
        <v>595</v>
      </c>
      <c r="C250" s="500" t="s">
        <v>516</v>
      </c>
      <c r="D250" s="329">
        <v>8500</v>
      </c>
    </row>
    <row r="251" spans="2:4" x14ac:dyDescent="0.3">
      <c r="B251" s="500" t="s">
        <v>596</v>
      </c>
      <c r="C251" s="500" t="s">
        <v>516</v>
      </c>
      <c r="D251" s="329">
        <v>10000</v>
      </c>
    </row>
    <row r="252" spans="2:4" x14ac:dyDescent="0.3">
      <c r="B252" s="500" t="s">
        <v>597</v>
      </c>
      <c r="C252" s="500" t="s">
        <v>187</v>
      </c>
      <c r="D252" s="329">
        <v>130000</v>
      </c>
    </row>
    <row r="253" spans="2:4" x14ac:dyDescent="0.3">
      <c r="B253" s="500" t="s">
        <v>598</v>
      </c>
      <c r="C253" s="500" t="s">
        <v>187</v>
      </c>
      <c r="D253" s="325">
        <v>151250</v>
      </c>
    </row>
    <row r="254" spans="2:4" x14ac:dyDescent="0.3">
      <c r="B254" s="500" t="s">
        <v>599</v>
      </c>
      <c r="C254" s="500" t="s">
        <v>187</v>
      </c>
      <c r="D254" s="325">
        <v>169125</v>
      </c>
    </row>
    <row r="255" spans="2:4" x14ac:dyDescent="0.3">
      <c r="B255" s="500" t="s">
        <v>600</v>
      </c>
      <c r="C255" s="500" t="s">
        <v>187</v>
      </c>
      <c r="D255" s="325">
        <v>171875</v>
      </c>
    </row>
    <row r="256" spans="2:4" x14ac:dyDescent="0.3">
      <c r="B256" s="500" t="s">
        <v>601</v>
      </c>
      <c r="C256" s="500" t="s">
        <v>516</v>
      </c>
      <c r="D256" s="325">
        <v>9075</v>
      </c>
    </row>
    <row r="257" spans="2:4" x14ac:dyDescent="0.3">
      <c r="B257" s="500" t="s">
        <v>602</v>
      </c>
      <c r="C257" s="500" t="s">
        <v>516</v>
      </c>
      <c r="D257" s="325">
        <v>20792.75</v>
      </c>
    </row>
    <row r="258" spans="2:4" x14ac:dyDescent="0.3">
      <c r="B258" s="500" t="s">
        <v>603</v>
      </c>
      <c r="C258" s="500" t="s">
        <v>516</v>
      </c>
      <c r="D258" s="325">
        <v>31055.750000000004</v>
      </c>
    </row>
    <row r="259" spans="2:4" x14ac:dyDescent="0.3">
      <c r="B259" s="500" t="s">
        <v>604</v>
      </c>
      <c r="C259" s="500" t="s">
        <v>516</v>
      </c>
      <c r="D259" s="325">
        <v>43675.5</v>
      </c>
    </row>
    <row r="260" spans="2:4" x14ac:dyDescent="0.3">
      <c r="B260" s="500" t="s">
        <v>605</v>
      </c>
      <c r="C260" s="500" t="s">
        <v>516</v>
      </c>
      <c r="D260" s="325">
        <v>91664.375000000015</v>
      </c>
    </row>
    <row r="261" spans="2:4" x14ac:dyDescent="0.3">
      <c r="B261" s="500" t="s">
        <v>606</v>
      </c>
      <c r="C261" s="500" t="s">
        <v>315</v>
      </c>
      <c r="D261" s="325">
        <v>6452.8750000000009</v>
      </c>
    </row>
    <row r="262" spans="2:4" x14ac:dyDescent="0.3">
      <c r="B262" s="500" t="s">
        <v>607</v>
      </c>
      <c r="C262" s="500" t="s">
        <v>516</v>
      </c>
      <c r="D262" s="325">
        <v>14187.250000000002</v>
      </c>
    </row>
    <row r="263" spans="2:4" x14ac:dyDescent="0.3">
      <c r="B263" s="500" t="s">
        <v>608</v>
      </c>
      <c r="C263" s="500" t="s">
        <v>516</v>
      </c>
      <c r="D263" s="325">
        <v>16769.5</v>
      </c>
    </row>
    <row r="264" spans="2:4" x14ac:dyDescent="0.3">
      <c r="B264" s="500" t="s">
        <v>609</v>
      </c>
      <c r="C264" s="500" t="s">
        <v>315</v>
      </c>
      <c r="D264" s="325">
        <v>5469.75</v>
      </c>
    </row>
    <row r="265" spans="2:4" x14ac:dyDescent="0.3">
      <c r="B265" s="500" t="s">
        <v>610</v>
      </c>
      <c r="C265" s="500" t="s">
        <v>187</v>
      </c>
      <c r="D265" s="325">
        <v>6771.8750000000009</v>
      </c>
    </row>
    <row r="266" spans="2:4" x14ac:dyDescent="0.3">
      <c r="B266" s="500" t="s">
        <v>611</v>
      </c>
      <c r="C266" s="500" t="s">
        <v>187</v>
      </c>
      <c r="D266" s="325">
        <v>14260.125000000002</v>
      </c>
    </row>
    <row r="267" spans="2:4" x14ac:dyDescent="0.3">
      <c r="B267" s="500" t="s">
        <v>612</v>
      </c>
      <c r="C267" s="500" t="s">
        <v>187</v>
      </c>
      <c r="D267" s="325">
        <v>25114.375000000004</v>
      </c>
    </row>
    <row r="268" spans="2:4" x14ac:dyDescent="0.3">
      <c r="B268" s="500" t="s">
        <v>613</v>
      </c>
      <c r="C268" s="500" t="s">
        <v>187</v>
      </c>
      <c r="D268" s="325">
        <v>91330.250000000015</v>
      </c>
    </row>
    <row r="269" spans="2:4" x14ac:dyDescent="0.3">
      <c r="B269" s="500" t="s">
        <v>614</v>
      </c>
      <c r="C269" s="500" t="s">
        <v>187</v>
      </c>
      <c r="D269" s="325">
        <v>83737.5</v>
      </c>
    </row>
    <row r="270" spans="2:4" x14ac:dyDescent="0.3">
      <c r="B270" s="500" t="s">
        <v>615</v>
      </c>
      <c r="C270" s="500" t="s">
        <v>187</v>
      </c>
      <c r="D270" s="325">
        <v>174487.5</v>
      </c>
    </row>
    <row r="271" spans="2:4" x14ac:dyDescent="0.3">
      <c r="B271" s="500" t="s">
        <v>616</v>
      </c>
      <c r="C271" s="500" t="s">
        <v>187</v>
      </c>
      <c r="D271" s="325">
        <v>14925.625000000002</v>
      </c>
    </row>
    <row r="272" spans="2:4" x14ac:dyDescent="0.3">
      <c r="B272" s="500" t="s">
        <v>617</v>
      </c>
      <c r="C272" s="500" t="s">
        <v>187</v>
      </c>
      <c r="D272" s="325">
        <v>18506.125</v>
      </c>
    </row>
    <row r="273" spans="2:4" x14ac:dyDescent="0.3">
      <c r="B273" s="500" t="s">
        <v>618</v>
      </c>
      <c r="C273" s="500" t="s">
        <v>187</v>
      </c>
      <c r="D273" s="325">
        <v>12714.625000000002</v>
      </c>
    </row>
    <row r="274" spans="2:4" x14ac:dyDescent="0.3">
      <c r="B274" s="500" t="s">
        <v>619</v>
      </c>
      <c r="C274" s="500" t="s">
        <v>187</v>
      </c>
      <c r="D274" s="325">
        <v>26118.125000000004</v>
      </c>
    </row>
    <row r="275" spans="2:4" ht="51" x14ac:dyDescent="0.3">
      <c r="B275" s="500" t="s">
        <v>620</v>
      </c>
      <c r="C275" s="500" t="s">
        <v>187</v>
      </c>
      <c r="D275" s="325">
        <v>3594250.0000000005</v>
      </c>
    </row>
    <row r="276" spans="2:4" x14ac:dyDescent="0.3">
      <c r="B276" s="500" t="s">
        <v>621</v>
      </c>
      <c r="C276" s="500" t="s">
        <v>187</v>
      </c>
      <c r="D276" s="325">
        <v>948750.00000000012</v>
      </c>
    </row>
    <row r="277" spans="2:4" x14ac:dyDescent="0.3">
      <c r="B277" s="500" t="s">
        <v>622</v>
      </c>
      <c r="C277" s="500" t="s">
        <v>187</v>
      </c>
      <c r="D277" s="325">
        <v>2051.5</v>
      </c>
    </row>
    <row r="278" spans="2:4" x14ac:dyDescent="0.3">
      <c r="B278" s="500" t="s">
        <v>623</v>
      </c>
      <c r="C278" s="500" t="s">
        <v>187</v>
      </c>
      <c r="D278" s="325">
        <v>2604.25</v>
      </c>
    </row>
    <row r="279" spans="2:4" x14ac:dyDescent="0.3">
      <c r="B279" s="500" t="s">
        <v>624</v>
      </c>
      <c r="C279" s="500" t="s">
        <v>187</v>
      </c>
      <c r="D279" s="325">
        <v>598125</v>
      </c>
    </row>
    <row r="280" spans="2:4" x14ac:dyDescent="0.3">
      <c r="B280" s="500" t="s">
        <v>625</v>
      </c>
      <c r="C280" s="500" t="s">
        <v>187</v>
      </c>
      <c r="D280" s="325">
        <v>16583.875</v>
      </c>
    </row>
    <row r="281" spans="2:4" x14ac:dyDescent="0.3">
      <c r="B281" s="500" t="s">
        <v>626</v>
      </c>
      <c r="C281" s="500" t="s">
        <v>187</v>
      </c>
      <c r="D281" s="325">
        <v>16583.875</v>
      </c>
    </row>
    <row r="282" spans="2:4" x14ac:dyDescent="0.3">
      <c r="B282" s="500" t="s">
        <v>627</v>
      </c>
      <c r="C282" s="500" t="s">
        <v>187</v>
      </c>
      <c r="D282" s="325">
        <v>62352.125000000007</v>
      </c>
    </row>
    <row r="283" spans="2:4" x14ac:dyDescent="0.3">
      <c r="B283" s="500" t="s">
        <v>628</v>
      </c>
      <c r="C283" s="500" t="s">
        <v>187</v>
      </c>
      <c r="D283" s="325">
        <v>5542.625</v>
      </c>
    </row>
    <row r="284" spans="2:4" x14ac:dyDescent="0.3">
      <c r="B284" s="500" t="s">
        <v>629</v>
      </c>
      <c r="C284" s="500" t="s">
        <v>187</v>
      </c>
      <c r="D284" s="325">
        <v>12838.375000000002</v>
      </c>
    </row>
    <row r="285" spans="2:4" x14ac:dyDescent="0.3">
      <c r="B285" s="500" t="s">
        <v>630</v>
      </c>
      <c r="C285" s="500" t="s">
        <v>187</v>
      </c>
      <c r="D285" s="325">
        <v>22323.125</v>
      </c>
    </row>
    <row r="286" spans="2:4" x14ac:dyDescent="0.3">
      <c r="B286" s="500" t="s">
        <v>631</v>
      </c>
      <c r="C286" s="500" t="s">
        <v>187</v>
      </c>
      <c r="D286" s="325">
        <v>188959.37500000003</v>
      </c>
    </row>
    <row r="287" spans="2:4" x14ac:dyDescent="0.3">
      <c r="B287" s="500" t="s">
        <v>632</v>
      </c>
      <c r="C287" s="500" t="s">
        <v>516</v>
      </c>
      <c r="D287" s="325">
        <v>28187.500000000004</v>
      </c>
    </row>
    <row r="288" spans="2:4" x14ac:dyDescent="0.3">
      <c r="B288" s="500" t="s">
        <v>633</v>
      </c>
      <c r="C288" s="500" t="s">
        <v>187</v>
      </c>
      <c r="D288" s="325">
        <v>4812.5</v>
      </c>
    </row>
    <row r="289" spans="2:4" x14ac:dyDescent="0.3">
      <c r="B289" s="500" t="s">
        <v>634</v>
      </c>
      <c r="C289" s="500" t="s">
        <v>187</v>
      </c>
      <c r="D289" s="325">
        <v>3712.5000000000005</v>
      </c>
    </row>
    <row r="290" spans="2:4" x14ac:dyDescent="0.3">
      <c r="B290" s="500" t="s">
        <v>635</v>
      </c>
      <c r="C290" s="500" t="s">
        <v>516</v>
      </c>
      <c r="D290" s="325">
        <v>6505.1250000000009</v>
      </c>
    </row>
    <row r="291" spans="2:4" x14ac:dyDescent="0.3">
      <c r="B291" s="500" t="s">
        <v>636</v>
      </c>
      <c r="C291" s="500" t="s">
        <v>516</v>
      </c>
      <c r="D291" s="325">
        <v>8662.5</v>
      </c>
    </row>
    <row r="292" spans="2:4" x14ac:dyDescent="0.3">
      <c r="B292" s="500" t="s">
        <v>637</v>
      </c>
      <c r="C292" s="500" t="s">
        <v>516</v>
      </c>
      <c r="D292" s="325">
        <v>11687.500000000002</v>
      </c>
    </row>
    <row r="293" spans="2:4" x14ac:dyDescent="0.3">
      <c r="B293" s="500" t="s">
        <v>638</v>
      </c>
      <c r="C293" s="500" t="s">
        <v>187</v>
      </c>
      <c r="D293" s="325">
        <v>1780.6250000000002</v>
      </c>
    </row>
    <row r="294" spans="2:4" x14ac:dyDescent="0.3">
      <c r="B294" s="500" t="s">
        <v>639</v>
      </c>
      <c r="C294" s="500" t="s">
        <v>187</v>
      </c>
      <c r="D294" s="325">
        <v>1420.3750000000002</v>
      </c>
    </row>
    <row r="295" spans="2:4" x14ac:dyDescent="0.3">
      <c r="B295" s="500" t="s">
        <v>640</v>
      </c>
      <c r="C295" s="500" t="s">
        <v>187</v>
      </c>
      <c r="D295" s="325">
        <v>742.50000000000011</v>
      </c>
    </row>
    <row r="296" spans="2:4" x14ac:dyDescent="0.3">
      <c r="B296" s="500" t="s">
        <v>641</v>
      </c>
      <c r="C296" s="500" t="s">
        <v>187</v>
      </c>
      <c r="D296" s="325">
        <v>838.75000000000011</v>
      </c>
    </row>
    <row r="297" spans="2:4" x14ac:dyDescent="0.3">
      <c r="B297" s="500" t="s">
        <v>642</v>
      </c>
      <c r="C297" s="500" t="s">
        <v>187</v>
      </c>
      <c r="D297" s="325">
        <v>2337.5</v>
      </c>
    </row>
    <row r="298" spans="2:4" x14ac:dyDescent="0.3">
      <c r="B298" s="500" t="s">
        <v>643</v>
      </c>
      <c r="C298" s="500" t="s">
        <v>315</v>
      </c>
      <c r="D298" s="325">
        <v>56498.750000000007</v>
      </c>
    </row>
    <row r="299" spans="2:4" x14ac:dyDescent="0.3">
      <c r="B299" s="500" t="s">
        <v>644</v>
      </c>
      <c r="C299" s="500" t="s">
        <v>315</v>
      </c>
      <c r="D299" s="325">
        <v>29568.000000000004</v>
      </c>
    </row>
    <row r="300" spans="2:4" x14ac:dyDescent="0.3">
      <c r="B300" s="500" t="s">
        <v>645</v>
      </c>
      <c r="C300" s="500" t="s">
        <v>187</v>
      </c>
      <c r="D300" s="325">
        <v>90989.250000000015</v>
      </c>
    </row>
    <row r="301" spans="2:4" x14ac:dyDescent="0.3">
      <c r="B301" s="500" t="s">
        <v>646</v>
      </c>
      <c r="C301" s="500" t="s">
        <v>187</v>
      </c>
      <c r="D301" s="325">
        <v>13006.125000000002</v>
      </c>
    </row>
    <row r="302" spans="2:4" ht="16.5" x14ac:dyDescent="0.3">
      <c r="B302" s="500" t="s">
        <v>326</v>
      </c>
      <c r="C302" s="500" t="s">
        <v>187</v>
      </c>
      <c r="D302" s="439">
        <v>22000</v>
      </c>
    </row>
    <row r="303" spans="2:4" ht="16.5" x14ac:dyDescent="0.3">
      <c r="B303" s="500" t="s">
        <v>327</v>
      </c>
      <c r="C303" s="500" t="s">
        <v>187</v>
      </c>
      <c r="D303" s="439">
        <v>8500</v>
      </c>
    </row>
    <row r="304" spans="2:4" ht="16.5" x14ac:dyDescent="0.3">
      <c r="B304" s="500" t="s">
        <v>328</v>
      </c>
      <c r="C304" s="500" t="s">
        <v>329</v>
      </c>
      <c r="D304" s="439">
        <v>14983.33</v>
      </c>
    </row>
    <row r="305" spans="2:4" ht="16.5" x14ac:dyDescent="0.3">
      <c r="B305" s="500" t="s">
        <v>330</v>
      </c>
      <c r="C305" s="500" t="s">
        <v>187</v>
      </c>
      <c r="D305" s="439">
        <v>700</v>
      </c>
    </row>
    <row r="306" spans="2:4" x14ac:dyDescent="0.3">
      <c r="B306" s="500" t="s">
        <v>647</v>
      </c>
      <c r="C306" s="500" t="s">
        <v>187</v>
      </c>
      <c r="D306" s="325">
        <v>4884.6875</v>
      </c>
    </row>
    <row r="307" spans="2:4" x14ac:dyDescent="0.3">
      <c r="B307" s="500" t="s">
        <v>648</v>
      </c>
      <c r="C307" s="500" t="s">
        <v>187</v>
      </c>
      <c r="D307" s="325">
        <v>897.18750000000011</v>
      </c>
    </row>
    <row r="308" spans="2:4" x14ac:dyDescent="0.3">
      <c r="B308" s="500" t="s">
        <v>649</v>
      </c>
      <c r="C308" s="500" t="s">
        <v>187</v>
      </c>
      <c r="D308" s="325">
        <v>697.8125</v>
      </c>
    </row>
    <row r="309" spans="2:4" x14ac:dyDescent="0.3">
      <c r="B309" s="500" t="s">
        <v>650</v>
      </c>
      <c r="C309" s="500" t="s">
        <v>187</v>
      </c>
      <c r="D309" s="325">
        <v>1096.5625</v>
      </c>
    </row>
    <row r="310" spans="2:4" x14ac:dyDescent="0.3">
      <c r="B310" s="500" t="s">
        <v>651</v>
      </c>
      <c r="C310" s="500" t="s">
        <v>187</v>
      </c>
      <c r="D310" s="325">
        <v>1096.5625</v>
      </c>
    </row>
    <row r="311" spans="2:4" x14ac:dyDescent="0.3">
      <c r="B311" s="500" t="s">
        <v>652</v>
      </c>
      <c r="C311" s="500" t="s">
        <v>187</v>
      </c>
      <c r="D311" s="325">
        <v>64796.875000000007</v>
      </c>
    </row>
    <row r="312" spans="2:4" x14ac:dyDescent="0.3">
      <c r="B312" s="500" t="s">
        <v>653</v>
      </c>
      <c r="C312" s="500" t="s">
        <v>187</v>
      </c>
      <c r="D312" s="325">
        <v>10862.5</v>
      </c>
    </row>
    <row r="313" spans="2:4" x14ac:dyDescent="0.3">
      <c r="B313" s="500" t="s">
        <v>654</v>
      </c>
      <c r="C313" s="500" t="s">
        <v>187</v>
      </c>
      <c r="D313" s="325">
        <v>56237.500000000007</v>
      </c>
    </row>
    <row r="315" spans="2:4" x14ac:dyDescent="0.3">
      <c r="B315" s="500" t="s">
        <v>655</v>
      </c>
      <c r="C315" s="500" t="s">
        <v>187</v>
      </c>
      <c r="D315" s="325">
        <v>22928.125000000004</v>
      </c>
    </row>
    <row r="316" spans="2:4" x14ac:dyDescent="0.3">
      <c r="B316" s="500" t="s">
        <v>656</v>
      </c>
      <c r="C316" s="500" t="s">
        <v>187</v>
      </c>
      <c r="D316" s="325">
        <v>268125</v>
      </c>
    </row>
    <row r="317" spans="2:4" x14ac:dyDescent="0.3">
      <c r="B317" s="500" t="s">
        <v>657</v>
      </c>
      <c r="C317" s="500" t="s">
        <v>187</v>
      </c>
      <c r="D317" s="325">
        <v>275467.5</v>
      </c>
    </row>
    <row r="318" spans="2:4" x14ac:dyDescent="0.3">
      <c r="B318" s="500" t="s">
        <v>658</v>
      </c>
      <c r="C318" s="500" t="s">
        <v>63</v>
      </c>
      <c r="D318" s="325">
        <v>3575.0000000000005</v>
      </c>
    </row>
    <row r="319" spans="2:4" x14ac:dyDescent="0.3">
      <c r="B319" s="500" t="s">
        <v>659</v>
      </c>
      <c r="C319" s="500" t="s">
        <v>315</v>
      </c>
      <c r="D319" s="325">
        <v>6187.5000000000009</v>
      </c>
    </row>
    <row r="320" spans="2:4" x14ac:dyDescent="0.3">
      <c r="B320" s="500" t="s">
        <v>660</v>
      </c>
      <c r="C320" s="500" t="s">
        <v>100</v>
      </c>
      <c r="D320" s="325">
        <v>414356.25000000006</v>
      </c>
    </row>
    <row r="321" spans="2:4" x14ac:dyDescent="0.3">
      <c r="B321" s="500" t="s">
        <v>661</v>
      </c>
      <c r="C321" s="500" t="s">
        <v>100</v>
      </c>
      <c r="D321" s="325">
        <v>380531.25000000006</v>
      </c>
    </row>
    <row r="322" spans="2:4" x14ac:dyDescent="0.3">
      <c r="B322" s="500" t="s">
        <v>662</v>
      </c>
      <c r="C322" s="500" t="s">
        <v>516</v>
      </c>
      <c r="D322" s="325">
        <v>36361.875</v>
      </c>
    </row>
    <row r="323" spans="2:4" x14ac:dyDescent="0.3">
      <c r="B323" s="500" t="s">
        <v>663</v>
      </c>
      <c r="C323" s="500" t="s">
        <v>100</v>
      </c>
      <c r="D323" s="325">
        <v>414356.25000000006</v>
      </c>
    </row>
    <row r="324" spans="2:4" x14ac:dyDescent="0.3">
      <c r="B324" s="500" t="s">
        <v>664</v>
      </c>
      <c r="C324" s="500" t="s">
        <v>187</v>
      </c>
      <c r="D324" s="325">
        <v>422.81250000000006</v>
      </c>
    </row>
    <row r="325" spans="2:4" x14ac:dyDescent="0.3">
      <c r="B325" s="500" t="s">
        <v>665</v>
      </c>
      <c r="C325" s="500" t="s">
        <v>516</v>
      </c>
      <c r="D325" s="325">
        <v>5919.3750000000009</v>
      </c>
    </row>
    <row r="326" spans="2:4" x14ac:dyDescent="0.3">
      <c r="B326" s="500" t="s">
        <v>666</v>
      </c>
      <c r="C326" s="500" t="s">
        <v>187</v>
      </c>
      <c r="D326" s="325">
        <v>852.50000000000011</v>
      </c>
    </row>
    <row r="327" spans="2:4" x14ac:dyDescent="0.3">
      <c r="B327" s="500" t="s">
        <v>667</v>
      </c>
      <c r="C327" s="500" t="s">
        <v>187</v>
      </c>
      <c r="D327" s="325">
        <v>77121</v>
      </c>
    </row>
    <row r="328" spans="2:4" x14ac:dyDescent="0.3">
      <c r="B328" s="500" t="s">
        <v>668</v>
      </c>
      <c r="C328" s="500" t="s">
        <v>187</v>
      </c>
      <c r="D328" s="325">
        <v>162937.5</v>
      </c>
    </row>
    <row r="329" spans="2:4" x14ac:dyDescent="0.3">
      <c r="B329" s="500" t="s">
        <v>669</v>
      </c>
      <c r="C329" s="500" t="s">
        <v>187</v>
      </c>
      <c r="D329" s="325">
        <v>446875.00000000006</v>
      </c>
    </row>
    <row r="330" spans="2:4" x14ac:dyDescent="0.3">
      <c r="B330" s="500" t="s">
        <v>670</v>
      </c>
      <c r="C330" s="500" t="s">
        <v>187</v>
      </c>
      <c r="D330" s="325">
        <v>4812.5</v>
      </c>
    </row>
    <row r="331" spans="2:4" x14ac:dyDescent="0.3">
      <c r="B331" s="500" t="s">
        <v>671</v>
      </c>
      <c r="C331" s="500" t="s">
        <v>187</v>
      </c>
      <c r="D331" s="325">
        <v>49087.500000000007</v>
      </c>
    </row>
    <row r="332" spans="2:4" x14ac:dyDescent="0.3">
      <c r="B332" s="500" t="s">
        <v>672</v>
      </c>
      <c r="C332" s="500" t="s">
        <v>516</v>
      </c>
      <c r="D332" s="325">
        <v>109931.25000000001</v>
      </c>
    </row>
    <row r="333" spans="2:4" x14ac:dyDescent="0.3">
      <c r="B333" s="500" t="s">
        <v>673</v>
      </c>
      <c r="C333" s="500" t="s">
        <v>516</v>
      </c>
      <c r="D333" s="325">
        <v>50875.000000000007</v>
      </c>
    </row>
    <row r="334" spans="2:4" x14ac:dyDescent="0.3">
      <c r="B334" s="500" t="s">
        <v>674</v>
      </c>
      <c r="C334" s="500" t="s">
        <v>187</v>
      </c>
      <c r="D334" s="325">
        <v>550</v>
      </c>
    </row>
    <row r="335" spans="2:4" x14ac:dyDescent="0.3">
      <c r="B335" s="500" t="s">
        <v>675</v>
      </c>
      <c r="C335" s="500" t="s">
        <v>100</v>
      </c>
      <c r="D335" s="325">
        <v>718781.25</v>
      </c>
    </row>
    <row r="336" spans="2:4" x14ac:dyDescent="0.3">
      <c r="B336" s="500" t="s">
        <v>676</v>
      </c>
      <c r="C336" s="500" t="s">
        <v>100</v>
      </c>
      <c r="D336" s="325">
        <v>422812.50000000006</v>
      </c>
    </row>
    <row r="337" spans="2:4" x14ac:dyDescent="0.3">
      <c r="B337" s="500" t="s">
        <v>677</v>
      </c>
      <c r="C337" s="500" t="s">
        <v>187</v>
      </c>
      <c r="D337" s="325">
        <v>25368.750000000004</v>
      </c>
    </row>
    <row r="338" spans="2:4" x14ac:dyDescent="0.3">
      <c r="B338" s="500" t="s">
        <v>678</v>
      </c>
      <c r="C338" s="500" t="s">
        <v>169</v>
      </c>
      <c r="D338" s="325">
        <v>10312.5</v>
      </c>
    </row>
    <row r="339" spans="2:4" x14ac:dyDescent="0.3">
      <c r="B339" s="500" t="s">
        <v>679</v>
      </c>
      <c r="C339" s="500" t="s">
        <v>680</v>
      </c>
      <c r="D339" s="325">
        <v>68.75</v>
      </c>
    </row>
    <row r="340" spans="2:4" x14ac:dyDescent="0.3">
      <c r="B340" s="500" t="s">
        <v>681</v>
      </c>
      <c r="C340" s="500" t="s">
        <v>516</v>
      </c>
      <c r="D340" s="325">
        <v>289437.5</v>
      </c>
    </row>
    <row r="341" spans="2:4" x14ac:dyDescent="0.3">
      <c r="B341" s="500" t="s">
        <v>682</v>
      </c>
      <c r="C341" s="500" t="s">
        <v>317</v>
      </c>
      <c r="D341" s="325">
        <v>22687.500000000004</v>
      </c>
    </row>
    <row r="342" spans="2:4" ht="25.5" x14ac:dyDescent="0.3">
      <c r="B342" s="500" t="s">
        <v>683</v>
      </c>
      <c r="C342" s="500" t="s">
        <v>543</v>
      </c>
      <c r="D342" s="325">
        <v>9556.25</v>
      </c>
    </row>
    <row r="343" spans="2:4" ht="25.5" x14ac:dyDescent="0.3">
      <c r="B343" s="500" t="s">
        <v>684</v>
      </c>
      <c r="C343" s="500" t="s">
        <v>315</v>
      </c>
      <c r="D343" s="325">
        <v>3437.5000000000005</v>
      </c>
    </row>
    <row r="344" spans="2:4" x14ac:dyDescent="0.3">
      <c r="B344" s="500" t="s">
        <v>685</v>
      </c>
      <c r="C344" s="500" t="s">
        <v>317</v>
      </c>
      <c r="D344" s="325">
        <v>26812.500000000004</v>
      </c>
    </row>
    <row r="345" spans="2:4" ht="25.5" x14ac:dyDescent="0.3">
      <c r="B345" s="500" t="s">
        <v>686</v>
      </c>
      <c r="C345" s="500" t="s">
        <v>100</v>
      </c>
      <c r="D345" s="329">
        <f>380000/(6*0.94)</f>
        <v>67375.886524822694</v>
      </c>
    </row>
    <row r="346" spans="2:4" x14ac:dyDescent="0.3">
      <c r="B346" s="500" t="s">
        <v>687</v>
      </c>
      <c r="C346" s="500" t="s">
        <v>516</v>
      </c>
      <c r="D346" s="325">
        <v>3162.5000000000005</v>
      </c>
    </row>
    <row r="347" spans="2:4" x14ac:dyDescent="0.3">
      <c r="B347" s="500" t="s">
        <v>688</v>
      </c>
      <c r="C347" s="500" t="s">
        <v>187</v>
      </c>
      <c r="D347" s="325">
        <v>275</v>
      </c>
    </row>
    <row r="348" spans="2:4" x14ac:dyDescent="0.3">
      <c r="B348" s="500" t="s">
        <v>689</v>
      </c>
      <c r="C348" s="500" t="s">
        <v>187</v>
      </c>
      <c r="D348" s="325">
        <v>1168.75</v>
      </c>
    </row>
    <row r="349" spans="2:4" x14ac:dyDescent="0.3">
      <c r="B349" s="500" t="s">
        <v>690</v>
      </c>
      <c r="C349" s="500" t="s">
        <v>187</v>
      </c>
      <c r="D349" s="325">
        <v>68.75</v>
      </c>
    </row>
    <row r="350" spans="2:4" ht="25.5" x14ac:dyDescent="0.3">
      <c r="B350" s="500" t="s">
        <v>691</v>
      </c>
      <c r="C350" s="500" t="s">
        <v>187</v>
      </c>
      <c r="D350" s="325">
        <v>72007.375</v>
      </c>
    </row>
    <row r="351" spans="2:4" ht="25.5" x14ac:dyDescent="0.3">
      <c r="B351" s="500" t="s">
        <v>692</v>
      </c>
      <c r="C351" s="500" t="s">
        <v>693</v>
      </c>
      <c r="D351" s="325">
        <v>206250.00000000003</v>
      </c>
    </row>
    <row r="352" spans="2:4" x14ac:dyDescent="0.3">
      <c r="B352" s="500" t="s">
        <v>694</v>
      </c>
      <c r="C352" s="500" t="s">
        <v>187</v>
      </c>
      <c r="D352" s="325">
        <v>666875</v>
      </c>
    </row>
    <row r="353" spans="2:4" x14ac:dyDescent="0.3">
      <c r="B353" s="500" t="s">
        <v>695</v>
      </c>
      <c r="C353" s="500" t="s">
        <v>315</v>
      </c>
      <c r="D353" s="325">
        <v>454636.87500000006</v>
      </c>
    </row>
    <row r="354" spans="2:4" x14ac:dyDescent="0.3">
      <c r="B354" s="500" t="s">
        <v>696</v>
      </c>
      <c r="C354" s="500" t="s">
        <v>315</v>
      </c>
      <c r="D354" s="325">
        <v>15812.500000000002</v>
      </c>
    </row>
    <row r="355" spans="2:4" x14ac:dyDescent="0.3">
      <c r="B355" s="500" t="s">
        <v>697</v>
      </c>
      <c r="C355" s="500" t="s">
        <v>315</v>
      </c>
      <c r="D355" s="325">
        <v>756250.00000000012</v>
      </c>
    </row>
    <row r="356" spans="2:4" x14ac:dyDescent="0.3">
      <c r="B356" s="500" t="s">
        <v>698</v>
      </c>
      <c r="C356" s="500" t="s">
        <v>315</v>
      </c>
      <c r="D356" s="325">
        <v>44550</v>
      </c>
    </row>
    <row r="357" spans="2:4" x14ac:dyDescent="0.3">
      <c r="B357" s="500" t="s">
        <v>699</v>
      </c>
      <c r="C357" s="500" t="s">
        <v>315</v>
      </c>
      <c r="D357" s="325">
        <v>11275.000000000002</v>
      </c>
    </row>
    <row r="358" spans="2:4" x14ac:dyDescent="0.3">
      <c r="B358" s="500" t="s">
        <v>700</v>
      </c>
      <c r="C358" s="500" t="s">
        <v>516</v>
      </c>
      <c r="D358" s="325">
        <v>226875.00000000003</v>
      </c>
    </row>
    <row r="359" spans="2:4" x14ac:dyDescent="0.3">
      <c r="B359" s="500" t="s">
        <v>701</v>
      </c>
      <c r="C359" s="500" t="s">
        <v>304</v>
      </c>
      <c r="D359" s="325">
        <v>59545.750000000007</v>
      </c>
    </row>
    <row r="360" spans="2:4" x14ac:dyDescent="0.3">
      <c r="B360" s="500" t="s">
        <v>702</v>
      </c>
      <c r="C360" s="500" t="s">
        <v>100</v>
      </c>
      <c r="D360" s="325">
        <v>89375</v>
      </c>
    </row>
    <row r="361" spans="2:4" x14ac:dyDescent="0.3">
      <c r="B361" s="500" t="s">
        <v>703</v>
      </c>
      <c r="C361" s="500" t="s">
        <v>516</v>
      </c>
      <c r="D361" s="325">
        <v>76175</v>
      </c>
    </row>
    <row r="362" spans="2:4" x14ac:dyDescent="0.3">
      <c r="B362" s="500" t="s">
        <v>704</v>
      </c>
      <c r="C362" s="500" t="s">
        <v>315</v>
      </c>
      <c r="D362" s="325">
        <v>12237.500000000002</v>
      </c>
    </row>
    <row r="363" spans="2:4" x14ac:dyDescent="0.3">
      <c r="B363" s="500" t="s">
        <v>705</v>
      </c>
      <c r="C363" s="500" t="s">
        <v>315</v>
      </c>
      <c r="D363" s="325">
        <v>85937.5</v>
      </c>
    </row>
    <row r="364" spans="2:4" x14ac:dyDescent="0.3">
      <c r="B364" s="500" t="s">
        <v>706</v>
      </c>
      <c r="C364" s="500" t="s">
        <v>315</v>
      </c>
      <c r="D364" s="325">
        <v>135437.5</v>
      </c>
    </row>
    <row r="365" spans="2:4" x14ac:dyDescent="0.3">
      <c r="B365" s="500" t="s">
        <v>707</v>
      </c>
      <c r="C365" s="500" t="s">
        <v>304</v>
      </c>
      <c r="D365" s="325">
        <v>35750</v>
      </c>
    </row>
    <row r="366" spans="2:4" x14ac:dyDescent="0.3">
      <c r="B366" s="500" t="s">
        <v>708</v>
      </c>
      <c r="C366" s="500" t="s">
        <v>317</v>
      </c>
      <c r="D366" s="325">
        <v>2942.5000000000005</v>
      </c>
    </row>
    <row r="367" spans="2:4" x14ac:dyDescent="0.3">
      <c r="B367" s="500" t="s">
        <v>709</v>
      </c>
      <c r="C367" s="500" t="s">
        <v>100</v>
      </c>
      <c r="D367" s="325">
        <v>170500</v>
      </c>
    </row>
    <row r="368" spans="2:4" x14ac:dyDescent="0.3">
      <c r="B368" s="500" t="s">
        <v>710</v>
      </c>
      <c r="C368" s="500" t="s">
        <v>100</v>
      </c>
      <c r="D368" s="325">
        <v>34925</v>
      </c>
    </row>
    <row r="369" spans="2:4" x14ac:dyDescent="0.3">
      <c r="B369" s="500" t="s">
        <v>711</v>
      </c>
      <c r="C369" s="500" t="s">
        <v>315</v>
      </c>
      <c r="D369" s="325">
        <v>11687.500000000002</v>
      </c>
    </row>
    <row r="370" spans="2:4" x14ac:dyDescent="0.3">
      <c r="B370" s="500" t="s">
        <v>712</v>
      </c>
      <c r="C370" s="500" t="s">
        <v>100</v>
      </c>
      <c r="D370" s="325">
        <v>89375</v>
      </c>
    </row>
    <row r="371" spans="2:4" x14ac:dyDescent="0.3">
      <c r="B371" s="500" t="s">
        <v>713</v>
      </c>
      <c r="C371" s="500" t="s">
        <v>315</v>
      </c>
      <c r="D371" s="325">
        <v>137.5</v>
      </c>
    </row>
    <row r="372" spans="2:4" x14ac:dyDescent="0.3">
      <c r="B372" s="500" t="s">
        <v>714</v>
      </c>
      <c r="C372" s="500" t="s">
        <v>100</v>
      </c>
      <c r="D372" s="325">
        <v>21312.5</v>
      </c>
    </row>
    <row r="373" spans="2:4" x14ac:dyDescent="0.3">
      <c r="B373" s="500" t="s">
        <v>715</v>
      </c>
      <c r="C373" s="500" t="s">
        <v>315</v>
      </c>
      <c r="D373" s="325">
        <v>48675.000000000007</v>
      </c>
    </row>
    <row r="374" spans="2:4" x14ac:dyDescent="0.3">
      <c r="B374" s="500" t="s">
        <v>716</v>
      </c>
      <c r="C374" s="500" t="s">
        <v>315</v>
      </c>
      <c r="D374" s="325">
        <v>13062.500000000002</v>
      </c>
    </row>
    <row r="375" spans="2:4" x14ac:dyDescent="0.3">
      <c r="B375" s="500" t="s">
        <v>717</v>
      </c>
      <c r="C375" s="500" t="s">
        <v>516</v>
      </c>
      <c r="D375" s="325">
        <v>21793.75</v>
      </c>
    </row>
    <row r="376" spans="2:4" x14ac:dyDescent="0.3">
      <c r="B376" s="500" t="s">
        <v>718</v>
      </c>
      <c r="C376" s="500" t="s">
        <v>315</v>
      </c>
      <c r="D376" s="325">
        <v>15812.500000000002</v>
      </c>
    </row>
    <row r="377" spans="2:4" x14ac:dyDescent="0.3">
      <c r="B377" s="500" t="s">
        <v>719</v>
      </c>
      <c r="C377" s="500" t="s">
        <v>315</v>
      </c>
      <c r="D377" s="325">
        <v>14437.500000000002</v>
      </c>
    </row>
    <row r="378" spans="2:4" x14ac:dyDescent="0.3">
      <c r="B378" s="500" t="s">
        <v>720</v>
      </c>
      <c r="C378" s="500" t="s">
        <v>315</v>
      </c>
      <c r="D378" s="325">
        <v>98312.500000000015</v>
      </c>
    </row>
    <row r="379" spans="2:4" x14ac:dyDescent="0.3">
      <c r="B379" s="500" t="s">
        <v>721</v>
      </c>
      <c r="C379" s="500" t="s">
        <v>315</v>
      </c>
      <c r="D379" s="325">
        <v>68818.75</v>
      </c>
    </row>
    <row r="380" spans="2:4" x14ac:dyDescent="0.3">
      <c r="B380" s="500" t="s">
        <v>722</v>
      </c>
      <c r="C380" s="500" t="s">
        <v>315</v>
      </c>
      <c r="D380" s="325">
        <v>481250.00000000006</v>
      </c>
    </row>
    <row r="381" spans="2:4" x14ac:dyDescent="0.3">
      <c r="B381" s="500" t="s">
        <v>723</v>
      </c>
      <c r="C381" s="500" t="s">
        <v>315</v>
      </c>
      <c r="D381" s="325">
        <v>2131250</v>
      </c>
    </row>
    <row r="382" spans="2:4" x14ac:dyDescent="0.3">
      <c r="B382" s="500" t="s">
        <v>724</v>
      </c>
      <c r="C382" s="500" t="s">
        <v>315</v>
      </c>
      <c r="D382" s="325">
        <v>11453.750000000002</v>
      </c>
    </row>
    <row r="383" spans="2:4" x14ac:dyDescent="0.3">
      <c r="B383" s="500" t="s">
        <v>725</v>
      </c>
      <c r="C383" s="500" t="s">
        <v>516</v>
      </c>
      <c r="D383" s="325">
        <v>3231.2500000000005</v>
      </c>
    </row>
    <row r="384" spans="2:4" x14ac:dyDescent="0.3">
      <c r="B384" s="500" t="s">
        <v>726</v>
      </c>
      <c r="C384" s="500" t="s">
        <v>516</v>
      </c>
      <c r="D384" s="325">
        <v>2956.2500000000005</v>
      </c>
    </row>
    <row r="385" spans="2:4" x14ac:dyDescent="0.3">
      <c r="B385" s="500" t="s">
        <v>727</v>
      </c>
      <c r="C385" s="500" t="s">
        <v>315</v>
      </c>
      <c r="D385" s="325">
        <v>1341175</v>
      </c>
    </row>
    <row r="386" spans="2:4" x14ac:dyDescent="0.3">
      <c r="B386" s="500" t="s">
        <v>728</v>
      </c>
      <c r="C386" s="500" t="s">
        <v>315</v>
      </c>
      <c r="D386" s="325">
        <v>12706375.000000002</v>
      </c>
    </row>
    <row r="387" spans="2:4" x14ac:dyDescent="0.3">
      <c r="B387" s="500" t="s">
        <v>729</v>
      </c>
      <c r="C387" s="500" t="s">
        <v>516</v>
      </c>
      <c r="D387" s="325">
        <v>9961.875</v>
      </c>
    </row>
    <row r="388" spans="2:4" ht="25.5" x14ac:dyDescent="0.3">
      <c r="B388" s="500" t="s">
        <v>730</v>
      </c>
      <c r="C388" s="500" t="s">
        <v>516</v>
      </c>
      <c r="D388" s="325">
        <v>44206.25</v>
      </c>
    </row>
    <row r="389" spans="2:4" ht="25.5" x14ac:dyDescent="0.3">
      <c r="B389" s="500" t="s">
        <v>731</v>
      </c>
      <c r="C389" s="500" t="s">
        <v>516</v>
      </c>
      <c r="D389" s="325">
        <v>59812.500000000007</v>
      </c>
    </row>
    <row r="390" spans="2:4" ht="25.5" x14ac:dyDescent="0.3">
      <c r="B390" s="500" t="s">
        <v>732</v>
      </c>
      <c r="C390" s="500" t="s">
        <v>315</v>
      </c>
      <c r="D390" s="325">
        <v>528550</v>
      </c>
    </row>
    <row r="391" spans="2:4" x14ac:dyDescent="0.3">
      <c r="B391" s="500" t="s">
        <v>733</v>
      </c>
      <c r="C391" s="500" t="s">
        <v>516</v>
      </c>
      <c r="D391" s="325">
        <v>14093.750000000002</v>
      </c>
    </row>
    <row r="392" spans="2:4" x14ac:dyDescent="0.3">
      <c r="B392" s="500" t="s">
        <v>734</v>
      </c>
      <c r="C392" s="500" t="s">
        <v>516</v>
      </c>
      <c r="D392" s="325">
        <v>10725</v>
      </c>
    </row>
    <row r="393" spans="2:4" x14ac:dyDescent="0.3">
      <c r="B393" s="500" t="s">
        <v>735</v>
      </c>
      <c r="C393" s="500" t="s">
        <v>315</v>
      </c>
      <c r="D393" s="325">
        <v>10560</v>
      </c>
    </row>
    <row r="394" spans="2:4" ht="25.5" x14ac:dyDescent="0.3">
      <c r="B394" s="500" t="s">
        <v>736</v>
      </c>
      <c r="C394" s="500" t="s">
        <v>516</v>
      </c>
      <c r="D394" s="325">
        <v>32312.500000000004</v>
      </c>
    </row>
    <row r="395" spans="2:4" x14ac:dyDescent="0.3">
      <c r="B395" s="500" t="s">
        <v>737</v>
      </c>
      <c r="C395" s="500" t="s">
        <v>315</v>
      </c>
      <c r="D395" s="325">
        <v>5836875.0000000009</v>
      </c>
    </row>
    <row r="396" spans="2:4" x14ac:dyDescent="0.3">
      <c r="B396" s="500" t="s">
        <v>738</v>
      </c>
      <c r="C396" s="500" t="s">
        <v>315</v>
      </c>
      <c r="D396" s="325">
        <v>5286875</v>
      </c>
    </row>
    <row r="397" spans="2:4" ht="25.5" x14ac:dyDescent="0.3">
      <c r="B397" s="500" t="s">
        <v>739</v>
      </c>
      <c r="C397" s="500" t="s">
        <v>315</v>
      </c>
      <c r="D397" s="325">
        <v>2499750</v>
      </c>
    </row>
    <row r="398" spans="2:4" ht="25.5" x14ac:dyDescent="0.3">
      <c r="B398" s="500" t="s">
        <v>740</v>
      </c>
      <c r="C398" s="500" t="s">
        <v>315</v>
      </c>
      <c r="D398" s="325">
        <v>10194250</v>
      </c>
    </row>
    <row r="399" spans="2:4" x14ac:dyDescent="0.3">
      <c r="B399" s="500" t="s">
        <v>741</v>
      </c>
      <c r="C399" s="500" t="s">
        <v>315</v>
      </c>
      <c r="D399" s="325">
        <v>1162012.5</v>
      </c>
    </row>
    <row r="401" spans="2:4" x14ac:dyDescent="0.3">
      <c r="B401" s="500" t="s">
        <v>742</v>
      </c>
      <c r="C401" s="500" t="s">
        <v>315</v>
      </c>
      <c r="D401" s="325">
        <v>3370125.0000000005</v>
      </c>
    </row>
    <row r="402" spans="2:4" x14ac:dyDescent="0.3">
      <c r="B402" s="500" t="s">
        <v>743</v>
      </c>
      <c r="C402" s="500" t="s">
        <v>315</v>
      </c>
      <c r="D402" s="325">
        <v>57612.500000000007</v>
      </c>
    </row>
    <row r="403" spans="2:4" x14ac:dyDescent="0.3">
      <c r="B403" s="500" t="s">
        <v>744</v>
      </c>
      <c r="C403" s="500" t="s">
        <v>516</v>
      </c>
      <c r="D403" s="325">
        <v>19703.75</v>
      </c>
    </row>
    <row r="404" spans="2:4" x14ac:dyDescent="0.3">
      <c r="B404" s="500" t="s">
        <v>745</v>
      </c>
      <c r="C404" s="500" t="s">
        <v>516</v>
      </c>
      <c r="D404" s="325">
        <v>13062.500000000002</v>
      </c>
    </row>
    <row r="405" spans="2:4" x14ac:dyDescent="0.3">
      <c r="B405" s="500" t="s">
        <v>746</v>
      </c>
      <c r="C405" s="500" t="s">
        <v>315</v>
      </c>
      <c r="D405" s="325">
        <v>199375.00000000003</v>
      </c>
    </row>
    <row r="406" spans="2:4" x14ac:dyDescent="0.3">
      <c r="B406" s="500" t="s">
        <v>473</v>
      </c>
      <c r="C406" s="500" t="s">
        <v>315</v>
      </c>
      <c r="D406" s="325">
        <v>211750.00000000003</v>
      </c>
    </row>
    <row r="407" spans="2:4" x14ac:dyDescent="0.3">
      <c r="B407" s="500" t="s">
        <v>747</v>
      </c>
      <c r="C407" s="500" t="s">
        <v>315</v>
      </c>
      <c r="D407" s="325">
        <v>349250</v>
      </c>
    </row>
    <row r="408" spans="2:4" x14ac:dyDescent="0.3">
      <c r="B408" s="500" t="s">
        <v>748</v>
      </c>
      <c r="C408" s="500" t="s">
        <v>516</v>
      </c>
      <c r="D408" s="325">
        <v>62213.250000000007</v>
      </c>
    </row>
    <row r="409" spans="2:4" x14ac:dyDescent="0.3">
      <c r="B409" s="500" t="s">
        <v>749</v>
      </c>
      <c r="C409" s="500" t="s">
        <v>516</v>
      </c>
      <c r="D409" s="325">
        <v>10993.125</v>
      </c>
    </row>
    <row r="410" spans="2:4" x14ac:dyDescent="0.3">
      <c r="B410" s="500" t="s">
        <v>750</v>
      </c>
      <c r="C410" s="500" t="s">
        <v>100</v>
      </c>
      <c r="D410" s="325">
        <v>279056.25</v>
      </c>
    </row>
    <row r="411" spans="2:4" x14ac:dyDescent="0.3">
      <c r="B411" s="500" t="s">
        <v>751</v>
      </c>
      <c r="C411" s="500" t="s">
        <v>100</v>
      </c>
      <c r="D411" s="325">
        <v>349387.5</v>
      </c>
    </row>
    <row r="412" spans="2:4" x14ac:dyDescent="0.3">
      <c r="B412" s="500" t="s">
        <v>752</v>
      </c>
      <c r="C412" s="500" t="s">
        <v>315</v>
      </c>
      <c r="D412" s="325">
        <v>5005000</v>
      </c>
    </row>
    <row r="413" spans="2:4" x14ac:dyDescent="0.3">
      <c r="B413" s="500" t="s">
        <v>753</v>
      </c>
      <c r="C413" s="500" t="s">
        <v>100</v>
      </c>
      <c r="D413" s="325">
        <v>349387.5</v>
      </c>
    </row>
    <row r="414" spans="2:4" x14ac:dyDescent="0.3">
      <c r="B414" s="500" t="s">
        <v>754</v>
      </c>
      <c r="C414" s="500" t="s">
        <v>516</v>
      </c>
      <c r="D414" s="325">
        <v>131175</v>
      </c>
    </row>
    <row r="415" spans="2:4" x14ac:dyDescent="0.3">
      <c r="B415" s="500" t="s">
        <v>755</v>
      </c>
      <c r="C415" s="500" t="s">
        <v>756</v>
      </c>
      <c r="D415" s="325">
        <v>148500</v>
      </c>
    </row>
    <row r="416" spans="2:4" x14ac:dyDescent="0.3">
      <c r="B416" s="500" t="s">
        <v>757</v>
      </c>
      <c r="C416" s="500" t="s">
        <v>315</v>
      </c>
      <c r="D416" s="325">
        <v>40562.5</v>
      </c>
    </row>
    <row r="417" spans="2:4" ht="25.5" x14ac:dyDescent="0.3">
      <c r="B417" s="500" t="s">
        <v>758</v>
      </c>
      <c r="C417" s="500" t="s">
        <v>315</v>
      </c>
      <c r="D417" s="325">
        <v>1604625.0000000002</v>
      </c>
    </row>
    <row r="418" spans="2:4" x14ac:dyDescent="0.3">
      <c r="B418" s="500" t="s">
        <v>759</v>
      </c>
      <c r="C418" s="500" t="s">
        <v>315</v>
      </c>
      <c r="D418" s="329">
        <v>110000</v>
      </c>
    </row>
    <row r="419" spans="2:4" ht="25.5" x14ac:dyDescent="0.3">
      <c r="B419" s="500" t="s">
        <v>760</v>
      </c>
      <c r="C419" s="500" t="s">
        <v>315</v>
      </c>
      <c r="D419" s="325">
        <v>22485.375</v>
      </c>
    </row>
    <row r="420" spans="2:4" x14ac:dyDescent="0.3">
      <c r="B420" s="500" t="s">
        <v>761</v>
      </c>
      <c r="C420" s="500" t="s">
        <v>315</v>
      </c>
      <c r="D420" s="325">
        <v>673.75</v>
      </c>
    </row>
    <row r="421" spans="2:4" ht="25.5" x14ac:dyDescent="0.3">
      <c r="B421" s="500" t="s">
        <v>762</v>
      </c>
      <c r="C421" s="500" t="s">
        <v>315</v>
      </c>
      <c r="D421" s="325">
        <v>58272.500000000007</v>
      </c>
    </row>
    <row r="422" spans="2:4" x14ac:dyDescent="0.3">
      <c r="B422" s="500" t="s">
        <v>763</v>
      </c>
      <c r="C422" s="500" t="s">
        <v>315</v>
      </c>
      <c r="D422" s="325">
        <v>207641.50000000003</v>
      </c>
    </row>
    <row r="423" spans="2:4" x14ac:dyDescent="0.3">
      <c r="B423" s="500" t="s">
        <v>764</v>
      </c>
      <c r="C423" s="500" t="s">
        <v>317</v>
      </c>
      <c r="D423" s="329">
        <v>12000</v>
      </c>
    </row>
    <row r="424" spans="2:4" x14ac:dyDescent="0.3">
      <c r="B424" s="500" t="s">
        <v>765</v>
      </c>
      <c r="C424" s="500" t="s">
        <v>315</v>
      </c>
      <c r="D424" s="329">
        <v>490000</v>
      </c>
    </row>
    <row r="425" spans="2:4" x14ac:dyDescent="0.3">
      <c r="B425" s="500" t="s">
        <v>766</v>
      </c>
      <c r="C425" s="500" t="s">
        <v>315</v>
      </c>
      <c r="D425" s="325">
        <v>38500</v>
      </c>
    </row>
    <row r="426" spans="2:4" x14ac:dyDescent="0.3">
      <c r="B426" s="500" t="s">
        <v>767</v>
      </c>
      <c r="C426" s="500" t="s">
        <v>315</v>
      </c>
      <c r="D426" s="325">
        <v>11687.500000000002</v>
      </c>
    </row>
    <row r="427" spans="2:4" x14ac:dyDescent="0.3">
      <c r="B427" s="500" t="s">
        <v>768</v>
      </c>
      <c r="C427" s="500" t="s">
        <v>315</v>
      </c>
      <c r="D427" s="325">
        <v>52250.000000000007</v>
      </c>
    </row>
    <row r="428" spans="2:4" x14ac:dyDescent="0.3">
      <c r="B428" s="500" t="s">
        <v>769</v>
      </c>
      <c r="C428" s="500" t="s">
        <v>100</v>
      </c>
      <c r="D428" s="325">
        <v>92125.000000000015</v>
      </c>
    </row>
    <row r="429" spans="2:4" x14ac:dyDescent="0.3">
      <c r="B429" s="500" t="s">
        <v>770</v>
      </c>
      <c r="C429" s="500" t="s">
        <v>516</v>
      </c>
      <c r="D429" s="325">
        <v>3162.5000000000005</v>
      </c>
    </row>
    <row r="430" spans="2:4" x14ac:dyDescent="0.3">
      <c r="B430" s="500" t="s">
        <v>771</v>
      </c>
      <c r="C430" s="500" t="s">
        <v>169</v>
      </c>
      <c r="D430" s="325">
        <v>67237.5</v>
      </c>
    </row>
    <row r="431" spans="2:4" ht="25.5" x14ac:dyDescent="0.3">
      <c r="B431" s="500" t="s">
        <v>772</v>
      </c>
      <c r="C431" s="500" t="s">
        <v>100</v>
      </c>
      <c r="D431" s="325">
        <v>77000</v>
      </c>
    </row>
    <row r="432" spans="2:4" x14ac:dyDescent="0.3">
      <c r="B432" s="500" t="s">
        <v>773</v>
      </c>
      <c r="C432" s="500" t="s">
        <v>317</v>
      </c>
      <c r="D432" s="325">
        <v>33000</v>
      </c>
    </row>
    <row r="433" spans="2:4" x14ac:dyDescent="0.3">
      <c r="B433" s="500" t="s">
        <v>774</v>
      </c>
      <c r="C433" s="500" t="s">
        <v>317</v>
      </c>
      <c r="D433" s="325">
        <v>53625.000000000007</v>
      </c>
    </row>
    <row r="434" spans="2:4" x14ac:dyDescent="0.3">
      <c r="B434" s="500" t="s">
        <v>346</v>
      </c>
      <c r="C434" s="500" t="s">
        <v>317</v>
      </c>
      <c r="D434" s="325">
        <v>48125.000000000007</v>
      </c>
    </row>
    <row r="435" spans="2:4" x14ac:dyDescent="0.3">
      <c r="B435" s="500" t="s">
        <v>775</v>
      </c>
      <c r="C435" s="500" t="s">
        <v>498</v>
      </c>
      <c r="D435" s="325">
        <v>38500</v>
      </c>
    </row>
    <row r="436" spans="2:4" x14ac:dyDescent="0.3">
      <c r="B436" s="500" t="s">
        <v>776</v>
      </c>
      <c r="C436" s="500" t="s">
        <v>304</v>
      </c>
      <c r="D436" s="325">
        <v>85000</v>
      </c>
    </row>
    <row r="437" spans="2:4" x14ac:dyDescent="0.3">
      <c r="B437" s="500" t="s">
        <v>777</v>
      </c>
      <c r="C437" s="500" t="s">
        <v>317</v>
      </c>
      <c r="D437" s="325">
        <v>275</v>
      </c>
    </row>
    <row r="438" spans="2:4" x14ac:dyDescent="0.3">
      <c r="B438" s="500" t="s">
        <v>778</v>
      </c>
      <c r="C438" s="500" t="s">
        <v>315</v>
      </c>
      <c r="D438" s="325">
        <v>2681.25</v>
      </c>
    </row>
    <row r="439" spans="2:4" x14ac:dyDescent="0.3">
      <c r="B439" s="500" t="s">
        <v>779</v>
      </c>
      <c r="C439" s="500" t="s">
        <v>315</v>
      </c>
      <c r="D439" s="325">
        <v>4125</v>
      </c>
    </row>
    <row r="440" spans="2:4" x14ac:dyDescent="0.3">
      <c r="B440" s="500" t="s">
        <v>780</v>
      </c>
      <c r="C440" s="500" t="s">
        <v>516</v>
      </c>
      <c r="D440" s="325">
        <v>82500</v>
      </c>
    </row>
    <row r="441" spans="2:4" x14ac:dyDescent="0.3">
      <c r="B441" s="500" t="s">
        <v>781</v>
      </c>
      <c r="C441" s="500" t="s">
        <v>315</v>
      </c>
      <c r="D441" s="325">
        <v>11000</v>
      </c>
    </row>
    <row r="442" spans="2:4" x14ac:dyDescent="0.3">
      <c r="B442" s="500" t="s">
        <v>782</v>
      </c>
      <c r="C442" s="500" t="s">
        <v>100</v>
      </c>
      <c r="D442" s="325">
        <v>11000</v>
      </c>
    </row>
    <row r="443" spans="2:4" x14ac:dyDescent="0.3">
      <c r="B443" s="500" t="s">
        <v>783</v>
      </c>
      <c r="C443" s="500" t="s">
        <v>315</v>
      </c>
      <c r="D443" s="325">
        <v>818.12500000000011</v>
      </c>
    </row>
    <row r="444" spans="2:4" ht="25.5" x14ac:dyDescent="0.3">
      <c r="B444" s="500" t="s">
        <v>784</v>
      </c>
      <c r="C444" s="500" t="s">
        <v>315</v>
      </c>
      <c r="D444" s="325">
        <v>89993.75</v>
      </c>
    </row>
    <row r="445" spans="2:4" ht="25.5" x14ac:dyDescent="0.3">
      <c r="B445" s="500" t="s">
        <v>785</v>
      </c>
      <c r="C445" s="500" t="s">
        <v>315</v>
      </c>
      <c r="D445" s="325">
        <v>163625</v>
      </c>
    </row>
    <row r="446" spans="2:4" x14ac:dyDescent="0.3">
      <c r="B446" s="500" t="s">
        <v>786</v>
      </c>
      <c r="C446" s="500" t="s">
        <v>516</v>
      </c>
      <c r="D446" s="325">
        <v>8508.5</v>
      </c>
    </row>
    <row r="447" spans="2:4" x14ac:dyDescent="0.3">
      <c r="B447" s="500" t="s">
        <v>787</v>
      </c>
      <c r="C447" s="500" t="s">
        <v>516</v>
      </c>
      <c r="D447" s="325">
        <v>8508.5</v>
      </c>
    </row>
    <row r="448" spans="2:4" x14ac:dyDescent="0.3">
      <c r="B448" s="500" t="s">
        <v>788</v>
      </c>
      <c r="C448" s="500" t="s">
        <v>789</v>
      </c>
      <c r="D448" s="325">
        <v>1309</v>
      </c>
    </row>
    <row r="449" spans="2:4" x14ac:dyDescent="0.3">
      <c r="B449" s="500" t="s">
        <v>790</v>
      </c>
      <c r="C449" s="500" t="s">
        <v>315</v>
      </c>
      <c r="D449" s="325">
        <v>3251875.0000000005</v>
      </c>
    </row>
    <row r="450" spans="2:4" x14ac:dyDescent="0.3">
      <c r="B450" s="500" t="s">
        <v>791</v>
      </c>
      <c r="C450" s="500" t="s">
        <v>315</v>
      </c>
      <c r="D450" s="325">
        <v>114537.50000000001</v>
      </c>
    </row>
    <row r="451" spans="2:4" x14ac:dyDescent="0.3">
      <c r="B451" s="500" t="s">
        <v>792</v>
      </c>
      <c r="C451" s="500" t="s">
        <v>315</v>
      </c>
      <c r="D451" s="325">
        <v>32725.000000000004</v>
      </c>
    </row>
    <row r="452" spans="2:4" ht="25.5" x14ac:dyDescent="0.3">
      <c r="B452" s="500" t="s">
        <v>793</v>
      </c>
      <c r="C452" s="500" t="s">
        <v>789</v>
      </c>
      <c r="D452" s="325">
        <v>2422200</v>
      </c>
    </row>
    <row r="453" spans="2:4" x14ac:dyDescent="0.3">
      <c r="B453" s="500" t="s">
        <v>794</v>
      </c>
      <c r="C453" s="500" t="s">
        <v>789</v>
      </c>
      <c r="D453" s="325">
        <v>45031.25</v>
      </c>
    </row>
    <row r="454" spans="2:4" x14ac:dyDescent="0.3">
      <c r="B454" s="500" t="s">
        <v>795</v>
      </c>
      <c r="C454" s="500" t="s">
        <v>516</v>
      </c>
      <c r="D454" s="325">
        <v>4675</v>
      </c>
    </row>
    <row r="455" spans="2:4" x14ac:dyDescent="0.3">
      <c r="B455" s="500" t="s">
        <v>796</v>
      </c>
      <c r="C455" s="500" t="s">
        <v>516</v>
      </c>
      <c r="D455" s="325">
        <v>4675</v>
      </c>
    </row>
    <row r="456" spans="2:4" x14ac:dyDescent="0.3">
      <c r="B456" s="500" t="s">
        <v>797</v>
      </c>
      <c r="C456" s="500" t="s">
        <v>789</v>
      </c>
      <c r="D456" s="325">
        <v>8672.125</v>
      </c>
    </row>
    <row r="457" spans="2:4" x14ac:dyDescent="0.3">
      <c r="B457" s="500" t="s">
        <v>798</v>
      </c>
      <c r="C457" s="500" t="s">
        <v>789</v>
      </c>
      <c r="D457" s="325">
        <v>8672.125</v>
      </c>
    </row>
    <row r="458" spans="2:4" x14ac:dyDescent="0.3">
      <c r="B458" s="500" t="s">
        <v>799</v>
      </c>
      <c r="C458" s="500" t="s">
        <v>789</v>
      </c>
      <c r="D458" s="325">
        <v>781.00000000000011</v>
      </c>
    </row>
    <row r="459" spans="2:4" x14ac:dyDescent="0.3">
      <c r="B459" s="500" t="s">
        <v>800</v>
      </c>
      <c r="C459" s="500" t="s">
        <v>789</v>
      </c>
      <c r="D459" s="325">
        <v>481.25000000000006</v>
      </c>
    </row>
    <row r="460" spans="2:4" x14ac:dyDescent="0.3">
      <c r="B460" s="500" t="s">
        <v>801</v>
      </c>
      <c r="C460" s="500" t="s">
        <v>789</v>
      </c>
      <c r="D460" s="325">
        <v>2942.5000000000005</v>
      </c>
    </row>
    <row r="461" spans="2:4" x14ac:dyDescent="0.3">
      <c r="B461" s="500" t="s">
        <v>802</v>
      </c>
      <c r="C461" s="500" t="s">
        <v>789</v>
      </c>
      <c r="D461" s="325">
        <v>2942.5000000000005</v>
      </c>
    </row>
    <row r="462" spans="2:4" ht="25.5" x14ac:dyDescent="0.3">
      <c r="B462" s="500" t="s">
        <v>803</v>
      </c>
      <c r="C462" s="500" t="s">
        <v>789</v>
      </c>
      <c r="D462" s="325">
        <v>5645.0625000000009</v>
      </c>
    </row>
    <row r="463" spans="2:4" ht="25.5" x14ac:dyDescent="0.3">
      <c r="B463" s="500" t="s">
        <v>804</v>
      </c>
      <c r="C463" s="500" t="s">
        <v>789</v>
      </c>
      <c r="D463" s="325">
        <v>294525</v>
      </c>
    </row>
    <row r="464" spans="2:4" x14ac:dyDescent="0.3">
      <c r="B464" s="500" t="s">
        <v>805</v>
      </c>
      <c r="C464" s="500" t="s">
        <v>789</v>
      </c>
      <c r="D464" s="325">
        <v>22907.500000000004</v>
      </c>
    </row>
    <row r="465" spans="2:4" x14ac:dyDescent="0.3">
      <c r="B465" s="500" t="s">
        <v>806</v>
      </c>
      <c r="C465" s="500" t="s">
        <v>789</v>
      </c>
      <c r="D465" s="325">
        <v>490.87500000000006</v>
      </c>
    </row>
    <row r="466" spans="2:4" x14ac:dyDescent="0.3">
      <c r="B466" s="500" t="s">
        <v>807</v>
      </c>
      <c r="C466" s="500" t="s">
        <v>789</v>
      </c>
      <c r="D466" s="325">
        <v>13090.000000000002</v>
      </c>
    </row>
    <row r="467" spans="2:4" x14ac:dyDescent="0.3">
      <c r="B467" s="500" t="s">
        <v>808</v>
      </c>
      <c r="C467" s="500" t="s">
        <v>789</v>
      </c>
      <c r="D467" s="325">
        <v>22907.500000000004</v>
      </c>
    </row>
    <row r="468" spans="2:4" x14ac:dyDescent="0.3">
      <c r="B468" s="500" t="s">
        <v>809</v>
      </c>
      <c r="C468" s="500" t="s">
        <v>789</v>
      </c>
      <c r="D468" s="325">
        <v>29452.500000000004</v>
      </c>
    </row>
    <row r="469" spans="2:4" x14ac:dyDescent="0.3">
      <c r="B469" s="500" t="s">
        <v>810</v>
      </c>
      <c r="C469" s="500" t="s">
        <v>789</v>
      </c>
      <c r="D469" s="325">
        <v>6545.0000000000009</v>
      </c>
    </row>
    <row r="470" spans="2:4" x14ac:dyDescent="0.3">
      <c r="B470" s="500" t="s">
        <v>811</v>
      </c>
      <c r="C470" s="500" t="s">
        <v>789</v>
      </c>
      <c r="D470" s="325">
        <v>196350.00000000003</v>
      </c>
    </row>
    <row r="471" spans="2:4" x14ac:dyDescent="0.3">
      <c r="B471" s="500" t="s">
        <v>812</v>
      </c>
      <c r="C471" s="500" t="s">
        <v>789</v>
      </c>
      <c r="D471" s="325">
        <v>22907.500000000004</v>
      </c>
    </row>
    <row r="472" spans="2:4" x14ac:dyDescent="0.3">
      <c r="B472" s="500" t="s">
        <v>813</v>
      </c>
      <c r="C472" s="500" t="s">
        <v>789</v>
      </c>
      <c r="D472" s="325">
        <v>16362.500000000002</v>
      </c>
    </row>
    <row r="473" spans="2:4" x14ac:dyDescent="0.3">
      <c r="B473" s="500" t="s">
        <v>814</v>
      </c>
      <c r="C473" s="500" t="s">
        <v>789</v>
      </c>
      <c r="D473" s="325">
        <v>45815.000000000007</v>
      </c>
    </row>
    <row r="474" spans="2:4" x14ac:dyDescent="0.3">
      <c r="B474" s="500" t="s">
        <v>815</v>
      </c>
      <c r="C474" s="500" t="s">
        <v>789</v>
      </c>
      <c r="D474" s="325">
        <v>16362.500000000002</v>
      </c>
    </row>
    <row r="475" spans="2:4" x14ac:dyDescent="0.3">
      <c r="B475" s="500" t="s">
        <v>816</v>
      </c>
      <c r="C475" s="500" t="s">
        <v>169</v>
      </c>
      <c r="D475" s="325">
        <v>24543.750000000004</v>
      </c>
    </row>
    <row r="476" spans="2:4" x14ac:dyDescent="0.3">
      <c r="B476" s="500" t="s">
        <v>817</v>
      </c>
      <c r="C476" s="500" t="s">
        <v>516</v>
      </c>
      <c r="D476" s="325">
        <v>5645.0625000000009</v>
      </c>
    </row>
    <row r="477" spans="2:4" x14ac:dyDescent="0.3">
      <c r="B477" s="500" t="s">
        <v>818</v>
      </c>
      <c r="C477" s="500" t="s">
        <v>516</v>
      </c>
      <c r="D477" s="325">
        <v>5645.0625000000009</v>
      </c>
    </row>
    <row r="478" spans="2:4" x14ac:dyDescent="0.3">
      <c r="B478" s="500" t="s">
        <v>819</v>
      </c>
      <c r="C478" s="500" t="s">
        <v>789</v>
      </c>
      <c r="D478" s="325">
        <v>49087.500000000007</v>
      </c>
    </row>
    <row r="479" spans="2:4" x14ac:dyDescent="0.3">
      <c r="B479" s="500" t="s">
        <v>820</v>
      </c>
      <c r="C479" s="500" t="s">
        <v>789</v>
      </c>
      <c r="D479" s="325">
        <v>3437.5000000000005</v>
      </c>
    </row>
    <row r="480" spans="2:4" x14ac:dyDescent="0.3">
      <c r="B480" s="500" t="s">
        <v>821</v>
      </c>
      <c r="C480" s="500" t="s">
        <v>789</v>
      </c>
      <c r="D480" s="325">
        <v>6545.0000000000009</v>
      </c>
    </row>
    <row r="481" spans="2:4" x14ac:dyDescent="0.3">
      <c r="B481" s="500" t="s">
        <v>822</v>
      </c>
      <c r="C481" s="500" t="s">
        <v>789</v>
      </c>
      <c r="D481" s="325">
        <v>3272.5000000000005</v>
      </c>
    </row>
    <row r="482" spans="2:4" ht="25.5" x14ac:dyDescent="0.3">
      <c r="B482" s="500" t="s">
        <v>823</v>
      </c>
      <c r="C482" s="500" t="s">
        <v>315</v>
      </c>
      <c r="D482" s="325">
        <v>49362.500000000007</v>
      </c>
    </row>
    <row r="483" spans="2:4" ht="25.5" x14ac:dyDescent="0.3">
      <c r="B483" s="500" t="s">
        <v>824</v>
      </c>
      <c r="C483" s="500" t="s">
        <v>825</v>
      </c>
      <c r="D483" s="325">
        <v>34237.5</v>
      </c>
    </row>
    <row r="484" spans="2:4" x14ac:dyDescent="0.3">
      <c r="B484" s="500" t="s">
        <v>826</v>
      </c>
      <c r="C484" s="500" t="s">
        <v>315</v>
      </c>
      <c r="D484" s="325">
        <v>481515.65</v>
      </c>
    </row>
    <row r="485" spans="2:4" ht="38.25" x14ac:dyDescent="0.3">
      <c r="B485" s="500" t="s">
        <v>827</v>
      </c>
      <c r="C485" s="500" t="s">
        <v>100</v>
      </c>
      <c r="D485" s="325">
        <v>328886.25</v>
      </c>
    </row>
    <row r="486" spans="2:4" x14ac:dyDescent="0.3">
      <c r="B486" s="500" t="s">
        <v>828</v>
      </c>
      <c r="C486" s="500" t="s">
        <v>516</v>
      </c>
      <c r="D486" s="325">
        <v>69676.979166666672</v>
      </c>
    </row>
    <row r="487" spans="2:4" x14ac:dyDescent="0.3">
      <c r="B487" s="500" t="s">
        <v>829</v>
      </c>
      <c r="C487" s="500" t="s">
        <v>315</v>
      </c>
      <c r="D487" s="325">
        <v>1442375</v>
      </c>
    </row>
    <row r="488" spans="2:4" x14ac:dyDescent="0.3">
      <c r="B488" s="500" t="s">
        <v>830</v>
      </c>
      <c r="C488" s="500" t="s">
        <v>315</v>
      </c>
      <c r="D488" s="325">
        <v>246255.62500000003</v>
      </c>
    </row>
    <row r="489" spans="2:4" ht="25.5" x14ac:dyDescent="0.3">
      <c r="B489" s="500" t="s">
        <v>831</v>
      </c>
      <c r="C489" s="500" t="s">
        <v>315</v>
      </c>
      <c r="D489" s="325">
        <v>1305727.5</v>
      </c>
    </row>
    <row r="490" spans="2:4" ht="25.5" x14ac:dyDescent="0.3">
      <c r="B490" s="500" t="s">
        <v>832</v>
      </c>
      <c r="C490" s="500" t="s">
        <v>315</v>
      </c>
      <c r="D490" s="325">
        <v>3185875.0000000005</v>
      </c>
    </row>
    <row r="491" spans="2:4" x14ac:dyDescent="0.3">
      <c r="B491" s="500" t="s">
        <v>833</v>
      </c>
      <c r="C491" s="500" t="s">
        <v>315</v>
      </c>
      <c r="D491" s="325">
        <v>1579875.0000000002</v>
      </c>
    </row>
    <row r="492" spans="2:4" x14ac:dyDescent="0.3">
      <c r="B492" s="500" t="s">
        <v>834</v>
      </c>
      <c r="C492" s="500" t="s">
        <v>315</v>
      </c>
      <c r="D492" s="325">
        <v>735625.00000000012</v>
      </c>
    </row>
    <row r="493" spans="2:4" x14ac:dyDescent="0.3">
      <c r="B493" s="500" t="s">
        <v>835</v>
      </c>
      <c r="C493" s="500" t="s">
        <v>315</v>
      </c>
      <c r="D493" s="325">
        <v>426250.00000000006</v>
      </c>
    </row>
    <row r="494" spans="2:4" x14ac:dyDescent="0.3">
      <c r="B494" s="500" t="s">
        <v>836</v>
      </c>
      <c r="C494" s="500" t="s">
        <v>91</v>
      </c>
      <c r="D494" s="325">
        <v>30798.625000000004</v>
      </c>
    </row>
    <row r="495" spans="2:4" x14ac:dyDescent="0.3">
      <c r="B495" s="500" t="s">
        <v>837</v>
      </c>
      <c r="C495" s="500" t="s">
        <v>91</v>
      </c>
      <c r="D495" s="325">
        <v>16225.000000000002</v>
      </c>
    </row>
    <row r="496" spans="2:4" x14ac:dyDescent="0.3">
      <c r="B496" s="500" t="s">
        <v>838</v>
      </c>
      <c r="C496" s="500" t="s">
        <v>169</v>
      </c>
      <c r="D496" s="325">
        <v>70125</v>
      </c>
    </row>
    <row r="497" spans="2:4" x14ac:dyDescent="0.3">
      <c r="B497" s="500" t="s">
        <v>839</v>
      </c>
      <c r="C497" s="500" t="s">
        <v>100</v>
      </c>
      <c r="D497" s="325">
        <v>118250.00000000001</v>
      </c>
    </row>
    <row r="498" spans="2:4" x14ac:dyDescent="0.3">
      <c r="B498" s="500" t="s">
        <v>840</v>
      </c>
      <c r="C498" s="500" t="s">
        <v>91</v>
      </c>
      <c r="D498" s="325">
        <v>88275</v>
      </c>
    </row>
    <row r="499" spans="2:4" x14ac:dyDescent="0.3">
      <c r="B499" s="500" t="s">
        <v>841</v>
      </c>
      <c r="C499" s="500" t="s">
        <v>315</v>
      </c>
      <c r="D499" s="325">
        <v>12925.000000000002</v>
      </c>
    </row>
    <row r="500" spans="2:4" x14ac:dyDescent="0.3">
      <c r="B500" s="500" t="s">
        <v>842</v>
      </c>
      <c r="C500" s="500" t="s">
        <v>91</v>
      </c>
      <c r="D500" s="325">
        <v>15169.67375</v>
      </c>
    </row>
    <row r="501" spans="2:4" x14ac:dyDescent="0.3">
      <c r="B501" s="500" t="s">
        <v>843</v>
      </c>
      <c r="C501" s="500" t="s">
        <v>315</v>
      </c>
      <c r="D501" s="325">
        <v>54862.500000000007</v>
      </c>
    </row>
    <row r="502" spans="2:4" x14ac:dyDescent="0.3">
      <c r="B502" s="500" t="s">
        <v>844</v>
      </c>
      <c r="C502" s="500" t="s">
        <v>538</v>
      </c>
      <c r="D502" s="325">
        <v>11000</v>
      </c>
    </row>
    <row r="503" spans="2:4" x14ac:dyDescent="0.3">
      <c r="B503" s="500" t="s">
        <v>845</v>
      </c>
      <c r="C503" s="500" t="s">
        <v>538</v>
      </c>
      <c r="D503" s="325">
        <v>24750.000000000004</v>
      </c>
    </row>
    <row r="504" spans="2:4" x14ac:dyDescent="0.3">
      <c r="B504" s="500" t="s">
        <v>846</v>
      </c>
      <c r="C504" s="500" t="s">
        <v>516</v>
      </c>
      <c r="D504" s="325">
        <v>10931.25</v>
      </c>
    </row>
    <row r="505" spans="2:4" x14ac:dyDescent="0.3">
      <c r="B505" s="500" t="s">
        <v>847</v>
      </c>
      <c r="C505" s="500" t="s">
        <v>516</v>
      </c>
      <c r="D505" s="325">
        <v>9865.625</v>
      </c>
    </row>
    <row r="506" spans="2:4" x14ac:dyDescent="0.3">
      <c r="B506" s="500" t="s">
        <v>848</v>
      </c>
      <c r="C506" s="500" t="s">
        <v>516</v>
      </c>
      <c r="D506" s="325">
        <v>0</v>
      </c>
    </row>
    <row r="507" spans="2:4" ht="25.5" x14ac:dyDescent="0.3">
      <c r="B507" s="500" t="s">
        <v>849</v>
      </c>
      <c r="C507" s="500" t="s">
        <v>315</v>
      </c>
      <c r="D507" s="325">
        <v>291688.375</v>
      </c>
    </row>
    <row r="508" spans="2:4" x14ac:dyDescent="0.3">
      <c r="B508" s="500" t="s">
        <v>850</v>
      </c>
      <c r="C508" s="500" t="s">
        <v>315</v>
      </c>
      <c r="D508" s="325">
        <v>1787.5000000000002</v>
      </c>
    </row>
    <row r="509" spans="2:4" x14ac:dyDescent="0.3">
      <c r="B509" s="500" t="s">
        <v>851</v>
      </c>
      <c r="C509" s="500" t="s">
        <v>315</v>
      </c>
      <c r="D509" s="325">
        <v>70325.75</v>
      </c>
    </row>
    <row r="510" spans="2:4" x14ac:dyDescent="0.3">
      <c r="B510" s="500" t="s">
        <v>852</v>
      </c>
      <c r="C510" s="500" t="s">
        <v>315</v>
      </c>
      <c r="D510" s="325">
        <v>5417.5</v>
      </c>
    </row>
    <row r="511" spans="2:4" x14ac:dyDescent="0.3">
      <c r="B511" s="500" t="s">
        <v>853</v>
      </c>
      <c r="C511" s="500" t="s">
        <v>315</v>
      </c>
      <c r="D511" s="325">
        <v>893750.00000000012</v>
      </c>
    </row>
    <row r="512" spans="2:4" x14ac:dyDescent="0.3">
      <c r="B512" s="500" t="s">
        <v>854</v>
      </c>
      <c r="C512" s="500" t="s">
        <v>315</v>
      </c>
      <c r="D512" s="325">
        <v>6336.0000000000009</v>
      </c>
    </row>
    <row r="513" spans="2:4" x14ac:dyDescent="0.3">
      <c r="B513" s="500" t="s">
        <v>855</v>
      </c>
      <c r="C513" s="500" t="s">
        <v>315</v>
      </c>
      <c r="D513" s="325">
        <v>206937.50000000003</v>
      </c>
    </row>
    <row r="514" spans="2:4" x14ac:dyDescent="0.3">
      <c r="B514" s="500" t="s">
        <v>856</v>
      </c>
      <c r="C514" s="500" t="s">
        <v>85</v>
      </c>
      <c r="D514" s="325">
        <v>8250</v>
      </c>
    </row>
    <row r="515" spans="2:4" x14ac:dyDescent="0.3">
      <c r="B515" s="500" t="s">
        <v>857</v>
      </c>
      <c r="C515" s="500" t="s">
        <v>858</v>
      </c>
      <c r="D515" s="325">
        <v>37125</v>
      </c>
    </row>
    <row r="516" spans="2:4" ht="25.5" x14ac:dyDescent="0.3">
      <c r="B516" s="500" t="s">
        <v>859</v>
      </c>
      <c r="C516" s="500" t="s">
        <v>85</v>
      </c>
      <c r="D516" s="325">
        <v>19225.25</v>
      </c>
    </row>
    <row r="517" spans="2:4" x14ac:dyDescent="0.3">
      <c r="B517" s="500" t="s">
        <v>860</v>
      </c>
      <c r="C517" s="500" t="s">
        <v>789</v>
      </c>
      <c r="D517" s="325">
        <v>770.00000000000011</v>
      </c>
    </row>
    <row r="518" spans="2:4" x14ac:dyDescent="0.3">
      <c r="B518" s="500" t="s">
        <v>861</v>
      </c>
      <c r="C518" s="500" t="s">
        <v>85</v>
      </c>
      <c r="D518" s="325">
        <v>84562.5</v>
      </c>
    </row>
    <row r="519" spans="2:4" x14ac:dyDescent="0.3">
      <c r="B519" s="500" t="s">
        <v>862</v>
      </c>
      <c r="C519" s="500"/>
      <c r="D519" s="325">
        <v>1031250.0000000001</v>
      </c>
    </row>
    <row r="520" spans="2:4" x14ac:dyDescent="0.3">
      <c r="B520" s="500" t="s">
        <v>863</v>
      </c>
      <c r="C520" s="500" t="s">
        <v>100</v>
      </c>
      <c r="D520" s="325">
        <v>58905.000000000007</v>
      </c>
    </row>
    <row r="521" spans="2:4" x14ac:dyDescent="0.3">
      <c r="B521" s="500" t="s">
        <v>864</v>
      </c>
      <c r="C521" s="500" t="s">
        <v>100</v>
      </c>
      <c r="D521" s="325">
        <v>89375</v>
      </c>
    </row>
    <row r="522" spans="2:4" x14ac:dyDescent="0.3">
      <c r="B522" s="500" t="s">
        <v>865</v>
      </c>
      <c r="C522" s="500" t="s">
        <v>304</v>
      </c>
      <c r="D522" s="325">
        <v>412500.00000000006</v>
      </c>
    </row>
    <row r="523" spans="2:4" x14ac:dyDescent="0.3">
      <c r="B523" s="500" t="s">
        <v>866</v>
      </c>
      <c r="C523" s="500" t="s">
        <v>315</v>
      </c>
      <c r="D523" s="325">
        <v>15125.000000000002</v>
      </c>
    </row>
    <row r="524" spans="2:4" x14ac:dyDescent="0.3">
      <c r="B524" s="500" t="s">
        <v>867</v>
      </c>
      <c r="C524" s="500" t="s">
        <v>304</v>
      </c>
      <c r="D524" s="325">
        <v>302500</v>
      </c>
    </row>
    <row r="525" spans="2:4" x14ac:dyDescent="0.3">
      <c r="B525" s="500" t="s">
        <v>868</v>
      </c>
      <c r="C525" s="500" t="s">
        <v>304</v>
      </c>
      <c r="D525" s="325">
        <v>618750</v>
      </c>
    </row>
    <row r="526" spans="2:4" x14ac:dyDescent="0.3">
      <c r="B526" s="500" t="s">
        <v>869</v>
      </c>
      <c r="C526" s="500" t="s">
        <v>315</v>
      </c>
      <c r="D526" s="325">
        <v>489893.25000000006</v>
      </c>
    </row>
    <row r="527" spans="2:4" x14ac:dyDescent="0.3">
      <c r="B527" s="500" t="s">
        <v>870</v>
      </c>
      <c r="C527" s="500" t="s">
        <v>315</v>
      </c>
      <c r="D527" s="325">
        <v>893750.00000000012</v>
      </c>
    </row>
    <row r="528" spans="2:4" x14ac:dyDescent="0.3">
      <c r="B528" s="500" t="s">
        <v>871</v>
      </c>
      <c r="C528" s="500" t="s">
        <v>315</v>
      </c>
      <c r="D528" s="325">
        <v>1960227.5000000002</v>
      </c>
    </row>
    <row r="529" spans="2:4" x14ac:dyDescent="0.3">
      <c r="B529" s="500" t="s">
        <v>872</v>
      </c>
      <c r="C529" s="500" t="s">
        <v>315</v>
      </c>
      <c r="D529" s="325">
        <v>527608.8125</v>
      </c>
    </row>
    <row r="530" spans="2:4" x14ac:dyDescent="0.3">
      <c r="B530" s="500" t="s">
        <v>873</v>
      </c>
      <c r="C530" s="500" t="s">
        <v>315</v>
      </c>
      <c r="D530" s="325">
        <v>1145047.75</v>
      </c>
    </row>
    <row r="531" spans="2:4" ht="25.5" x14ac:dyDescent="0.3">
      <c r="B531" s="500" t="s">
        <v>874</v>
      </c>
      <c r="C531" s="500" t="s">
        <v>315</v>
      </c>
      <c r="D531" s="325">
        <v>527608.8125</v>
      </c>
    </row>
    <row r="532" spans="2:4" x14ac:dyDescent="0.3">
      <c r="B532" s="500" t="s">
        <v>875</v>
      </c>
      <c r="C532" s="500" t="s">
        <v>315</v>
      </c>
      <c r="D532" s="325">
        <v>6747003.2437500004</v>
      </c>
    </row>
    <row r="533" spans="2:4" x14ac:dyDescent="0.3">
      <c r="B533" s="500" t="s">
        <v>876</v>
      </c>
      <c r="C533" s="500" t="s">
        <v>315</v>
      </c>
      <c r="D533" s="325">
        <v>191950.00000000003</v>
      </c>
    </row>
    <row r="534" spans="2:4" x14ac:dyDescent="0.3">
      <c r="B534" s="500" t="s">
        <v>877</v>
      </c>
      <c r="C534" s="500" t="s">
        <v>315</v>
      </c>
      <c r="D534" s="325">
        <v>714862.5</v>
      </c>
    </row>
    <row r="535" spans="2:4" x14ac:dyDescent="0.3">
      <c r="B535" s="500" t="s">
        <v>878</v>
      </c>
      <c r="C535" s="500" t="s">
        <v>315</v>
      </c>
      <c r="D535" s="325">
        <v>3974451.2500000005</v>
      </c>
    </row>
    <row r="536" spans="2:4" x14ac:dyDescent="0.3">
      <c r="B536" s="500" t="s">
        <v>879</v>
      </c>
      <c r="C536" s="500" t="s">
        <v>315</v>
      </c>
      <c r="D536" s="325">
        <v>2262933.75</v>
      </c>
    </row>
    <row r="537" spans="2:4" x14ac:dyDescent="0.3">
      <c r="B537" s="500" t="s">
        <v>880</v>
      </c>
      <c r="C537" s="500" t="s">
        <v>315</v>
      </c>
      <c r="D537" s="325">
        <v>3753557.5000000005</v>
      </c>
    </row>
    <row r="538" spans="2:4" x14ac:dyDescent="0.3">
      <c r="B538" s="500" t="s">
        <v>881</v>
      </c>
      <c r="C538" s="500" t="s">
        <v>315</v>
      </c>
      <c r="D538" s="325">
        <v>7346762.5000000009</v>
      </c>
    </row>
    <row r="539" spans="2:4" x14ac:dyDescent="0.3">
      <c r="B539" s="500" t="s">
        <v>882</v>
      </c>
      <c r="C539" s="500" t="s">
        <v>315</v>
      </c>
      <c r="D539" s="325">
        <v>1986407.5000000002</v>
      </c>
    </row>
    <row r="540" spans="2:4" x14ac:dyDescent="0.3">
      <c r="B540" s="500" t="s">
        <v>883</v>
      </c>
      <c r="C540" s="500" t="s">
        <v>304</v>
      </c>
      <c r="D540" s="325">
        <v>903210.00000000012</v>
      </c>
    </row>
    <row r="541" spans="2:4" x14ac:dyDescent="0.3">
      <c r="B541" s="500" t="s">
        <v>884</v>
      </c>
      <c r="C541" s="500" t="s">
        <v>315</v>
      </c>
      <c r="D541" s="325">
        <v>3480303.7500000005</v>
      </c>
    </row>
    <row r="542" spans="2:4" x14ac:dyDescent="0.3">
      <c r="B542" s="500" t="s">
        <v>885</v>
      </c>
      <c r="C542" s="500" t="s">
        <v>315</v>
      </c>
      <c r="D542" s="325">
        <v>1434991.25</v>
      </c>
    </row>
    <row r="543" spans="2:4" x14ac:dyDescent="0.3">
      <c r="B543" s="500" t="s">
        <v>886</v>
      </c>
      <c r="C543" s="500" t="s">
        <v>315</v>
      </c>
      <c r="D543" s="325">
        <v>203500.00000000003</v>
      </c>
    </row>
    <row r="544" spans="2:4" x14ac:dyDescent="0.3">
      <c r="B544" s="500" t="s">
        <v>887</v>
      </c>
      <c r="C544" s="500" t="s">
        <v>315</v>
      </c>
      <c r="D544" s="325">
        <v>116875.00000000001</v>
      </c>
    </row>
    <row r="545" spans="2:4" x14ac:dyDescent="0.3">
      <c r="B545" s="500" t="s">
        <v>888</v>
      </c>
      <c r="C545" s="500" t="s">
        <v>315</v>
      </c>
      <c r="D545" s="325">
        <v>137500</v>
      </c>
    </row>
    <row r="546" spans="2:4" x14ac:dyDescent="0.3">
      <c r="B546" s="500" t="s">
        <v>889</v>
      </c>
      <c r="C546" s="500" t="s">
        <v>315</v>
      </c>
      <c r="D546" s="325">
        <v>6875.0000000000009</v>
      </c>
    </row>
    <row r="547" spans="2:4" x14ac:dyDescent="0.3">
      <c r="B547" s="500" t="s">
        <v>890</v>
      </c>
      <c r="C547" s="500" t="s">
        <v>315</v>
      </c>
      <c r="D547" s="325">
        <v>1839145.0000000002</v>
      </c>
    </row>
    <row r="548" spans="2:4" x14ac:dyDescent="0.3">
      <c r="B548" s="500" t="s">
        <v>891</v>
      </c>
      <c r="C548" s="500" t="s">
        <v>91</v>
      </c>
      <c r="D548" s="325">
        <v>27475.250000000004</v>
      </c>
    </row>
    <row r="549" spans="2:4" x14ac:dyDescent="0.3">
      <c r="B549" s="500" t="s">
        <v>892</v>
      </c>
      <c r="C549" s="500" t="s">
        <v>91</v>
      </c>
      <c r="D549" s="325">
        <v>53286.750000000007</v>
      </c>
    </row>
    <row r="550" spans="2:4" x14ac:dyDescent="0.3">
      <c r="B550" s="500" t="s">
        <v>893</v>
      </c>
      <c r="C550" s="500" t="s">
        <v>91</v>
      </c>
      <c r="D550" s="325">
        <v>122490.95833333333</v>
      </c>
    </row>
    <row r="551" spans="2:4" x14ac:dyDescent="0.3">
      <c r="B551" s="500" t="s">
        <v>894</v>
      </c>
      <c r="C551" s="500" t="s">
        <v>315</v>
      </c>
      <c r="D551" s="325">
        <v>113559.87500000001</v>
      </c>
    </row>
    <row r="552" spans="2:4" x14ac:dyDescent="0.3">
      <c r="B552" s="500" t="s">
        <v>895</v>
      </c>
      <c r="C552" s="500" t="s">
        <v>315</v>
      </c>
      <c r="D552" s="325">
        <v>500500.00000000006</v>
      </c>
    </row>
    <row r="553" spans="2:4" x14ac:dyDescent="0.3">
      <c r="B553" s="500" t="s">
        <v>896</v>
      </c>
      <c r="C553" s="500" t="s">
        <v>317</v>
      </c>
      <c r="D553" s="325">
        <v>10274</v>
      </c>
    </row>
    <row r="554" spans="2:4" x14ac:dyDescent="0.3">
      <c r="B554" s="500" t="s">
        <v>897</v>
      </c>
      <c r="C554" s="500" t="s">
        <v>898</v>
      </c>
      <c r="D554" s="325">
        <v>145384.25</v>
      </c>
    </row>
    <row r="555" spans="2:4" x14ac:dyDescent="0.3">
      <c r="B555" s="500" t="s">
        <v>899</v>
      </c>
      <c r="C555" s="500" t="s">
        <v>91</v>
      </c>
      <c r="D555" s="325">
        <v>32044.375000000004</v>
      </c>
    </row>
    <row r="556" spans="2:4" x14ac:dyDescent="0.3">
      <c r="B556" s="500" t="s">
        <v>900</v>
      </c>
      <c r="C556" s="500" t="s">
        <v>898</v>
      </c>
      <c r="D556" s="325">
        <v>32312.500000000004</v>
      </c>
    </row>
    <row r="557" spans="2:4" x14ac:dyDescent="0.3">
      <c r="B557" s="500" t="s">
        <v>901</v>
      </c>
      <c r="C557" s="500" t="s">
        <v>91</v>
      </c>
      <c r="D557" s="325">
        <v>121082.50000000001</v>
      </c>
    </row>
    <row r="558" spans="2:4" x14ac:dyDescent="0.3">
      <c r="B558" s="500" t="s">
        <v>902</v>
      </c>
      <c r="C558" s="500" t="s">
        <v>91</v>
      </c>
      <c r="D558" s="325">
        <v>58905.000000000007</v>
      </c>
    </row>
    <row r="559" spans="2:4" x14ac:dyDescent="0.3">
      <c r="B559" s="500" t="s">
        <v>903</v>
      </c>
      <c r="C559" s="500" t="s">
        <v>91</v>
      </c>
      <c r="D559" s="325">
        <v>97847.750000000015</v>
      </c>
    </row>
    <row r="560" spans="2:4" ht="25.5" x14ac:dyDescent="0.3">
      <c r="B560" s="500" t="s">
        <v>904</v>
      </c>
      <c r="C560" s="500" t="s">
        <v>100</v>
      </c>
      <c r="D560" s="325">
        <v>81812.5</v>
      </c>
    </row>
    <row r="561" spans="1:4" x14ac:dyDescent="0.3">
      <c r="B561" s="500" t="s">
        <v>905</v>
      </c>
      <c r="C561" s="500" t="s">
        <v>91</v>
      </c>
      <c r="D561" s="325">
        <v>24461.937500000004</v>
      </c>
    </row>
    <row r="562" spans="1:4" ht="25.5" x14ac:dyDescent="0.3">
      <c r="B562" s="500" t="s">
        <v>906</v>
      </c>
      <c r="C562" s="500" t="s">
        <v>100</v>
      </c>
      <c r="D562" s="325">
        <v>63250.000000000007</v>
      </c>
    </row>
    <row r="563" spans="1:4" ht="25.5" x14ac:dyDescent="0.3">
      <c r="B563" s="500" t="s">
        <v>348</v>
      </c>
      <c r="C563" s="500" t="s">
        <v>317</v>
      </c>
      <c r="D563" s="325">
        <v>35000</v>
      </c>
    </row>
    <row r="564" spans="1:4" x14ac:dyDescent="0.3">
      <c r="A564" s="327"/>
    </row>
  </sheetData>
  <protectedRanges>
    <protectedRange sqref="B32:C32 B34:C37 B45:C55 B108:C108 C101 B118:C118 B17:C29 B242:C301 H75:I75 B182:C237 B174:C174 B306:C313 B160:C160 B315:C399 B401:C562 B75:C75 B58:C74 B76:C100" name="MATERIALES"/>
    <protectedRange sqref="B106:B107" name="MATERIALES_1"/>
  </protectedRanges>
  <conditionalFormatting sqref="B563">
    <cfRule type="duplicateValues" dxfId="71" priority="4"/>
  </conditionalFormatting>
  <conditionalFormatting sqref="B566:B1048576 B315:B399 B401:B562 B1:B74 B76:B313">
    <cfRule type="duplicateValues" dxfId="70" priority="2126"/>
  </conditionalFormatting>
  <conditionalFormatting sqref="H75 B75">
    <cfRule type="duplicateValues" dxfId="69" priority="1"/>
  </conditionalFormatting>
  <dataValidations disablePrompts="1" count="1">
    <dataValidation type="list" allowBlank="1" showInputMessage="1" showErrorMessage="1" sqref="B563" xr:uid="{00000000-0002-0000-0400-000000000000}">
      <formula1>$B$2:$B$253</formula1>
    </dataValidation>
  </dataValidations>
  <pageMargins left="0.7" right="0.7" top="0.75" bottom="0.75" header="0.3" footer="0.3"/>
  <pageSetup scale="55" orientation="portrait" r:id="rId1"/>
  <rowBreaks count="1" manualBreakCount="1">
    <brk id="563" max="4"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70CC43-CAFF-4A9F-9062-8DAA19C554A8}">
  <sheetPr>
    <tabColor rgb="FFD4ECBA"/>
  </sheetPr>
  <dimension ref="A1:O54"/>
  <sheetViews>
    <sheetView view="pageBreakPreview" topLeftCell="A10" zoomScale="70" zoomScaleNormal="100" zoomScaleSheetLayoutView="85" workbookViewId="0">
      <selection activeCell="H25" sqref="H25"/>
    </sheetView>
  </sheetViews>
  <sheetFormatPr baseColWidth="10" defaultColWidth="11.625" defaultRowHeight="12.75" x14ac:dyDescent="0.2"/>
  <cols>
    <col min="1" max="1" width="11.625" style="163"/>
    <col min="2" max="2" width="11.625" style="162"/>
    <col min="3" max="3" width="62.375" style="162" customWidth="1"/>
    <col min="4" max="4" width="11.625" style="162"/>
    <col min="5" max="5" width="20.875" style="162" bestFit="1" customWidth="1"/>
    <col min="6" max="6" width="11.625" style="163"/>
    <col min="7" max="7" width="40.75" style="163" bestFit="1" customWidth="1"/>
    <col min="8" max="8" width="17.375" style="162" bestFit="1" customWidth="1"/>
    <col min="9" max="9" width="14.875" style="162" bestFit="1" customWidth="1"/>
    <col min="10" max="10" width="17.25" style="162" customWidth="1"/>
    <col min="11" max="11" width="13.75" style="162" bestFit="1" customWidth="1"/>
    <col min="12" max="12" width="12.625" style="162" bestFit="1" customWidth="1"/>
    <col min="13" max="13" width="15" style="162" bestFit="1" customWidth="1"/>
    <col min="14" max="16384" width="11.625" style="162"/>
  </cols>
  <sheetData>
    <row r="1" spans="2:15" s="163" customFormat="1" x14ac:dyDescent="0.2"/>
    <row r="2" spans="2:15" s="163" customFormat="1" x14ac:dyDescent="0.2"/>
    <row r="3" spans="2:15" ht="25.5" x14ac:dyDescent="0.2">
      <c r="B3" s="835" t="s">
        <v>907</v>
      </c>
      <c r="C3" s="836"/>
      <c r="D3" s="836"/>
      <c r="E3" s="837"/>
      <c r="G3" s="167" t="s">
        <v>908</v>
      </c>
      <c r="H3" s="168" t="s">
        <v>909</v>
      </c>
      <c r="I3" s="168" t="s">
        <v>910</v>
      </c>
      <c r="J3" s="201" t="s">
        <v>911</v>
      </c>
      <c r="K3" s="168" t="s">
        <v>349</v>
      </c>
      <c r="L3" s="168" t="s">
        <v>912</v>
      </c>
      <c r="M3" s="163"/>
      <c r="N3" s="163"/>
    </row>
    <row r="4" spans="2:15" x14ac:dyDescent="0.2">
      <c r="B4" s="838" t="s">
        <v>218</v>
      </c>
      <c r="C4" s="839"/>
      <c r="D4" s="839"/>
      <c r="E4" s="840"/>
      <c r="G4" s="169" t="s">
        <v>913</v>
      </c>
      <c r="H4" s="178">
        <v>5500000</v>
      </c>
      <c r="I4" s="180">
        <f t="shared" ref="I4:I14" si="0">+IF(H4&gt;$H$22,$E$32,$E$33)</f>
        <v>1.5778666666666668</v>
      </c>
      <c r="J4" s="178">
        <f>+H4*I4</f>
        <v>8678266.6666666679</v>
      </c>
      <c r="K4" s="178">
        <f>+J4/30</f>
        <v>289275.55555555562</v>
      </c>
      <c r="L4" s="178">
        <f>+K4/8</f>
        <v>36159.444444444453</v>
      </c>
      <c r="M4" s="163"/>
      <c r="N4" s="163"/>
      <c r="O4" s="163"/>
    </row>
    <row r="5" spans="2:15" x14ac:dyDescent="0.2">
      <c r="B5" s="841" t="s">
        <v>914</v>
      </c>
      <c r="C5" s="841"/>
      <c r="D5" s="841"/>
      <c r="E5" s="841"/>
      <c r="G5" s="169" t="s">
        <v>915</v>
      </c>
      <c r="H5" s="178">
        <v>3800000</v>
      </c>
      <c r="I5" s="180">
        <f t="shared" si="0"/>
        <v>1.5778666666666668</v>
      </c>
      <c r="J5" s="178">
        <f t="shared" ref="J5:J8" si="1">+H5*I5</f>
        <v>5995893.333333334</v>
      </c>
      <c r="K5" s="178">
        <f t="shared" ref="K5:K14" si="2">+J5/30</f>
        <v>199863.11111111112</v>
      </c>
      <c r="L5" s="178">
        <f t="shared" ref="L5:L14" si="3">+K5/8</f>
        <v>24982.888888888891</v>
      </c>
      <c r="M5" s="163"/>
      <c r="N5" s="163"/>
      <c r="O5" s="163"/>
    </row>
    <row r="6" spans="2:15" x14ac:dyDescent="0.2">
      <c r="B6" s="190">
        <v>1</v>
      </c>
      <c r="C6" s="160" t="s">
        <v>916</v>
      </c>
      <c r="D6" s="160"/>
      <c r="E6" s="191">
        <v>1</v>
      </c>
      <c r="G6" s="165" t="s">
        <v>161</v>
      </c>
      <c r="H6" s="178">
        <v>2800000</v>
      </c>
      <c r="I6" s="180">
        <f t="shared" si="0"/>
        <v>1.72013309459965</v>
      </c>
      <c r="J6" s="178">
        <f t="shared" si="1"/>
        <v>4816372.6648790203</v>
      </c>
      <c r="K6" s="178">
        <f t="shared" si="2"/>
        <v>160545.75549596734</v>
      </c>
      <c r="L6" s="178">
        <f t="shared" si="3"/>
        <v>20068.219436995918</v>
      </c>
      <c r="M6" s="163"/>
      <c r="N6" s="163"/>
      <c r="O6" s="163"/>
    </row>
    <row r="7" spans="2:15" x14ac:dyDescent="0.2">
      <c r="B7" s="190"/>
      <c r="C7" s="160" t="s">
        <v>917</v>
      </c>
      <c r="D7" s="160"/>
      <c r="E7" s="191">
        <v>1</v>
      </c>
      <c r="G7" s="165" t="s">
        <v>918</v>
      </c>
      <c r="H7" s="178">
        <v>2800000</v>
      </c>
      <c r="I7" s="180">
        <f t="shared" si="0"/>
        <v>1.72013309459965</v>
      </c>
      <c r="J7" s="178">
        <f t="shared" si="1"/>
        <v>4816372.6648790203</v>
      </c>
      <c r="K7" s="178">
        <f t="shared" si="2"/>
        <v>160545.75549596734</v>
      </c>
      <c r="L7" s="178">
        <f t="shared" si="3"/>
        <v>20068.219436995918</v>
      </c>
      <c r="M7" s="163"/>
      <c r="N7" s="163"/>
      <c r="O7" s="163"/>
    </row>
    <row r="8" spans="2:15" x14ac:dyDescent="0.2">
      <c r="B8" s="842"/>
      <c r="C8" s="842"/>
      <c r="D8" s="842"/>
      <c r="E8" s="842"/>
      <c r="G8" s="170" t="s">
        <v>919</v>
      </c>
      <c r="H8" s="178">
        <v>2400000</v>
      </c>
      <c r="I8" s="180">
        <f t="shared" si="0"/>
        <v>1.72013309459965</v>
      </c>
      <c r="J8" s="178">
        <f t="shared" si="1"/>
        <v>4128319.4270391599</v>
      </c>
      <c r="K8" s="178">
        <f t="shared" si="2"/>
        <v>137610.64756797199</v>
      </c>
      <c r="L8" s="178">
        <f t="shared" si="3"/>
        <v>17201.330945996498</v>
      </c>
      <c r="M8" s="163"/>
      <c r="N8" s="163"/>
      <c r="O8" s="163"/>
    </row>
    <row r="9" spans="2:15" ht="25.5" x14ac:dyDescent="0.2">
      <c r="B9" s="195">
        <v>2</v>
      </c>
      <c r="C9" s="196" t="s">
        <v>920</v>
      </c>
      <c r="D9" s="196"/>
      <c r="E9" s="197"/>
      <c r="G9" s="171" t="s">
        <v>921</v>
      </c>
      <c r="H9" s="179">
        <v>3000000</v>
      </c>
      <c r="I9" s="180">
        <f t="shared" si="0"/>
        <v>1.72013309459965</v>
      </c>
      <c r="J9" s="178">
        <f t="shared" ref="J9:J14" si="4">+H9*I9</f>
        <v>5160399.2837989498</v>
      </c>
      <c r="K9" s="178">
        <f t="shared" si="2"/>
        <v>172013.30945996501</v>
      </c>
      <c r="L9" s="178">
        <f t="shared" si="3"/>
        <v>21501.663682495626</v>
      </c>
      <c r="M9" s="163"/>
      <c r="N9" s="163"/>
      <c r="O9" s="163"/>
    </row>
    <row r="10" spans="2:15" x14ac:dyDescent="0.2">
      <c r="B10" s="195" t="s">
        <v>167</v>
      </c>
      <c r="C10" s="196" t="s">
        <v>922</v>
      </c>
      <c r="D10" s="196"/>
      <c r="E10" s="197"/>
      <c r="G10" s="166" t="s">
        <v>923</v>
      </c>
      <c r="H10" s="175">
        <f>+H21</f>
        <v>1750905</v>
      </c>
      <c r="I10" s="180">
        <f t="shared" si="0"/>
        <v>1.72013309459965</v>
      </c>
      <c r="J10" s="178">
        <f t="shared" si="4"/>
        <v>3011789.6360000004</v>
      </c>
      <c r="K10" s="178">
        <f t="shared" si="2"/>
        <v>100392.98786666668</v>
      </c>
      <c r="L10" s="178">
        <f t="shared" si="3"/>
        <v>12549.123483333335</v>
      </c>
      <c r="M10" s="163"/>
      <c r="N10" s="163"/>
      <c r="O10" s="163"/>
    </row>
    <row r="11" spans="2:15" x14ac:dyDescent="0.2">
      <c r="B11" s="195"/>
      <c r="C11" s="198" t="s">
        <v>924</v>
      </c>
      <c r="D11" s="198"/>
      <c r="E11" s="199">
        <v>8.3299999999999999E-2</v>
      </c>
      <c r="G11" s="171" t="s">
        <v>925</v>
      </c>
      <c r="H11" s="175">
        <v>2400000</v>
      </c>
      <c r="I11" s="180">
        <f t="shared" si="0"/>
        <v>1.72013309459965</v>
      </c>
      <c r="J11" s="178">
        <f t="shared" si="4"/>
        <v>4128319.4270391599</v>
      </c>
      <c r="K11" s="178">
        <f t="shared" si="2"/>
        <v>137610.64756797199</v>
      </c>
      <c r="L11" s="178">
        <f t="shared" si="3"/>
        <v>17201.330945996498</v>
      </c>
      <c r="M11" s="163"/>
      <c r="N11" s="163"/>
      <c r="O11" s="163"/>
    </row>
    <row r="12" spans="2:15" x14ac:dyDescent="0.2">
      <c r="B12" s="195"/>
      <c r="C12" s="198" t="s">
        <v>926</v>
      </c>
      <c r="D12" s="198"/>
      <c r="E12" s="199">
        <v>8.3299999999999999E-2</v>
      </c>
      <c r="G12" s="172" t="s">
        <v>927</v>
      </c>
      <c r="H12" s="177">
        <v>3500000</v>
      </c>
      <c r="I12" s="180">
        <f t="shared" si="0"/>
        <v>1.72013309459965</v>
      </c>
      <c r="J12" s="178">
        <f t="shared" si="4"/>
        <v>6020465.8310987754</v>
      </c>
      <c r="K12" s="178">
        <f t="shared" si="2"/>
        <v>200682.19436995918</v>
      </c>
      <c r="L12" s="178">
        <f t="shared" si="3"/>
        <v>25085.274296244897</v>
      </c>
      <c r="M12" s="163"/>
      <c r="N12" s="163"/>
      <c r="O12" s="163"/>
    </row>
    <row r="13" spans="2:15" x14ac:dyDescent="0.2">
      <c r="B13" s="195"/>
      <c r="C13" s="198" t="s">
        <v>928</v>
      </c>
      <c r="D13" s="198"/>
      <c r="E13" s="199">
        <v>0.01</v>
      </c>
      <c r="G13" s="173" t="s">
        <v>929</v>
      </c>
      <c r="H13" s="176">
        <f>+H21*1.5</f>
        <v>2626357.5</v>
      </c>
      <c r="I13" s="180">
        <f t="shared" si="0"/>
        <v>1.72013309459965</v>
      </c>
      <c r="J13" s="178">
        <f t="shared" si="4"/>
        <v>4517684.4539999999</v>
      </c>
      <c r="K13" s="178">
        <f t="shared" si="2"/>
        <v>150589.48180000001</v>
      </c>
      <c r="L13" s="178">
        <f t="shared" si="3"/>
        <v>18823.685225000001</v>
      </c>
      <c r="M13" s="163"/>
      <c r="N13" s="163"/>
      <c r="O13" s="163"/>
    </row>
    <row r="14" spans="2:15" x14ac:dyDescent="0.2">
      <c r="B14" s="195" t="s">
        <v>170</v>
      </c>
      <c r="C14" s="196" t="s">
        <v>930</v>
      </c>
      <c r="D14" s="196"/>
      <c r="E14" s="197"/>
      <c r="G14" s="172" t="s">
        <v>931</v>
      </c>
      <c r="H14" s="177">
        <f>+H21</f>
        <v>1750905</v>
      </c>
      <c r="I14" s="180">
        <f t="shared" si="0"/>
        <v>1.72013309459965</v>
      </c>
      <c r="J14" s="178">
        <f t="shared" si="4"/>
        <v>3011789.6360000004</v>
      </c>
      <c r="K14" s="178">
        <f t="shared" si="2"/>
        <v>100392.98786666668</v>
      </c>
      <c r="L14" s="178">
        <f t="shared" si="3"/>
        <v>12549.123483333335</v>
      </c>
      <c r="M14" s="163"/>
      <c r="N14" s="163"/>
      <c r="O14" s="163"/>
    </row>
    <row r="15" spans="2:15" x14ac:dyDescent="0.2">
      <c r="B15" s="195"/>
      <c r="C15" s="198" t="s">
        <v>932</v>
      </c>
      <c r="D15" s="198"/>
      <c r="E15" s="199">
        <v>8.5000000000000006E-2</v>
      </c>
      <c r="M15" s="163"/>
      <c r="N15" s="163"/>
      <c r="O15" s="163"/>
    </row>
    <row r="16" spans="2:15" x14ac:dyDescent="0.2">
      <c r="B16" s="195"/>
      <c r="C16" s="198" t="s">
        <v>933</v>
      </c>
      <c r="D16" s="198"/>
      <c r="E16" s="199">
        <v>0.12</v>
      </c>
      <c r="H16" s="163"/>
      <c r="I16" s="163"/>
      <c r="J16" s="163"/>
      <c r="K16" s="163"/>
      <c r="L16" s="163"/>
      <c r="M16" s="163"/>
      <c r="N16" s="163"/>
      <c r="O16" s="163"/>
    </row>
    <row r="17" spans="2:15" x14ac:dyDescent="0.2">
      <c r="B17" s="195"/>
      <c r="C17" s="198" t="s">
        <v>934</v>
      </c>
      <c r="D17" s="198"/>
      <c r="E17" s="199">
        <v>6.9599999999999995E-2</v>
      </c>
      <c r="H17" s="163"/>
      <c r="I17" s="163"/>
      <c r="J17" s="163"/>
      <c r="K17" s="163"/>
      <c r="L17" s="163"/>
      <c r="M17" s="163"/>
      <c r="N17" s="163"/>
      <c r="O17" s="163"/>
    </row>
    <row r="18" spans="2:15" x14ac:dyDescent="0.2">
      <c r="B18" s="195" t="s">
        <v>172</v>
      </c>
      <c r="C18" s="196" t="s">
        <v>935</v>
      </c>
      <c r="D18" s="196"/>
      <c r="E18" s="197"/>
      <c r="H18" s="163"/>
      <c r="I18" s="163"/>
      <c r="J18" s="163"/>
      <c r="K18" s="163"/>
      <c r="L18" s="163"/>
      <c r="M18" s="163"/>
      <c r="N18" s="163"/>
      <c r="O18" s="163"/>
    </row>
    <row r="19" spans="2:15" x14ac:dyDescent="0.2">
      <c r="B19" s="195"/>
      <c r="C19" s="198" t="s">
        <v>936</v>
      </c>
      <c r="D19" s="198"/>
      <c r="E19" s="199">
        <v>0</v>
      </c>
      <c r="H19" s="163"/>
      <c r="I19" s="163"/>
      <c r="J19" s="163"/>
      <c r="K19" s="163"/>
      <c r="L19" s="163"/>
      <c r="M19" s="163"/>
      <c r="N19" s="163"/>
      <c r="O19" s="163"/>
    </row>
    <row r="20" spans="2:15" x14ac:dyDescent="0.2">
      <c r="B20" s="195"/>
      <c r="C20" s="198" t="s">
        <v>937</v>
      </c>
      <c r="D20" s="198"/>
      <c r="E20" s="199">
        <v>0</v>
      </c>
      <c r="G20" s="832" t="s">
        <v>938</v>
      </c>
      <c r="H20" s="833"/>
      <c r="I20" s="163"/>
      <c r="J20" s="163"/>
      <c r="K20" s="163"/>
      <c r="L20" s="163"/>
      <c r="M20" s="163"/>
      <c r="N20" s="163"/>
      <c r="O20" s="163"/>
    </row>
    <row r="21" spans="2:15" x14ac:dyDescent="0.2">
      <c r="B21" s="195"/>
      <c r="C21" s="198" t="s">
        <v>939</v>
      </c>
      <c r="D21" s="198"/>
      <c r="E21" s="199">
        <v>0.04</v>
      </c>
      <c r="G21" s="181" t="s">
        <v>940</v>
      </c>
      <c r="H21" s="182">
        <v>1750905</v>
      </c>
      <c r="I21" s="163"/>
      <c r="J21" s="163"/>
      <c r="K21" s="163"/>
      <c r="L21" s="163"/>
      <c r="M21" s="163"/>
      <c r="N21" s="163"/>
      <c r="O21" s="163"/>
    </row>
    <row r="22" spans="2:15" x14ac:dyDescent="0.2">
      <c r="B22" s="195" t="s">
        <v>941</v>
      </c>
      <c r="C22" s="196" t="s">
        <v>942</v>
      </c>
      <c r="D22" s="196"/>
      <c r="E22" s="197"/>
      <c r="G22" s="181" t="s">
        <v>943</v>
      </c>
      <c r="H22" s="182">
        <f>+H21*2</f>
        <v>3501810</v>
      </c>
      <c r="I22" s="163"/>
      <c r="J22" s="163"/>
      <c r="K22" s="163"/>
      <c r="L22" s="163"/>
      <c r="M22" s="163"/>
      <c r="N22" s="163"/>
      <c r="O22" s="163"/>
    </row>
    <row r="23" spans="2:15" x14ac:dyDescent="0.2">
      <c r="B23" s="195"/>
      <c r="C23" s="198" t="s">
        <v>944</v>
      </c>
      <c r="D23" s="198"/>
      <c r="E23" s="200">
        <f>+(0.0416666666666667)*100%</f>
        <v>4.1666666666666699E-2</v>
      </c>
      <c r="G23" s="174" t="s">
        <v>945</v>
      </c>
      <c r="H23" s="183">
        <v>249095</v>
      </c>
      <c r="I23" s="163" t="s">
        <v>946</v>
      </c>
      <c r="J23" s="163"/>
      <c r="K23" s="163"/>
      <c r="L23" s="163"/>
      <c r="M23" s="163"/>
      <c r="N23" s="163"/>
      <c r="O23" s="163"/>
    </row>
    <row r="24" spans="2:15" x14ac:dyDescent="0.2">
      <c r="B24" s="195" t="s">
        <v>947</v>
      </c>
      <c r="C24" s="196" t="s">
        <v>948</v>
      </c>
      <c r="D24" s="196"/>
      <c r="E24" s="197"/>
      <c r="H24" s="163"/>
      <c r="I24" s="163"/>
      <c r="J24" s="163"/>
      <c r="K24" s="163"/>
      <c r="L24" s="163"/>
      <c r="M24" s="163"/>
      <c r="N24" s="163"/>
      <c r="O24" s="163"/>
    </row>
    <row r="25" spans="2:15" ht="14.45" customHeight="1" x14ac:dyDescent="0.2">
      <c r="B25" s="195"/>
      <c r="C25" s="198" t="s">
        <v>949</v>
      </c>
      <c r="D25" s="198"/>
      <c r="E25" s="199">
        <v>2.5000000000000001E-2</v>
      </c>
      <c r="I25" s="163"/>
      <c r="J25" s="163"/>
      <c r="K25" s="163"/>
      <c r="L25" s="163"/>
      <c r="M25" s="163"/>
      <c r="N25" s="163"/>
      <c r="O25" s="163"/>
    </row>
    <row r="26" spans="2:15" ht="14.45" customHeight="1" x14ac:dyDescent="0.2">
      <c r="B26" s="195"/>
      <c r="C26" s="198" t="s">
        <v>950</v>
      </c>
      <c r="D26" s="198"/>
      <c r="E26" s="199">
        <v>0.02</v>
      </c>
      <c r="H26" s="163"/>
      <c r="I26" s="163"/>
      <c r="J26" s="163"/>
      <c r="K26" s="163"/>
      <c r="L26" s="163"/>
      <c r="M26" s="163"/>
      <c r="N26" s="163"/>
      <c r="O26" s="163"/>
    </row>
    <row r="27" spans="2:15" ht="14.45" customHeight="1" x14ac:dyDescent="0.2">
      <c r="B27" s="190"/>
      <c r="C27" s="160" t="s">
        <v>951</v>
      </c>
      <c r="D27" s="160"/>
      <c r="E27" s="191">
        <f>SUM(E11:E26)</f>
        <v>0.57786666666666675</v>
      </c>
      <c r="H27" s="163"/>
      <c r="I27" s="163"/>
      <c r="J27" s="163"/>
      <c r="K27" s="163"/>
      <c r="L27" s="163"/>
      <c r="M27" s="163"/>
      <c r="N27" s="163"/>
      <c r="O27" s="163"/>
    </row>
    <row r="28" spans="2:15" ht="14.45" customHeight="1" x14ac:dyDescent="0.2">
      <c r="B28" s="195">
        <v>2.6</v>
      </c>
      <c r="C28" s="196" t="s">
        <v>952</v>
      </c>
      <c r="D28" s="198"/>
      <c r="E28" s="199"/>
      <c r="H28" s="163"/>
      <c r="I28" s="163"/>
      <c r="J28" s="163"/>
      <c r="K28" s="163"/>
      <c r="L28" s="163"/>
      <c r="M28" s="163"/>
      <c r="N28" s="163"/>
      <c r="O28" s="163"/>
    </row>
    <row r="29" spans="2:15" ht="14.45" customHeight="1" x14ac:dyDescent="0.2">
      <c r="B29" s="195"/>
      <c r="C29" s="198" t="s">
        <v>953</v>
      </c>
      <c r="D29" s="198"/>
      <c r="E29" s="200">
        <f>(249095/1750905)*100%</f>
        <v>0.14226642793298322</v>
      </c>
      <c r="H29" s="163"/>
      <c r="I29" s="163"/>
      <c r="J29" s="163"/>
      <c r="K29" s="163"/>
      <c r="L29" s="163"/>
      <c r="M29" s="163"/>
      <c r="N29" s="163"/>
      <c r="O29" s="163"/>
    </row>
    <row r="30" spans="2:15" ht="14.45" customHeight="1" x14ac:dyDescent="0.2">
      <c r="B30" s="190"/>
      <c r="C30" s="160" t="s">
        <v>954</v>
      </c>
      <c r="D30" s="160"/>
      <c r="E30" s="191">
        <f>+E27+E29</f>
        <v>0.72013309459965003</v>
      </c>
      <c r="H30" s="163"/>
      <c r="I30" s="163"/>
      <c r="J30" s="163"/>
      <c r="K30" s="163"/>
      <c r="L30" s="163"/>
      <c r="M30" s="163"/>
      <c r="N30" s="163"/>
      <c r="O30" s="163"/>
    </row>
    <row r="31" spans="2:15" ht="14.45" customHeight="1" x14ac:dyDescent="0.2">
      <c r="B31" s="834"/>
      <c r="C31" s="834"/>
      <c r="D31" s="834"/>
      <c r="E31" s="834"/>
      <c r="H31" s="163"/>
      <c r="I31" s="163"/>
      <c r="J31" s="163"/>
      <c r="K31" s="163"/>
      <c r="L31" s="163"/>
      <c r="M31" s="163"/>
      <c r="N31" s="163"/>
      <c r="O31" s="163"/>
    </row>
    <row r="32" spans="2:15" ht="25.5" x14ac:dyDescent="0.2">
      <c r="B32" s="192"/>
      <c r="C32" s="193" t="s">
        <v>955</v>
      </c>
      <c r="D32" s="193"/>
      <c r="E32" s="194">
        <f>+E7+E27</f>
        <v>1.5778666666666668</v>
      </c>
      <c r="H32" s="163"/>
      <c r="I32" s="163"/>
      <c r="J32" s="163"/>
      <c r="K32" s="163"/>
      <c r="L32" s="163"/>
      <c r="M32" s="163"/>
      <c r="N32" s="163"/>
      <c r="O32" s="163"/>
    </row>
    <row r="33" spans="2:15" ht="25.5" x14ac:dyDescent="0.2">
      <c r="B33" s="192"/>
      <c r="C33" s="193" t="s">
        <v>956</v>
      </c>
      <c r="D33" s="193"/>
      <c r="E33" s="194">
        <f>+E30+E7</f>
        <v>1.72013309459965</v>
      </c>
      <c r="H33" s="163"/>
      <c r="I33" s="163"/>
      <c r="J33" s="163"/>
      <c r="K33" s="163"/>
      <c r="L33" s="163"/>
      <c r="M33" s="163"/>
      <c r="N33" s="163"/>
      <c r="O33" s="163"/>
    </row>
    <row r="34" spans="2:15" x14ac:dyDescent="0.2">
      <c r="B34" s="163"/>
      <c r="C34" s="163"/>
      <c r="D34" s="163"/>
      <c r="E34" s="163"/>
      <c r="H34" s="163"/>
      <c r="I34" s="163"/>
      <c r="J34" s="163"/>
      <c r="K34" s="163"/>
      <c r="L34" s="163"/>
      <c r="M34" s="163"/>
      <c r="N34" s="163"/>
      <c r="O34" s="163"/>
    </row>
    <row r="35" spans="2:15" x14ac:dyDescent="0.2">
      <c r="B35" s="163"/>
      <c r="C35" s="163"/>
      <c r="D35" s="163"/>
      <c r="E35" s="163"/>
      <c r="H35" s="163"/>
      <c r="I35" s="163"/>
      <c r="J35" s="163"/>
      <c r="K35" s="163"/>
      <c r="L35" s="163"/>
      <c r="M35" s="163"/>
      <c r="N35" s="163"/>
      <c r="O35" s="163"/>
    </row>
    <row r="36" spans="2:15" x14ac:dyDescent="0.2">
      <c r="B36" s="163"/>
      <c r="C36" s="163"/>
      <c r="D36" s="163"/>
      <c r="E36" s="185"/>
      <c r="H36" s="163"/>
      <c r="I36" s="163"/>
      <c r="J36" s="163"/>
      <c r="K36" s="163"/>
      <c r="L36" s="163"/>
      <c r="M36" s="163"/>
      <c r="N36" s="163"/>
      <c r="O36" s="163"/>
    </row>
    <row r="37" spans="2:15" x14ac:dyDescent="0.2">
      <c r="B37" s="163"/>
      <c r="C37" s="163"/>
      <c r="D37" s="163"/>
      <c r="E37" s="185"/>
      <c r="H37" s="163"/>
      <c r="I37" s="163"/>
      <c r="J37" s="163"/>
      <c r="K37" s="163"/>
      <c r="L37" s="163"/>
      <c r="M37" s="163"/>
      <c r="O37" s="163"/>
    </row>
    <row r="38" spans="2:15" x14ac:dyDescent="0.2">
      <c r="B38" s="163"/>
      <c r="C38" s="163"/>
      <c r="D38" s="163"/>
      <c r="E38" s="185"/>
      <c r="H38" s="163"/>
      <c r="I38" s="163"/>
      <c r="J38" s="163"/>
      <c r="K38" s="163"/>
      <c r="L38" s="163"/>
      <c r="M38" s="163"/>
      <c r="O38" s="163"/>
    </row>
    <row r="39" spans="2:15" x14ac:dyDescent="0.2">
      <c r="B39" s="186"/>
      <c r="C39" s="163"/>
      <c r="D39" s="163"/>
      <c r="E39" s="185"/>
      <c r="H39" s="163"/>
      <c r="I39" s="163"/>
      <c r="J39" s="163"/>
      <c r="K39" s="163"/>
      <c r="L39" s="163"/>
      <c r="M39" s="163"/>
      <c r="O39" s="163"/>
    </row>
    <row r="40" spans="2:15" x14ac:dyDescent="0.2">
      <c r="B40" s="186"/>
      <c r="C40" s="163" t="s">
        <v>133</v>
      </c>
      <c r="D40" s="163"/>
      <c r="E40" s="185"/>
      <c r="H40" s="163"/>
      <c r="I40" s="163"/>
      <c r="J40" s="163"/>
      <c r="K40" s="163"/>
      <c r="L40" s="163"/>
      <c r="M40" s="163"/>
      <c r="O40" s="163"/>
    </row>
    <row r="41" spans="2:15" x14ac:dyDescent="0.2">
      <c r="B41" s="187" t="s">
        <v>134</v>
      </c>
      <c r="C41" s="782" t="s">
        <v>135</v>
      </c>
      <c r="D41" s="782"/>
      <c r="E41" s="185"/>
      <c r="H41" s="163"/>
      <c r="I41" s="163"/>
      <c r="J41" s="163"/>
      <c r="K41" s="163"/>
      <c r="L41" s="163"/>
      <c r="M41" s="163"/>
      <c r="O41" s="163"/>
    </row>
    <row r="42" spans="2:15" x14ac:dyDescent="0.2">
      <c r="B42" s="188" t="s">
        <v>136</v>
      </c>
      <c r="C42" s="163" t="s">
        <v>137</v>
      </c>
      <c r="D42" s="163"/>
      <c r="E42" s="185"/>
      <c r="H42" s="163"/>
      <c r="I42" s="163"/>
      <c r="J42" s="163"/>
      <c r="K42" s="163"/>
      <c r="L42" s="163"/>
      <c r="M42" s="163"/>
      <c r="O42" s="163"/>
    </row>
    <row r="43" spans="2:15" ht="25.5" x14ac:dyDescent="0.2">
      <c r="B43" s="188" t="s">
        <v>138</v>
      </c>
      <c r="C43" s="783" t="s">
        <v>139</v>
      </c>
      <c r="D43" s="784"/>
      <c r="E43" s="185"/>
      <c r="H43" s="163"/>
      <c r="I43" s="163"/>
      <c r="J43" s="163"/>
      <c r="K43" s="163"/>
      <c r="L43" s="163"/>
      <c r="M43" s="163"/>
      <c r="N43" s="163"/>
      <c r="O43" s="163"/>
    </row>
    <row r="44" spans="2:15" ht="25.5" x14ac:dyDescent="0.2">
      <c r="B44" s="188" t="s">
        <v>140</v>
      </c>
      <c r="C44" s="189">
        <v>3147222958</v>
      </c>
      <c r="D44" s="163"/>
      <c r="E44" s="185"/>
      <c r="H44" s="163"/>
      <c r="I44" s="163"/>
      <c r="J44" s="163"/>
      <c r="K44" s="163"/>
      <c r="L44" s="163"/>
      <c r="M44" s="163"/>
      <c r="N44" s="163"/>
      <c r="O44" s="163"/>
    </row>
    <row r="45" spans="2:15" x14ac:dyDescent="0.2">
      <c r="B45" s="163"/>
      <c r="C45" s="163"/>
      <c r="D45" s="163"/>
      <c r="E45" s="163"/>
      <c r="H45" s="163"/>
      <c r="I45" s="163"/>
      <c r="J45" s="163"/>
      <c r="K45" s="163"/>
      <c r="L45" s="163"/>
      <c r="M45" s="163"/>
      <c r="N45" s="163"/>
      <c r="O45" s="163"/>
    </row>
    <row r="46" spans="2:15" x14ac:dyDescent="0.2">
      <c r="B46" s="163"/>
      <c r="C46" s="163"/>
      <c r="D46" s="163"/>
      <c r="E46" s="163"/>
      <c r="H46" s="163"/>
      <c r="I46" s="163"/>
      <c r="J46" s="163"/>
      <c r="K46" s="163"/>
      <c r="L46" s="163"/>
      <c r="M46" s="163"/>
      <c r="N46" s="163"/>
      <c r="O46" s="163"/>
    </row>
    <row r="47" spans="2:15" x14ac:dyDescent="0.2">
      <c r="B47" s="163"/>
      <c r="C47" s="163"/>
      <c r="D47" s="163"/>
      <c r="E47" s="163"/>
      <c r="H47" s="163"/>
      <c r="I47" s="163"/>
      <c r="J47" s="163"/>
      <c r="K47" s="163"/>
      <c r="L47" s="163"/>
      <c r="M47" s="163"/>
      <c r="N47" s="163"/>
      <c r="O47" s="163"/>
    </row>
    <row r="48" spans="2:15" x14ac:dyDescent="0.2">
      <c r="B48" s="163"/>
      <c r="C48" s="163"/>
      <c r="D48" s="163"/>
      <c r="E48" s="163"/>
      <c r="H48" s="163"/>
      <c r="I48" s="163"/>
      <c r="J48" s="163"/>
      <c r="K48" s="163"/>
      <c r="L48" s="163"/>
      <c r="M48" s="163"/>
      <c r="N48" s="163"/>
      <c r="O48" s="163"/>
    </row>
    <row r="49" spans="2:15" x14ac:dyDescent="0.2">
      <c r="B49" s="163"/>
      <c r="C49" s="163"/>
      <c r="D49" s="163"/>
      <c r="E49" s="163"/>
      <c r="H49" s="163"/>
      <c r="I49" s="163"/>
      <c r="J49" s="163"/>
      <c r="K49" s="163"/>
      <c r="L49" s="163"/>
      <c r="M49" s="163"/>
      <c r="N49" s="163"/>
      <c r="O49" s="163"/>
    </row>
    <row r="50" spans="2:15" x14ac:dyDescent="0.2">
      <c r="B50" s="163"/>
      <c r="C50" s="163"/>
      <c r="D50" s="163"/>
      <c r="E50" s="163"/>
      <c r="H50" s="163"/>
      <c r="I50" s="163"/>
      <c r="J50" s="163"/>
      <c r="K50" s="163"/>
      <c r="L50" s="163"/>
      <c r="M50" s="163"/>
      <c r="N50" s="163"/>
      <c r="O50" s="163"/>
    </row>
    <row r="51" spans="2:15" x14ac:dyDescent="0.2">
      <c r="B51" s="163"/>
      <c r="C51" s="163"/>
      <c r="D51" s="163"/>
      <c r="E51" s="163"/>
      <c r="H51" s="163"/>
      <c r="I51" s="163"/>
      <c r="J51" s="163"/>
      <c r="K51" s="163"/>
      <c r="L51" s="163"/>
      <c r="M51" s="163"/>
      <c r="N51" s="163"/>
      <c r="O51" s="163"/>
    </row>
    <row r="52" spans="2:15" x14ac:dyDescent="0.2">
      <c r="B52" s="163"/>
      <c r="C52" s="163"/>
      <c r="D52" s="163"/>
      <c r="E52" s="163"/>
      <c r="H52" s="163"/>
      <c r="I52" s="163"/>
      <c r="J52" s="163"/>
      <c r="K52" s="163"/>
      <c r="L52" s="163"/>
      <c r="M52" s="163"/>
      <c r="N52" s="163"/>
      <c r="O52" s="163"/>
    </row>
    <row r="53" spans="2:15" x14ac:dyDescent="0.2">
      <c r="B53" s="163"/>
      <c r="C53" s="163"/>
      <c r="D53" s="163"/>
      <c r="E53" s="163"/>
      <c r="H53" s="163"/>
      <c r="I53" s="163"/>
      <c r="J53" s="163"/>
      <c r="K53" s="163"/>
      <c r="L53" s="163"/>
      <c r="M53" s="163"/>
      <c r="N53" s="163"/>
      <c r="O53" s="163"/>
    </row>
    <row r="54" spans="2:15" x14ac:dyDescent="0.2">
      <c r="B54" s="163"/>
      <c r="C54" s="163"/>
      <c r="D54" s="163"/>
      <c r="E54" s="163"/>
      <c r="H54" s="163"/>
      <c r="I54" s="163"/>
      <c r="J54" s="163"/>
      <c r="K54" s="163"/>
      <c r="L54" s="163"/>
      <c r="M54" s="163"/>
      <c r="N54" s="163"/>
      <c r="O54" s="163"/>
    </row>
  </sheetData>
  <mergeCells count="8">
    <mergeCell ref="G20:H20"/>
    <mergeCell ref="C43:D43"/>
    <mergeCell ref="B31:E31"/>
    <mergeCell ref="B3:E3"/>
    <mergeCell ref="B4:E4"/>
    <mergeCell ref="B5:E5"/>
    <mergeCell ref="B8:E8"/>
    <mergeCell ref="C41:D41"/>
  </mergeCells>
  <hyperlinks>
    <hyperlink ref="C43" r:id="rId1" xr:uid="{83108285-932D-4E4A-9325-8208045BC78E}"/>
  </hyperlinks>
  <pageMargins left="0.7" right="0.7" top="0.75" bottom="0.75" header="0.3" footer="0.3"/>
  <pageSetup scale="32" orientation="portrait"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7585F5-9826-460F-AF0F-DA6A853058E4}">
  <sheetPr>
    <tabColor rgb="FFD4ECBA"/>
  </sheetPr>
  <dimension ref="A1:G38"/>
  <sheetViews>
    <sheetView view="pageBreakPreview" topLeftCell="A20" zoomScale="120" zoomScaleNormal="100" zoomScaleSheetLayoutView="100" workbookViewId="0">
      <selection activeCell="B5" sqref="B5"/>
    </sheetView>
  </sheetViews>
  <sheetFormatPr baseColWidth="10" defaultColWidth="11.625" defaultRowHeight="12.75" x14ac:dyDescent="0.2"/>
  <cols>
    <col min="1" max="1" width="11.625" style="202"/>
    <col min="2" max="2" width="47.625" style="202" customWidth="1"/>
    <col min="3" max="3" width="17" style="202" customWidth="1"/>
    <col min="4" max="4" width="11.625" style="202" bestFit="1" customWidth="1"/>
    <col min="5" max="5" width="12.75" style="229" bestFit="1" customWidth="1"/>
    <col min="6" max="6" width="15.375" style="229" bestFit="1" customWidth="1"/>
    <col min="7" max="7" width="11.625" style="203"/>
    <col min="8" max="16384" width="11.625" style="202"/>
  </cols>
  <sheetData>
    <row r="1" spans="1:6" ht="13.5" thickBot="1" x14ac:dyDescent="0.25">
      <c r="A1" s="843" t="s">
        <v>957</v>
      </c>
      <c r="B1" s="844"/>
      <c r="C1" s="844"/>
      <c r="D1" s="844"/>
      <c r="E1" s="844"/>
      <c r="F1" s="845"/>
    </row>
    <row r="2" spans="1:6" ht="26.25" thickBot="1" x14ac:dyDescent="0.25">
      <c r="A2" s="209" t="s">
        <v>5</v>
      </c>
      <c r="B2" s="210" t="s">
        <v>958</v>
      </c>
      <c r="C2" s="210" t="s">
        <v>7</v>
      </c>
      <c r="D2" s="210" t="s">
        <v>959</v>
      </c>
      <c r="E2" s="220" t="s">
        <v>960</v>
      </c>
      <c r="F2" s="221" t="s">
        <v>277</v>
      </c>
    </row>
    <row r="3" spans="1:6" x14ac:dyDescent="0.2">
      <c r="A3" s="211" t="s">
        <v>155</v>
      </c>
      <c r="B3" s="212" t="s">
        <v>961</v>
      </c>
      <c r="C3" s="213"/>
      <c r="D3" s="213"/>
      <c r="E3" s="222"/>
      <c r="F3" s="223"/>
    </row>
    <row r="4" spans="1:6" ht="25.5" x14ac:dyDescent="0.2">
      <c r="A4" s="214" t="s">
        <v>962</v>
      </c>
      <c r="B4" s="215" t="s">
        <v>963</v>
      </c>
      <c r="C4" s="216" t="s">
        <v>187</v>
      </c>
      <c r="D4" s="216">
        <v>18</v>
      </c>
      <c r="E4" s="224">
        <v>30000</v>
      </c>
      <c r="F4" s="225">
        <f>+E4*D4</f>
        <v>540000</v>
      </c>
    </row>
    <row r="5" spans="1:6" x14ac:dyDescent="0.2">
      <c r="A5" s="214"/>
      <c r="B5" s="215"/>
      <c r="C5" s="216"/>
      <c r="D5" s="216"/>
      <c r="E5" s="224"/>
      <c r="F5" s="225"/>
    </row>
    <row r="6" spans="1:6" x14ac:dyDescent="0.2">
      <c r="A6" s="211" t="s">
        <v>158</v>
      </c>
      <c r="B6" s="212" t="s">
        <v>964</v>
      </c>
      <c r="C6" s="213"/>
      <c r="D6" s="213"/>
      <c r="E6" s="222"/>
      <c r="F6" s="223">
        <f t="shared" ref="F6:F23" si="0">+E6*D6</f>
        <v>0</v>
      </c>
    </row>
    <row r="7" spans="1:6" x14ac:dyDescent="0.2">
      <c r="A7" s="214" t="s">
        <v>965</v>
      </c>
      <c r="B7" s="215" t="s">
        <v>966</v>
      </c>
      <c r="C7" s="216" t="s">
        <v>187</v>
      </c>
      <c r="D7" s="216">
        <v>3</v>
      </c>
      <c r="E7" s="224">
        <v>60000</v>
      </c>
      <c r="F7" s="225">
        <f t="shared" si="0"/>
        <v>180000</v>
      </c>
    </row>
    <row r="8" spans="1:6" x14ac:dyDescent="0.2">
      <c r="A8" s="214" t="s">
        <v>967</v>
      </c>
      <c r="B8" s="215" t="s">
        <v>968</v>
      </c>
      <c r="C8" s="216" t="s">
        <v>187</v>
      </c>
      <c r="D8" s="216">
        <v>5</v>
      </c>
      <c r="E8" s="224">
        <v>350000</v>
      </c>
      <c r="F8" s="225">
        <f t="shared" si="0"/>
        <v>1750000</v>
      </c>
    </row>
    <row r="9" spans="1:6" x14ac:dyDescent="0.2">
      <c r="A9" s="214" t="s">
        <v>969</v>
      </c>
      <c r="B9" s="215" t="s">
        <v>970</v>
      </c>
      <c r="C9" s="216" t="s">
        <v>187</v>
      </c>
      <c r="D9" s="216">
        <v>2</v>
      </c>
      <c r="E9" s="224">
        <v>250000</v>
      </c>
      <c r="F9" s="225">
        <f t="shared" si="0"/>
        <v>500000</v>
      </c>
    </row>
    <row r="10" spans="1:6" x14ac:dyDescent="0.2">
      <c r="A10" s="214" t="s">
        <v>971</v>
      </c>
      <c r="B10" s="215" t="s">
        <v>972</v>
      </c>
      <c r="C10" s="216" t="s">
        <v>973</v>
      </c>
      <c r="D10" s="216">
        <v>3</v>
      </c>
      <c r="E10" s="224">
        <v>350000</v>
      </c>
      <c r="F10" s="225">
        <f t="shared" si="0"/>
        <v>1050000</v>
      </c>
    </row>
    <row r="11" spans="1:6" x14ac:dyDescent="0.2">
      <c r="A11" s="214" t="s">
        <v>974</v>
      </c>
      <c r="B11" s="215" t="s">
        <v>975</v>
      </c>
      <c r="C11" s="216" t="s">
        <v>187</v>
      </c>
      <c r="D11" s="216">
        <v>3</v>
      </c>
      <c r="E11" s="224">
        <v>60000</v>
      </c>
      <c r="F11" s="225">
        <f>+E11*D11</f>
        <v>180000</v>
      </c>
    </row>
    <row r="12" spans="1:6" x14ac:dyDescent="0.2">
      <c r="A12" s="214" t="s">
        <v>976</v>
      </c>
      <c r="B12" s="215" t="s">
        <v>977</v>
      </c>
      <c r="C12" s="216" t="s">
        <v>187</v>
      </c>
      <c r="D12" s="216">
        <v>3</v>
      </c>
      <c r="E12" s="224">
        <v>35000</v>
      </c>
      <c r="F12" s="225">
        <f t="shared" si="0"/>
        <v>105000</v>
      </c>
    </row>
    <row r="13" spans="1:6" x14ac:dyDescent="0.2">
      <c r="A13" s="214" t="s">
        <v>978</v>
      </c>
      <c r="B13" s="215" t="s">
        <v>979</v>
      </c>
      <c r="C13" s="216" t="s">
        <v>187</v>
      </c>
      <c r="D13" s="216">
        <v>3</v>
      </c>
      <c r="E13" s="224">
        <v>150000</v>
      </c>
      <c r="F13" s="225">
        <f t="shared" si="0"/>
        <v>450000</v>
      </c>
    </row>
    <row r="14" spans="1:6" x14ac:dyDescent="0.2">
      <c r="A14" s="218" t="s">
        <v>160</v>
      </c>
      <c r="B14" s="219" t="s">
        <v>980</v>
      </c>
      <c r="C14" s="213"/>
      <c r="D14" s="213"/>
      <c r="E14" s="222"/>
      <c r="F14" s="223">
        <f t="shared" si="0"/>
        <v>0</v>
      </c>
    </row>
    <row r="15" spans="1:6" ht="38.25" x14ac:dyDescent="0.2">
      <c r="A15" s="214" t="s">
        <v>981</v>
      </c>
      <c r="B15" s="215" t="s">
        <v>982</v>
      </c>
      <c r="C15" s="216" t="s">
        <v>315</v>
      </c>
      <c r="D15" s="216">
        <v>1</v>
      </c>
      <c r="E15" s="224">
        <v>500000</v>
      </c>
      <c r="F15" s="225">
        <f t="shared" si="0"/>
        <v>500000</v>
      </c>
    </row>
    <row r="16" spans="1:6" x14ac:dyDescent="0.2">
      <c r="A16" s="214" t="s">
        <v>983</v>
      </c>
      <c r="B16" s="215" t="s">
        <v>984</v>
      </c>
      <c r="C16" s="216" t="s">
        <v>184</v>
      </c>
      <c r="D16" s="216">
        <v>7</v>
      </c>
      <c r="E16" s="224">
        <v>650000</v>
      </c>
      <c r="F16" s="225">
        <f t="shared" si="0"/>
        <v>4550000</v>
      </c>
    </row>
    <row r="17" spans="1:6" ht="25.5" x14ac:dyDescent="0.2">
      <c r="A17" s="218" t="s">
        <v>162</v>
      </c>
      <c r="B17" s="219" t="s">
        <v>985</v>
      </c>
      <c r="C17" s="213"/>
      <c r="D17" s="213"/>
      <c r="E17" s="222"/>
      <c r="F17" s="223">
        <f t="shared" si="0"/>
        <v>0</v>
      </c>
    </row>
    <row r="18" spans="1:6" x14ac:dyDescent="0.2">
      <c r="A18" s="214" t="s">
        <v>986</v>
      </c>
      <c r="B18" s="215" t="s">
        <v>987</v>
      </c>
      <c r="C18" s="216" t="s">
        <v>187</v>
      </c>
      <c r="D18" s="216">
        <v>1</v>
      </c>
      <c r="E18" s="224">
        <v>100000</v>
      </c>
      <c r="F18" s="225">
        <f t="shared" si="0"/>
        <v>100000</v>
      </c>
    </row>
    <row r="19" spans="1:6" x14ac:dyDescent="0.2">
      <c r="A19" s="214" t="s">
        <v>988</v>
      </c>
      <c r="B19" s="215" t="s">
        <v>989</v>
      </c>
      <c r="C19" s="216" t="s">
        <v>187</v>
      </c>
      <c r="D19" s="216">
        <v>2</v>
      </c>
      <c r="E19" s="224">
        <v>350000</v>
      </c>
      <c r="F19" s="225">
        <f t="shared" si="0"/>
        <v>700000</v>
      </c>
    </row>
    <row r="20" spans="1:6" x14ac:dyDescent="0.2">
      <c r="A20" s="218" t="s">
        <v>990</v>
      </c>
      <c r="B20" s="219" t="s">
        <v>991</v>
      </c>
      <c r="C20" s="213"/>
      <c r="D20" s="213"/>
      <c r="E20" s="222"/>
      <c r="F20" s="223">
        <f t="shared" si="0"/>
        <v>0</v>
      </c>
    </row>
    <row r="21" spans="1:6" x14ac:dyDescent="0.2">
      <c r="A21" s="214" t="s">
        <v>992</v>
      </c>
      <c r="B21" s="215" t="s">
        <v>993</v>
      </c>
      <c r="C21" s="216" t="s">
        <v>187</v>
      </c>
      <c r="D21" s="216">
        <v>2</v>
      </c>
      <c r="E21" s="224">
        <v>150000</v>
      </c>
      <c r="F21" s="225">
        <f t="shared" si="0"/>
        <v>300000</v>
      </c>
    </row>
    <row r="22" spans="1:6" x14ac:dyDescent="0.2">
      <c r="A22" s="214" t="s">
        <v>994</v>
      </c>
      <c r="B22" s="215" t="s">
        <v>995</v>
      </c>
      <c r="C22" s="216" t="s">
        <v>187</v>
      </c>
      <c r="D22" s="216">
        <v>2</v>
      </c>
      <c r="E22" s="224">
        <v>200000</v>
      </c>
      <c r="F22" s="225">
        <f t="shared" si="0"/>
        <v>400000</v>
      </c>
    </row>
    <row r="23" spans="1:6" ht="26.25" thickBot="1" x14ac:dyDescent="0.25">
      <c r="A23" s="214" t="s">
        <v>996</v>
      </c>
      <c r="B23" s="215" t="s">
        <v>997</v>
      </c>
      <c r="C23" s="216" t="s">
        <v>187</v>
      </c>
      <c r="D23" s="216">
        <v>300</v>
      </c>
      <c r="E23" s="224">
        <v>2000</v>
      </c>
      <c r="F23" s="225">
        <f t="shared" si="0"/>
        <v>600000</v>
      </c>
    </row>
    <row r="24" spans="1:6" ht="13.5" thickBot="1" x14ac:dyDescent="0.25">
      <c r="A24" s="846" t="s">
        <v>998</v>
      </c>
      <c r="B24" s="847"/>
      <c r="C24" s="847"/>
      <c r="D24" s="847"/>
      <c r="E24" s="848"/>
      <c r="F24" s="231">
        <f>SUM(F4:F23)</f>
        <v>11905000</v>
      </c>
    </row>
    <row r="25" spans="1:6" x14ac:dyDescent="0.2">
      <c r="A25" s="204"/>
      <c r="B25" s="205"/>
      <c r="C25" s="205"/>
      <c r="D25" s="205"/>
      <c r="E25" s="226"/>
      <c r="F25" s="226"/>
    </row>
    <row r="26" spans="1:6" x14ac:dyDescent="0.2">
      <c r="A26" s="206"/>
      <c r="B26" s="207"/>
      <c r="C26" s="207"/>
      <c r="D26" s="207"/>
      <c r="E26" s="227"/>
      <c r="F26" s="227"/>
    </row>
    <row r="27" spans="1:6" x14ac:dyDescent="0.2">
      <c r="A27" s="206"/>
      <c r="B27" s="207"/>
      <c r="C27" s="207"/>
      <c r="D27" s="207"/>
      <c r="E27" s="227"/>
      <c r="F27" s="227"/>
    </row>
    <row r="28" spans="1:6" x14ac:dyDescent="0.2">
      <c r="A28" s="206"/>
      <c r="B28" s="207"/>
      <c r="C28" s="207"/>
      <c r="D28" s="207"/>
      <c r="E28" s="227"/>
      <c r="F28" s="227"/>
    </row>
    <row r="29" spans="1:6" x14ac:dyDescent="0.2">
      <c r="A29" s="206"/>
      <c r="B29" s="207"/>
      <c r="C29" s="207"/>
      <c r="D29" s="207"/>
      <c r="E29" s="227"/>
      <c r="F29" s="227"/>
    </row>
    <row r="30" spans="1:6" x14ac:dyDescent="0.2">
      <c r="A30" s="203"/>
      <c r="B30" s="207"/>
      <c r="C30" s="203"/>
      <c r="D30" s="203"/>
      <c r="E30" s="228"/>
      <c r="F30" s="228"/>
    </row>
    <row r="31" spans="1:6" x14ac:dyDescent="0.2">
      <c r="A31" s="163"/>
      <c r="B31" s="207"/>
      <c r="C31" s="163"/>
      <c r="D31" s="163"/>
      <c r="E31" s="228"/>
      <c r="F31" s="228"/>
    </row>
    <row r="32" spans="1:6" x14ac:dyDescent="0.2">
      <c r="A32" s="163"/>
      <c r="B32" s="207"/>
      <c r="C32" s="163"/>
      <c r="D32" s="163"/>
      <c r="E32" s="228"/>
      <c r="F32" s="228"/>
    </row>
    <row r="33" spans="1:6" x14ac:dyDescent="0.2">
      <c r="A33" s="163"/>
      <c r="B33" s="207"/>
      <c r="C33" s="163"/>
      <c r="D33" s="163"/>
      <c r="E33" s="228"/>
      <c r="F33" s="228"/>
    </row>
    <row r="34" spans="1:6" x14ac:dyDescent="0.2">
      <c r="A34" s="163"/>
      <c r="B34" s="207"/>
      <c r="C34" s="208" t="s">
        <v>134</v>
      </c>
      <c r="D34" s="782" t="s">
        <v>135</v>
      </c>
      <c r="E34" s="782"/>
      <c r="F34" s="228"/>
    </row>
    <row r="35" spans="1:6" x14ac:dyDescent="0.2">
      <c r="A35" s="163"/>
      <c r="B35" s="207"/>
      <c r="C35" s="230" t="s">
        <v>136</v>
      </c>
      <c r="D35" s="163" t="s">
        <v>137</v>
      </c>
      <c r="E35" s="163"/>
      <c r="F35" s="228"/>
    </row>
    <row r="36" spans="1:6" x14ac:dyDescent="0.2">
      <c r="A36" s="163"/>
      <c r="B36" s="207"/>
      <c r="C36" s="230" t="s">
        <v>138</v>
      </c>
      <c r="D36" s="783" t="s">
        <v>139</v>
      </c>
      <c r="E36" s="784"/>
      <c r="F36" s="228"/>
    </row>
    <row r="37" spans="1:6" x14ac:dyDescent="0.2">
      <c r="A37" s="163"/>
      <c r="B37" s="207"/>
      <c r="C37" s="230" t="s">
        <v>140</v>
      </c>
      <c r="D37" s="189">
        <v>3147222958</v>
      </c>
      <c r="E37" s="163"/>
      <c r="F37" s="228"/>
    </row>
    <row r="38" spans="1:6" x14ac:dyDescent="0.2">
      <c r="A38" s="163"/>
      <c r="B38" s="207"/>
      <c r="C38" s="207"/>
      <c r="D38" s="207"/>
      <c r="E38" s="207"/>
      <c r="F38" s="207"/>
    </row>
  </sheetData>
  <mergeCells count="4">
    <mergeCell ref="A1:F1"/>
    <mergeCell ref="A24:E24"/>
    <mergeCell ref="D34:E34"/>
    <mergeCell ref="D36:E36"/>
  </mergeCells>
  <phoneticPr fontId="4" type="noConversion"/>
  <hyperlinks>
    <hyperlink ref="D36" r:id="rId1" xr:uid="{DD893290-5702-4D41-9843-FE75072F097B}"/>
  </hyperlinks>
  <pageMargins left="0.7" right="0.7" top="0.75" bottom="0.75" header="0.3" footer="0.3"/>
  <pageSetup scale="69" orientation="portrait"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D103C4-1B7B-49C1-87B2-B63C9EBAF4AA}">
  <sheetPr>
    <tabColor rgb="FFD4ECBA"/>
  </sheetPr>
  <dimension ref="A1:J35"/>
  <sheetViews>
    <sheetView view="pageBreakPreview" topLeftCell="A9" zoomScale="70" zoomScaleNormal="100" zoomScaleSheetLayoutView="70" workbookViewId="0">
      <selection activeCell="H24" sqref="H24"/>
    </sheetView>
  </sheetViews>
  <sheetFormatPr baseColWidth="10" defaultColWidth="11" defaultRowHeight="16.5" x14ac:dyDescent="0.3"/>
  <cols>
    <col min="1" max="1" width="6.25" customWidth="1"/>
    <col min="3" max="3" width="35" customWidth="1"/>
    <col min="4" max="4" width="12.625" bestFit="1" customWidth="1"/>
    <col min="5" max="5" width="11.625" customWidth="1"/>
    <col min="6" max="6" width="11.125" bestFit="1" customWidth="1"/>
    <col min="7" max="7" width="23.875" customWidth="1"/>
    <col min="8" max="8" width="20" bestFit="1" customWidth="1"/>
    <col min="9" max="9" width="10.375" customWidth="1"/>
  </cols>
  <sheetData>
    <row r="1" spans="1:10" x14ac:dyDescent="0.3">
      <c r="A1" s="159"/>
      <c r="B1" s="159"/>
      <c r="C1" s="159"/>
      <c r="D1" s="159"/>
      <c r="E1" s="159"/>
      <c r="F1" s="159"/>
      <c r="G1" s="159"/>
      <c r="H1" s="159"/>
      <c r="I1" s="159"/>
    </row>
    <row r="2" spans="1:10" x14ac:dyDescent="0.3">
      <c r="A2" s="159"/>
      <c r="B2" s="849" t="s">
        <v>999</v>
      </c>
      <c r="C2" s="849"/>
      <c r="D2" s="849"/>
      <c r="E2" s="849"/>
      <c r="F2" s="849"/>
      <c r="G2" s="849"/>
      <c r="H2" s="849"/>
      <c r="I2" s="159"/>
    </row>
    <row r="3" spans="1:10" x14ac:dyDescent="0.3">
      <c r="A3" s="159"/>
      <c r="B3" s="849" t="s">
        <v>218</v>
      </c>
      <c r="C3" s="849"/>
      <c r="D3" s="849"/>
      <c r="E3" s="849"/>
      <c r="F3" s="849"/>
      <c r="G3" s="849"/>
      <c r="H3" s="849"/>
      <c r="I3" s="159"/>
    </row>
    <row r="4" spans="1:10" x14ac:dyDescent="0.3">
      <c r="A4" s="159"/>
      <c r="B4" s="850" t="s">
        <v>1000</v>
      </c>
      <c r="C4" s="850"/>
      <c r="D4" s="850"/>
      <c r="E4" s="850"/>
      <c r="F4" s="850"/>
      <c r="G4" s="850"/>
      <c r="H4" s="850"/>
      <c r="I4" s="159"/>
    </row>
    <row r="5" spans="1:10" x14ac:dyDescent="0.3">
      <c r="A5" s="159"/>
      <c r="B5" s="850"/>
      <c r="C5" s="850"/>
      <c r="D5" s="850"/>
      <c r="E5" s="850"/>
      <c r="F5" s="850"/>
      <c r="G5" s="850"/>
      <c r="H5" s="850"/>
      <c r="I5" s="159"/>
    </row>
    <row r="6" spans="1:10" x14ac:dyDescent="0.3">
      <c r="A6" s="159"/>
      <c r="B6" s="850"/>
      <c r="C6" s="850"/>
      <c r="D6" s="850"/>
      <c r="E6" s="850"/>
      <c r="F6" s="850"/>
      <c r="G6" s="850"/>
      <c r="H6" s="850"/>
      <c r="I6" s="159"/>
    </row>
    <row r="7" spans="1:10" ht="25.5" x14ac:dyDescent="0.3">
      <c r="A7" s="159"/>
      <c r="B7" s="635" t="s">
        <v>275</v>
      </c>
      <c r="C7" s="635" t="s">
        <v>1001</v>
      </c>
      <c r="D7" s="636" t="s">
        <v>147</v>
      </c>
      <c r="E7" s="637" t="s">
        <v>148</v>
      </c>
      <c r="F7" s="638" t="s">
        <v>149</v>
      </c>
      <c r="G7" s="639" t="s">
        <v>1002</v>
      </c>
      <c r="H7" s="639" t="s">
        <v>152</v>
      </c>
    </row>
    <row r="8" spans="1:10" x14ac:dyDescent="0.3">
      <c r="A8" s="159"/>
      <c r="B8" s="640" t="s">
        <v>153</v>
      </c>
      <c r="C8" s="519" t="s">
        <v>1003</v>
      </c>
      <c r="D8" s="641"/>
      <c r="E8" s="641"/>
      <c r="F8" s="641"/>
      <c r="G8" s="641"/>
      <c r="H8" s="641"/>
      <c r="I8" s="159"/>
    </row>
    <row r="9" spans="1:10" x14ac:dyDescent="0.3">
      <c r="A9" s="159"/>
      <c r="B9" s="642" t="s">
        <v>155</v>
      </c>
      <c r="C9" s="330" t="s">
        <v>1004</v>
      </c>
      <c r="D9" s="255" t="s">
        <v>157</v>
      </c>
      <c r="E9" s="331">
        <v>6</v>
      </c>
      <c r="F9" s="332">
        <v>0.2</v>
      </c>
      <c r="G9" s="333">
        <f>+'FACTOR PRESTACIONAL'!J4</f>
        <v>8678266.6666666679</v>
      </c>
      <c r="H9" s="633">
        <f>+G9*F9*E9</f>
        <v>10413920.000000002</v>
      </c>
      <c r="I9" s="159"/>
    </row>
    <row r="10" spans="1:10" x14ac:dyDescent="0.3">
      <c r="A10" s="159"/>
      <c r="B10" s="642" t="s">
        <v>158</v>
      </c>
      <c r="C10" s="330" t="s">
        <v>1005</v>
      </c>
      <c r="D10" s="255" t="s">
        <v>157</v>
      </c>
      <c r="E10" s="331">
        <v>6</v>
      </c>
      <c r="F10" s="332">
        <v>1</v>
      </c>
      <c r="G10" s="333">
        <f>+'FACTOR PRESTACIONAL'!J5</f>
        <v>5995893.333333334</v>
      </c>
      <c r="H10" s="633">
        <f>+G10*F10*E10</f>
        <v>35975360</v>
      </c>
      <c r="I10" s="159"/>
    </row>
    <row r="11" spans="1:10" x14ac:dyDescent="0.3">
      <c r="A11" s="159"/>
      <c r="B11" s="642" t="s">
        <v>160</v>
      </c>
      <c r="C11" s="330" t="s">
        <v>1006</v>
      </c>
      <c r="D11" s="255" t="s">
        <v>157</v>
      </c>
      <c r="E11" s="331">
        <v>6</v>
      </c>
      <c r="F11" s="332">
        <v>0.1</v>
      </c>
      <c r="G11" s="333">
        <f>+'FACTOR PRESTACIONAL'!J6</f>
        <v>4816372.6648790203</v>
      </c>
      <c r="H11" s="633">
        <f>+G11*F11*E11</f>
        <v>2889823.5989274122</v>
      </c>
      <c r="I11" s="159"/>
    </row>
    <row r="12" spans="1:10" x14ac:dyDescent="0.3">
      <c r="A12" s="159"/>
      <c r="B12" s="642" t="s">
        <v>162</v>
      </c>
      <c r="C12" s="330" t="s">
        <v>918</v>
      </c>
      <c r="D12" s="255" t="s">
        <v>157</v>
      </c>
      <c r="E12" s="331">
        <v>6</v>
      </c>
      <c r="F12" s="332">
        <v>0.6</v>
      </c>
      <c r="G12" s="333">
        <f>+'FACTOR PRESTACIONAL'!J7</f>
        <v>4816372.6648790203</v>
      </c>
      <c r="H12" s="633">
        <f>+G12*F12*E12</f>
        <v>17338941.593564473</v>
      </c>
      <c r="I12" s="159"/>
    </row>
    <row r="13" spans="1:10" ht="14.45" customHeight="1" x14ac:dyDescent="0.3">
      <c r="A13" s="159"/>
      <c r="B13" s="337"/>
      <c r="C13" s="337"/>
      <c r="D13" s="337"/>
      <c r="E13" s="337"/>
      <c r="F13" s="337"/>
      <c r="G13" s="337"/>
      <c r="H13" s="337"/>
      <c r="I13" s="159"/>
    </row>
    <row r="14" spans="1:10" ht="12.6" customHeight="1" x14ac:dyDescent="0.3">
      <c r="A14" s="159"/>
      <c r="B14" s="337"/>
      <c r="C14" s="337"/>
      <c r="D14" s="337"/>
      <c r="E14" s="337"/>
      <c r="F14" s="337"/>
      <c r="G14" s="855" t="s">
        <v>1007</v>
      </c>
      <c r="H14" s="856"/>
      <c r="I14" s="159"/>
    </row>
    <row r="15" spans="1:10" ht="14.45" customHeight="1" x14ac:dyDescent="0.3">
      <c r="A15" s="159"/>
      <c r="B15" s="337"/>
      <c r="C15" s="632"/>
      <c r="D15" s="337"/>
      <c r="E15" s="337"/>
      <c r="F15" s="337"/>
      <c r="G15" s="632" t="s">
        <v>1008</v>
      </c>
      <c r="H15" s="643">
        <f>+SUM(H9:H12)</f>
        <v>66618045.192491882</v>
      </c>
      <c r="I15" s="159"/>
    </row>
    <row r="16" spans="1:10" ht="14.45" customHeight="1" x14ac:dyDescent="0.3">
      <c r="A16" s="159"/>
      <c r="B16" s="337"/>
      <c r="C16" s="632"/>
      <c r="D16" s="337"/>
      <c r="E16" s="337"/>
      <c r="F16" s="337"/>
      <c r="G16" s="632" t="s">
        <v>1009</v>
      </c>
      <c r="H16" s="648">
        <v>0.33910000000000001</v>
      </c>
      <c r="I16" s="159"/>
      <c r="J16" s="649">
        <f>+'FM INT'!H25</f>
        <v>0.30372126821242518</v>
      </c>
    </row>
    <row r="17" spans="1:9" ht="14.45" customHeight="1" x14ac:dyDescent="0.3">
      <c r="A17" s="159"/>
      <c r="B17" s="337"/>
      <c r="C17" s="632"/>
      <c r="D17" s="337"/>
      <c r="E17" s="337"/>
      <c r="F17" s="337"/>
      <c r="G17" s="632" t="s">
        <v>1010</v>
      </c>
      <c r="H17" s="644">
        <f>+H15*(100%+H16)</f>
        <v>89208224.317265883</v>
      </c>
      <c r="I17" s="159"/>
    </row>
    <row r="18" spans="1:9" x14ac:dyDescent="0.3">
      <c r="A18" s="159"/>
      <c r="B18" s="642"/>
      <c r="C18" s="184"/>
      <c r="D18" s="184"/>
      <c r="E18" s="257"/>
      <c r="F18" s="270"/>
      <c r="G18" s="257"/>
      <c r="H18" s="633"/>
      <c r="I18" s="159"/>
    </row>
    <row r="19" spans="1:9" x14ac:dyDescent="0.3">
      <c r="A19" s="159"/>
      <c r="B19" s="640" t="s">
        <v>165</v>
      </c>
      <c r="C19" s="773" t="s">
        <v>948</v>
      </c>
      <c r="D19" s="773"/>
      <c r="E19" s="273"/>
      <c r="F19" s="274"/>
      <c r="G19" s="275"/>
      <c r="H19" s="276"/>
      <c r="I19" s="159"/>
    </row>
    <row r="20" spans="1:9" x14ac:dyDescent="0.3">
      <c r="A20" s="159"/>
      <c r="B20" s="642">
        <v>2.1</v>
      </c>
      <c r="C20" s="335" t="s">
        <v>1011</v>
      </c>
      <c r="D20" s="334" t="s">
        <v>1012</v>
      </c>
      <c r="E20" s="331">
        <v>6</v>
      </c>
      <c r="F20" s="331">
        <v>15</v>
      </c>
      <c r="G20" s="336">
        <v>40000</v>
      </c>
      <c r="H20" s="633">
        <f>+G20*F20*E20</f>
        <v>3600000</v>
      </c>
      <c r="I20" s="159"/>
    </row>
    <row r="21" spans="1:9" ht="25.5" x14ac:dyDescent="0.3">
      <c r="A21" s="159"/>
      <c r="B21" s="642">
        <v>2.2000000000000002</v>
      </c>
      <c r="C21" s="335" t="s">
        <v>1013</v>
      </c>
      <c r="D21" s="334" t="s">
        <v>1012</v>
      </c>
      <c r="E21" s="331">
        <v>1</v>
      </c>
      <c r="F21" s="331">
        <v>3</v>
      </c>
      <c r="G21" s="336">
        <f>+'FACTOR PRESTACIONAL'!K12+'FACTOR PRESTACIONAL'!K13+'FACTOR PRESTACIONAL'!K14</f>
        <v>451664.66403662588</v>
      </c>
      <c r="H21" s="633">
        <f t="shared" ref="H21" si="0">+G21*F21*E21</f>
        <v>1354993.9921098775</v>
      </c>
      <c r="I21" s="159"/>
    </row>
    <row r="22" spans="1:9" x14ac:dyDescent="0.3">
      <c r="A22" s="159"/>
      <c r="B22" s="642"/>
      <c r="C22" s="335"/>
      <c r="D22" s="334"/>
      <c r="E22" s="331"/>
      <c r="F22" s="331"/>
      <c r="G22" s="336"/>
      <c r="H22" s="633"/>
      <c r="I22" s="159"/>
    </row>
    <row r="23" spans="1:9" x14ac:dyDescent="0.3">
      <c r="A23" s="159"/>
      <c r="B23" s="642"/>
      <c r="C23" s="335"/>
      <c r="D23" s="334"/>
      <c r="E23" s="331"/>
      <c r="F23" s="331"/>
      <c r="G23" s="336"/>
      <c r="H23" s="633"/>
      <c r="I23" s="159"/>
    </row>
    <row r="24" spans="1:9" ht="14.45" customHeight="1" x14ac:dyDescent="0.3">
      <c r="A24" s="159"/>
      <c r="B24" s="618"/>
      <c r="C24" s="618"/>
      <c r="D24" s="618"/>
      <c r="E24" s="851" t="s">
        <v>1014</v>
      </c>
      <c r="F24" s="851"/>
      <c r="G24" s="619">
        <f>+H24/AU!I8</f>
        <v>7.8252516312519546E-2</v>
      </c>
      <c r="H24" s="633">
        <f>SUM(H17:H23)</f>
        <v>94163218.309375763</v>
      </c>
      <c r="I24" s="159"/>
    </row>
    <row r="25" spans="1:9" ht="14.45" customHeight="1" x14ac:dyDescent="0.3">
      <c r="A25" s="159"/>
      <c r="B25" s="618"/>
      <c r="C25" s="618"/>
      <c r="D25" s="618"/>
      <c r="E25" s="851" t="s">
        <v>1015</v>
      </c>
      <c r="F25" s="851"/>
      <c r="G25" s="619">
        <v>0.19</v>
      </c>
      <c r="H25" s="633">
        <f>+H24*G25</f>
        <v>17891011.478781395</v>
      </c>
      <c r="I25" s="159"/>
    </row>
    <row r="26" spans="1:9" ht="14.45" customHeight="1" x14ac:dyDescent="0.3">
      <c r="A26" s="159"/>
      <c r="B26" s="618"/>
      <c r="C26" s="618"/>
      <c r="D26" s="618"/>
      <c r="E26" s="853" t="s">
        <v>204</v>
      </c>
      <c r="F26" s="854"/>
      <c r="G26" s="619">
        <f ca="1">+H26/H27</f>
        <v>1.008718420132416E-2</v>
      </c>
      <c r="H26" s="633">
        <f ca="1">+'PÓLIZAS INT'!I37</f>
        <v>1141829.50091286</v>
      </c>
      <c r="I26" s="159"/>
    </row>
    <row r="27" spans="1:9" ht="34.35" customHeight="1" x14ac:dyDescent="0.3">
      <c r="A27" s="159"/>
      <c r="B27" s="618"/>
      <c r="C27" s="618"/>
      <c r="D27" s="618"/>
      <c r="E27" s="852" t="s">
        <v>1016</v>
      </c>
      <c r="F27" s="852"/>
      <c r="G27" s="650">
        <f ca="1">+H27/AU!I8</f>
        <v>9.4069389673238357E-2</v>
      </c>
      <c r="H27" s="634">
        <f ca="1">+H25+H24+H26</f>
        <v>113196059.28907003</v>
      </c>
      <c r="I27" s="159"/>
    </row>
    <row r="28" spans="1:9" x14ac:dyDescent="0.3">
      <c r="A28" s="159"/>
      <c r="B28" s="338"/>
      <c r="C28" s="338"/>
      <c r="D28" s="338"/>
      <c r="E28" s="338"/>
      <c r="F28" s="338"/>
      <c r="G28" s="338"/>
      <c r="H28" s="338"/>
      <c r="I28" s="338"/>
    </row>
    <row r="29" spans="1:9" x14ac:dyDescent="0.3">
      <c r="A29" s="159"/>
      <c r="B29" s="339"/>
      <c r="C29" s="339"/>
      <c r="D29" s="340"/>
      <c r="E29" s="341"/>
      <c r="F29" s="159"/>
      <c r="G29" s="159"/>
      <c r="H29" s="159"/>
      <c r="I29" s="159"/>
    </row>
    <row r="30" spans="1:9" x14ac:dyDescent="0.3">
      <c r="A30" s="159"/>
      <c r="B30" s="342" t="s">
        <v>1017</v>
      </c>
      <c r="C30" s="342"/>
      <c r="D30" s="343"/>
      <c r="E30" s="341"/>
      <c r="F30" s="159"/>
      <c r="G30" s="159"/>
      <c r="H30" s="159"/>
      <c r="I30" s="159"/>
    </row>
    <row r="31" spans="1:9" x14ac:dyDescent="0.3">
      <c r="A31" s="159"/>
      <c r="B31" s="344" t="s">
        <v>134</v>
      </c>
      <c r="C31" s="345" t="s">
        <v>135</v>
      </c>
      <c r="D31" s="345"/>
      <c r="E31" s="341"/>
      <c r="F31" s="159"/>
      <c r="G31" s="159"/>
      <c r="H31" s="159"/>
      <c r="I31" s="159"/>
    </row>
    <row r="32" spans="1:9" x14ac:dyDescent="0.3">
      <c r="A32" s="159"/>
      <c r="B32" s="346" t="s">
        <v>136</v>
      </c>
      <c r="C32" s="161" t="s">
        <v>137</v>
      </c>
      <c r="D32" s="161"/>
      <c r="E32" s="341"/>
      <c r="F32" s="341"/>
      <c r="G32" s="347"/>
      <c r="H32" s="347"/>
      <c r="I32" s="347"/>
    </row>
    <row r="33" spans="1:9" ht="18" customHeight="1" x14ac:dyDescent="0.3">
      <c r="A33" s="159"/>
      <c r="B33" s="346" t="s">
        <v>138</v>
      </c>
      <c r="C33" s="355" t="s">
        <v>139</v>
      </c>
      <c r="D33" s="348"/>
      <c r="E33" s="349"/>
      <c r="F33" s="350"/>
      <c r="G33" s="347"/>
      <c r="H33" s="347"/>
      <c r="I33" s="347"/>
    </row>
    <row r="34" spans="1:9" x14ac:dyDescent="0.3">
      <c r="A34" s="159"/>
      <c r="B34" s="346" t="s">
        <v>140</v>
      </c>
      <c r="C34" s="356">
        <v>3147222958</v>
      </c>
      <c r="D34" s="161"/>
      <c r="E34" s="349"/>
      <c r="F34" s="351"/>
      <c r="G34" s="347"/>
      <c r="H34" s="347"/>
      <c r="I34" s="347"/>
    </row>
    <row r="35" spans="1:9" ht="11.45" customHeight="1" x14ac:dyDescent="0.3">
      <c r="A35" s="159"/>
      <c r="B35" s="352"/>
      <c r="C35" s="352"/>
      <c r="D35" s="352"/>
      <c r="E35" s="353"/>
      <c r="F35" s="352"/>
      <c r="G35" s="354"/>
      <c r="H35" s="354"/>
      <c r="I35" s="354"/>
    </row>
  </sheetData>
  <mergeCells count="9">
    <mergeCell ref="B2:H2"/>
    <mergeCell ref="B3:H3"/>
    <mergeCell ref="B4:H6"/>
    <mergeCell ref="E25:F25"/>
    <mergeCell ref="E27:F27"/>
    <mergeCell ref="E26:F26"/>
    <mergeCell ref="G14:H14"/>
    <mergeCell ref="C19:D19"/>
    <mergeCell ref="E24:F24"/>
  </mergeCells>
  <hyperlinks>
    <hyperlink ref="C33" r:id="rId1" xr:uid="{13839974-51D7-4206-98A1-04DF3848781C}"/>
  </hyperlinks>
  <pageMargins left="0.7" right="0.7" top="0.75" bottom="0.75" header="0.3" footer="0.3"/>
  <pageSetup scale="47" orientation="portrait"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EB53D0-2807-4F17-9354-2196E4BF2BD5}">
  <sheetPr>
    <tabColor rgb="FFD4ECBA"/>
  </sheetPr>
  <dimension ref="A1:J30"/>
  <sheetViews>
    <sheetView view="pageBreakPreview" topLeftCell="A19" zoomScale="85" zoomScaleNormal="100" zoomScaleSheetLayoutView="85" workbookViewId="0">
      <selection activeCell="E14" sqref="E14"/>
    </sheetView>
  </sheetViews>
  <sheetFormatPr baseColWidth="10" defaultColWidth="11.625" defaultRowHeight="12.75" x14ac:dyDescent="0.2"/>
  <cols>
    <col min="1" max="1" width="14.75" style="162" customWidth="1"/>
    <col min="2" max="2" width="17.625" style="162" customWidth="1"/>
    <col min="3" max="3" width="15.625" style="162" bestFit="1" customWidth="1"/>
    <col min="4" max="5" width="14.625" style="162" bestFit="1" customWidth="1"/>
    <col min="6" max="6" width="11.625" style="162"/>
    <col min="7" max="7" width="11.625" style="162" bestFit="1" customWidth="1"/>
    <col min="8" max="8" width="16.875" style="162" bestFit="1" customWidth="1"/>
    <col min="9" max="9" width="11.625" style="162"/>
    <col min="10" max="10" width="11.625" style="163"/>
    <col min="11" max="16384" width="11.625" style="162"/>
  </cols>
  <sheetData>
    <row r="1" spans="1:10" x14ac:dyDescent="0.2">
      <c r="A1" s="163"/>
      <c r="B1" s="163"/>
      <c r="C1" s="163"/>
      <c r="D1" s="163"/>
      <c r="E1" s="163"/>
      <c r="F1" s="163"/>
      <c r="G1" s="163"/>
      <c r="H1" s="163"/>
      <c r="I1" s="163"/>
    </row>
    <row r="2" spans="1:10" x14ac:dyDescent="0.2">
      <c r="A2" s="234"/>
      <c r="B2" s="235"/>
      <c r="C2" s="235"/>
      <c r="D2" s="236"/>
      <c r="E2" s="237"/>
      <c r="F2" s="238"/>
      <c r="G2" s="239"/>
      <c r="H2" s="240"/>
      <c r="I2" s="239"/>
    </row>
    <row r="3" spans="1:10" x14ac:dyDescent="0.2">
      <c r="A3" s="241"/>
      <c r="B3" s="771" t="str">
        <f>+PPTO!C2</f>
        <v xml:space="preserve">CONSTRUCCIÓN CENTRO DÍA GERONTOLÓGICO CORREGIMIENTO SAN JOSÉ DEL NUS DEL MUNICIPIO DE SAN ROQUE ANTIOQUIA </v>
      </c>
      <c r="C3" s="771"/>
      <c r="D3" s="771"/>
      <c r="E3" s="771"/>
      <c r="F3" s="771"/>
      <c r="G3" s="771"/>
      <c r="H3" s="771"/>
      <c r="I3" s="241"/>
    </row>
    <row r="4" spans="1:10" x14ac:dyDescent="0.2">
      <c r="A4" s="241"/>
      <c r="B4" s="785" t="str">
        <f>PPTO!C3</f>
        <v xml:space="preserve">MUNICIPIO DE SAN ROQUE - ANTIOQUIA, CORREGIMIENTO DE SAN JOSÉ DEL NÚS. </v>
      </c>
      <c r="C4" s="785"/>
      <c r="D4" s="785"/>
      <c r="E4" s="785"/>
      <c r="F4" s="785"/>
      <c r="G4" s="785"/>
      <c r="H4" s="785"/>
      <c r="I4" s="241"/>
    </row>
    <row r="5" spans="1:10" x14ac:dyDescent="0.2">
      <c r="A5" s="241"/>
      <c r="B5" s="242"/>
      <c r="C5" s="243"/>
      <c r="D5" s="244"/>
      <c r="E5" s="245"/>
      <c r="F5" s="241"/>
      <c r="G5" s="241"/>
      <c r="H5" s="241"/>
      <c r="I5" s="241"/>
    </row>
    <row r="6" spans="1:10" x14ac:dyDescent="0.2">
      <c r="A6" s="164"/>
      <c r="B6" s="246"/>
      <c r="C6" s="164"/>
      <c r="D6" s="217"/>
      <c r="E6" s="247"/>
      <c r="F6" s="247"/>
      <c r="G6" s="248"/>
      <c r="H6" s="164"/>
      <c r="I6" s="164"/>
    </row>
    <row r="7" spans="1:10" x14ac:dyDescent="0.2">
      <c r="A7" s="249"/>
      <c r="B7" s="249"/>
      <c r="C7" s="249"/>
      <c r="D7" s="249"/>
      <c r="E7" s="249"/>
      <c r="F7" s="249"/>
      <c r="G7" s="249"/>
      <c r="H7" s="164"/>
      <c r="I7" s="164"/>
    </row>
    <row r="8" spans="1:10" ht="14.45" customHeight="1" x14ac:dyDescent="0.2">
      <c r="A8" s="850" t="s">
        <v>1000</v>
      </c>
      <c r="B8" s="850"/>
      <c r="C8" s="850"/>
      <c r="D8" s="850"/>
      <c r="E8" s="850"/>
      <c r="F8" s="850"/>
      <c r="G8" s="850"/>
      <c r="H8" s="850"/>
      <c r="I8" s="850"/>
    </row>
    <row r="9" spans="1:10" x14ac:dyDescent="0.2">
      <c r="A9" s="850"/>
      <c r="B9" s="850"/>
      <c r="C9" s="850"/>
      <c r="D9" s="850"/>
      <c r="E9" s="850"/>
      <c r="F9" s="850"/>
      <c r="G9" s="850"/>
      <c r="H9" s="850"/>
      <c r="I9" s="850"/>
    </row>
    <row r="10" spans="1:10" x14ac:dyDescent="0.2">
      <c r="A10" s="850"/>
      <c r="B10" s="850"/>
      <c r="C10" s="850"/>
      <c r="D10" s="850"/>
      <c r="E10" s="850"/>
      <c r="F10" s="850"/>
      <c r="G10" s="850"/>
      <c r="H10" s="850"/>
      <c r="I10" s="850"/>
    </row>
    <row r="11" spans="1:10" s="647" customFormat="1" ht="28.35" customHeight="1" x14ac:dyDescent="0.3">
      <c r="A11" s="859" t="s">
        <v>1018</v>
      </c>
      <c r="B11" s="859"/>
      <c r="C11" s="645">
        <f>+SUM(INT!H9:H12)</f>
        <v>66618045.192491882</v>
      </c>
      <c r="D11" s="646"/>
      <c r="E11" s="646"/>
      <c r="F11" s="859" t="s">
        <v>1019</v>
      </c>
      <c r="G11" s="859"/>
      <c r="H11" s="645">
        <f>+INT!H24</f>
        <v>94163218.309375763</v>
      </c>
      <c r="I11" s="646"/>
      <c r="J11" s="185"/>
    </row>
    <row r="12" spans="1:10" x14ac:dyDescent="0.2">
      <c r="A12" s="857" t="s">
        <v>196</v>
      </c>
      <c r="B12" s="857"/>
      <c r="C12" s="522"/>
      <c r="D12" s="523"/>
      <c r="E12" s="524"/>
      <c r="F12" s="525"/>
      <c r="G12" s="526"/>
      <c r="H12" s="526"/>
      <c r="I12" s="526"/>
    </row>
    <row r="13" spans="1:10" ht="35.450000000000003" customHeight="1" x14ac:dyDescent="0.2">
      <c r="A13" s="776" t="s">
        <v>194</v>
      </c>
      <c r="B13" s="776"/>
      <c r="C13" s="279" t="s">
        <v>124</v>
      </c>
      <c r="D13" s="620">
        <v>2.5000000000000001E-2</v>
      </c>
      <c r="E13" s="622"/>
      <c r="F13" s="263"/>
      <c r="G13" s="263"/>
      <c r="H13" s="621">
        <f>+E13/$C$11</f>
        <v>0</v>
      </c>
      <c r="I13" s="263"/>
    </row>
    <row r="14" spans="1:10" x14ac:dyDescent="0.2">
      <c r="A14" s="772" t="s">
        <v>199</v>
      </c>
      <c r="B14" s="772"/>
      <c r="C14" s="279" t="s">
        <v>124</v>
      </c>
      <c r="D14" s="620">
        <v>0.04</v>
      </c>
      <c r="E14" s="622">
        <f>+$H$11*D14</f>
        <v>3766528.7323750304</v>
      </c>
      <c r="F14" s="263"/>
      <c r="G14" s="263"/>
      <c r="H14" s="621">
        <f>+E14/$C$11</f>
        <v>5.6539166249800633E-2</v>
      </c>
      <c r="I14" s="263"/>
    </row>
    <row r="15" spans="1:10" x14ac:dyDescent="0.2">
      <c r="A15" s="772" t="s">
        <v>200</v>
      </c>
      <c r="B15" s="772"/>
      <c r="C15" s="279" t="s">
        <v>124</v>
      </c>
      <c r="D15" s="620">
        <v>1.4999999999999999E-2</v>
      </c>
      <c r="E15" s="622">
        <f t="shared" ref="E15:E17" si="0">+$H$11*D15</f>
        <v>1412448.2746406363</v>
      </c>
      <c r="F15" s="263"/>
      <c r="G15" s="263"/>
      <c r="H15" s="621">
        <f t="shared" ref="H15:H22" si="1">+E15/$C$11</f>
        <v>2.1202187343675235E-2</v>
      </c>
      <c r="I15" s="263"/>
    </row>
    <row r="16" spans="1:10" x14ac:dyDescent="0.2">
      <c r="A16" s="772" t="s">
        <v>201</v>
      </c>
      <c r="B16" s="772"/>
      <c r="C16" s="279" t="s">
        <v>124</v>
      </c>
      <c r="D16" s="620">
        <v>0.01</v>
      </c>
      <c r="E16" s="622">
        <f t="shared" si="0"/>
        <v>941632.1830937576</v>
      </c>
      <c r="F16" s="263"/>
      <c r="G16" s="263"/>
      <c r="H16" s="621">
        <f t="shared" si="1"/>
        <v>1.4134791562450158E-2</v>
      </c>
      <c r="I16" s="263"/>
    </row>
    <row r="17" spans="1:9" x14ac:dyDescent="0.2">
      <c r="A17" s="772" t="s">
        <v>202</v>
      </c>
      <c r="B17" s="772"/>
      <c r="C17" s="279" t="str">
        <f>+C16</f>
        <v>%</v>
      </c>
      <c r="D17" s="620">
        <v>0.02</v>
      </c>
      <c r="E17" s="622">
        <f t="shared" si="0"/>
        <v>1883264.3661875152</v>
      </c>
      <c r="F17" s="263"/>
      <c r="G17" s="263"/>
      <c r="H17" s="621">
        <f t="shared" si="1"/>
        <v>2.8269583124900317E-2</v>
      </c>
      <c r="I17" s="263"/>
    </row>
    <row r="18" spans="1:9" x14ac:dyDescent="0.2">
      <c r="A18" s="857" t="s">
        <v>1020</v>
      </c>
      <c r="B18" s="857"/>
      <c r="C18" s="522"/>
      <c r="D18" s="523"/>
      <c r="E18" s="524"/>
      <c r="F18" s="525"/>
      <c r="G18" s="526"/>
      <c r="H18" s="628"/>
      <c r="I18" s="526"/>
    </row>
    <row r="19" spans="1:9" ht="74.45" customHeight="1" x14ac:dyDescent="0.2">
      <c r="A19" s="861" t="s">
        <v>1021</v>
      </c>
      <c r="B19" s="861"/>
      <c r="C19" s="279" t="s">
        <v>124</v>
      </c>
      <c r="D19" s="624"/>
      <c r="E19" s="625">
        <v>3500000</v>
      </c>
      <c r="F19" s="624"/>
      <c r="G19" s="624"/>
      <c r="H19" s="621">
        <f t="shared" si="1"/>
        <v>5.2538317356608112E-2</v>
      </c>
      <c r="I19" s="624"/>
    </row>
    <row r="20" spans="1:9" ht="58.7" customHeight="1" x14ac:dyDescent="0.2">
      <c r="A20" s="858" t="s">
        <v>1022</v>
      </c>
      <c r="B20" s="858"/>
      <c r="C20" s="279" t="s">
        <v>124</v>
      </c>
      <c r="D20" s="624"/>
      <c r="E20" s="625">
        <v>400000</v>
      </c>
      <c r="F20" s="624"/>
      <c r="G20" s="624"/>
      <c r="H20" s="621">
        <f t="shared" si="1"/>
        <v>6.0043791264694987E-3</v>
      </c>
      <c r="I20" s="624"/>
    </row>
    <row r="21" spans="1:9" ht="39" customHeight="1" x14ac:dyDescent="0.2">
      <c r="A21" s="858" t="s">
        <v>1023</v>
      </c>
      <c r="B21" s="858"/>
      <c r="C21" s="279" t="s">
        <v>124</v>
      </c>
      <c r="D21" s="624"/>
      <c r="E21" s="623">
        <f>150000*6</f>
        <v>900000</v>
      </c>
      <c r="F21" s="624"/>
      <c r="G21" s="624"/>
      <c r="H21" s="621">
        <f t="shared" si="1"/>
        <v>1.3509853034556372E-2</v>
      </c>
      <c r="I21" s="624"/>
    </row>
    <row r="22" spans="1:9" ht="43.35" customHeight="1" x14ac:dyDescent="0.2">
      <c r="A22" s="858" t="s">
        <v>1024</v>
      </c>
      <c r="B22" s="858"/>
      <c r="C22" s="279" t="s">
        <v>124</v>
      </c>
      <c r="D22" s="624"/>
      <c r="E22" s="623">
        <f>350000*6</f>
        <v>2100000</v>
      </c>
      <c r="F22" s="624"/>
      <c r="G22" s="624"/>
      <c r="H22" s="621">
        <f t="shared" si="1"/>
        <v>3.152299041396487E-2</v>
      </c>
      <c r="I22" s="624"/>
    </row>
    <row r="23" spans="1:9" x14ac:dyDescent="0.2">
      <c r="A23" s="857" t="s">
        <v>1025</v>
      </c>
      <c r="B23" s="857"/>
      <c r="C23" s="522"/>
      <c r="D23" s="523"/>
      <c r="E23" s="524"/>
      <c r="F23" s="525"/>
      <c r="G23" s="526"/>
      <c r="H23" s="628"/>
      <c r="I23" s="526"/>
    </row>
    <row r="24" spans="1:9" x14ac:dyDescent="0.2">
      <c r="A24" s="858" t="s">
        <v>1025</v>
      </c>
      <c r="B24" s="858"/>
      <c r="C24" s="626" t="s">
        <v>124</v>
      </c>
      <c r="D24" s="626"/>
      <c r="E24" s="627" t="s">
        <v>1026</v>
      </c>
      <c r="F24" s="624"/>
      <c r="G24" s="624"/>
      <c r="H24" s="629">
        <v>0.08</v>
      </c>
      <c r="I24" s="624"/>
    </row>
    <row r="25" spans="1:9" x14ac:dyDescent="0.2">
      <c r="A25" s="860" t="s">
        <v>1027</v>
      </c>
      <c r="B25" s="860"/>
      <c r="C25" s="860"/>
      <c r="D25" s="860"/>
      <c r="E25" s="860"/>
      <c r="F25" s="860"/>
      <c r="G25" s="860"/>
      <c r="H25" s="630">
        <f>SUM(H13:H24)</f>
        <v>0.30372126821242518</v>
      </c>
      <c r="I25" s="631"/>
    </row>
    <row r="26" spans="1:9" x14ac:dyDescent="0.2">
      <c r="A26" s="163"/>
      <c r="B26" s="163"/>
      <c r="C26" s="163"/>
      <c r="D26" s="163"/>
      <c r="E26" s="163"/>
      <c r="F26" s="163"/>
      <c r="G26" s="163"/>
      <c r="H26" s="163"/>
      <c r="I26" s="163"/>
    </row>
    <row r="27" spans="1:9" x14ac:dyDescent="0.2">
      <c r="A27" s="163"/>
      <c r="B27" s="163"/>
      <c r="C27" s="163"/>
      <c r="D27" s="163"/>
      <c r="E27" s="163"/>
      <c r="F27" s="163"/>
      <c r="G27" s="163"/>
      <c r="H27" s="163"/>
      <c r="I27" s="163"/>
    </row>
    <row r="28" spans="1:9" x14ac:dyDescent="0.2">
      <c r="A28" s="163"/>
      <c r="B28" s="163"/>
      <c r="C28" s="163"/>
      <c r="D28" s="163"/>
      <c r="E28" s="163"/>
      <c r="F28" s="163"/>
      <c r="G28" s="163"/>
      <c r="H28" s="163"/>
      <c r="I28" s="163"/>
    </row>
    <row r="29" spans="1:9" x14ac:dyDescent="0.2">
      <c r="A29" s="163"/>
      <c r="B29" s="163"/>
      <c r="C29" s="163"/>
      <c r="D29" s="163"/>
      <c r="E29" s="163"/>
      <c r="F29" s="163"/>
      <c r="G29" s="163"/>
      <c r="H29" s="163"/>
      <c r="I29" s="163"/>
    </row>
    <row r="30" spans="1:9" x14ac:dyDescent="0.2">
      <c r="A30" s="163"/>
      <c r="B30" s="163"/>
      <c r="C30" s="163"/>
      <c r="D30" s="163"/>
      <c r="E30" s="163"/>
      <c r="F30" s="163"/>
      <c r="G30" s="163"/>
      <c r="H30" s="163"/>
      <c r="I30" s="163"/>
    </row>
  </sheetData>
  <mergeCells count="19">
    <mergeCell ref="A8:I10"/>
    <mergeCell ref="A13:B13"/>
    <mergeCell ref="A12:B12"/>
    <mergeCell ref="A14:B14"/>
    <mergeCell ref="B3:H3"/>
    <mergeCell ref="B4:H4"/>
    <mergeCell ref="A23:B23"/>
    <mergeCell ref="A24:B24"/>
    <mergeCell ref="A11:B11"/>
    <mergeCell ref="A25:G25"/>
    <mergeCell ref="A20:B20"/>
    <mergeCell ref="A21:B21"/>
    <mergeCell ref="A22:B22"/>
    <mergeCell ref="A15:B15"/>
    <mergeCell ref="A16:B16"/>
    <mergeCell ref="A17:B17"/>
    <mergeCell ref="A19:B19"/>
    <mergeCell ref="A18:B18"/>
    <mergeCell ref="F11:G11"/>
  </mergeCells>
  <pageMargins left="0.7" right="0.7" top="0.75" bottom="0.75" header="0.3" footer="0.3"/>
  <pageSetup scale="63" orientation="portrait" r:id="rId1"/>
  <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28B465-9514-4846-BECD-257B646765E4}">
  <sheetPr>
    <tabColor rgb="FFD4ECBA"/>
    <pageSetUpPr fitToPage="1"/>
  </sheetPr>
  <dimension ref="A1:AH998"/>
  <sheetViews>
    <sheetView showGridLines="0" view="pageBreakPreview" topLeftCell="A51" zoomScale="115" zoomScaleNormal="88" zoomScaleSheetLayoutView="115" workbookViewId="0">
      <selection activeCell="H41" sqref="H41"/>
    </sheetView>
  </sheetViews>
  <sheetFormatPr baseColWidth="10" defaultColWidth="14.375" defaultRowHeight="15" customHeight="1" x14ac:dyDescent="0.2"/>
  <cols>
    <col min="1" max="1" width="30.375" style="656" customWidth="1"/>
    <col min="2" max="3" width="16.375" style="656" customWidth="1"/>
    <col min="4" max="4" width="12.75" style="656" customWidth="1"/>
    <col min="5" max="5" width="11.75" style="656" customWidth="1"/>
    <col min="6" max="6" width="7.625" style="656" customWidth="1"/>
    <col min="7" max="7" width="7" style="656" customWidth="1"/>
    <col min="8" max="9" width="13.625" style="656" customWidth="1"/>
    <col min="10" max="10" width="5.75" style="657" customWidth="1"/>
    <col min="11" max="11" width="14.375" style="657" hidden="1" customWidth="1"/>
    <col min="12" max="12" width="11.375" style="656" hidden="1" customWidth="1"/>
    <col min="13" max="13" width="12.625" style="657" hidden="1" customWidth="1"/>
    <col min="14" max="26" width="11.375" style="657" hidden="1" customWidth="1"/>
    <col min="27" max="27" width="11.375" style="656" hidden="1" customWidth="1"/>
    <col min="28" max="28" width="15.375" style="656" hidden="1" customWidth="1"/>
    <col min="29" max="29" width="11.375" style="656" hidden="1" customWidth="1"/>
    <col min="30" max="30" width="15.375" style="656" hidden="1" customWidth="1"/>
    <col min="31" max="31" width="13.375" style="656" hidden="1" customWidth="1"/>
    <col min="32" max="33" width="11.375" style="656" hidden="1" customWidth="1"/>
    <col min="34" max="16384" width="14.375" style="656"/>
  </cols>
  <sheetData>
    <row r="1" spans="1:33" ht="11.25" customHeight="1" thickBot="1" x14ac:dyDescent="0.25">
      <c r="A1" s="883" t="s">
        <v>209</v>
      </c>
      <c r="B1" s="863"/>
      <c r="C1" s="863"/>
      <c r="D1" s="863"/>
      <c r="E1" s="863"/>
      <c r="F1" s="863"/>
      <c r="G1" s="863"/>
      <c r="H1" s="863"/>
      <c r="I1" s="863"/>
      <c r="L1" s="657"/>
      <c r="AA1" s="658" t="s">
        <v>210</v>
      </c>
      <c r="AB1" s="659"/>
      <c r="AC1" s="659"/>
      <c r="AD1" s="659"/>
      <c r="AE1" s="659"/>
      <c r="AF1" s="659"/>
      <c r="AG1" s="657"/>
    </row>
    <row r="2" spans="1:33" ht="11.25" customHeight="1" thickBot="1" x14ac:dyDescent="0.25">
      <c r="A2" s="657"/>
      <c r="B2" s="660"/>
      <c r="C2" s="884" t="s">
        <v>211</v>
      </c>
      <c r="D2" s="885"/>
      <c r="E2" s="886"/>
      <c r="F2" s="660"/>
      <c r="G2" s="660"/>
      <c r="H2" s="660"/>
      <c r="I2" s="660"/>
      <c r="L2" s="657"/>
      <c r="AA2" s="661" t="s">
        <v>211</v>
      </c>
      <c r="AB2" s="659"/>
      <c r="AC2" s="659"/>
      <c r="AD2" s="659"/>
      <c r="AE2" s="659"/>
      <c r="AF2" s="659"/>
      <c r="AG2" s="657"/>
    </row>
    <row r="3" spans="1:33" ht="10.5" customHeight="1" x14ac:dyDescent="0.2">
      <c r="A3" s="883"/>
      <c r="B3" s="863"/>
      <c r="C3" s="863"/>
      <c r="D3" s="863"/>
      <c r="E3" s="863"/>
      <c r="F3" s="863"/>
      <c r="G3" s="863"/>
      <c r="H3" s="863"/>
      <c r="I3" s="863"/>
      <c r="L3" s="657"/>
      <c r="AA3" s="661" t="s">
        <v>212</v>
      </c>
      <c r="AB3" s="659"/>
      <c r="AC3" s="659"/>
      <c r="AD3" s="659"/>
      <c r="AE3" s="659"/>
      <c r="AF3" s="659"/>
      <c r="AG3" s="657"/>
    </row>
    <row r="4" spans="1:33" ht="10.5" customHeight="1" x14ac:dyDescent="0.2">
      <c r="A4" s="662"/>
      <c r="B4" s="663"/>
      <c r="C4" s="657"/>
      <c r="D4" s="657"/>
      <c r="E4" s="657"/>
      <c r="F4" s="657"/>
      <c r="G4" s="657"/>
      <c r="H4" s="657"/>
      <c r="I4" s="657"/>
      <c r="L4" s="657"/>
      <c r="AA4" s="661"/>
      <c r="AB4" s="659"/>
      <c r="AC4" s="659"/>
      <c r="AD4" s="659"/>
      <c r="AE4" s="659"/>
      <c r="AF4" s="659"/>
      <c r="AG4" s="657"/>
    </row>
    <row r="5" spans="1:33" ht="10.5" customHeight="1" x14ac:dyDescent="0.2">
      <c r="A5" s="664" t="s">
        <v>213</v>
      </c>
      <c r="B5" s="882"/>
      <c r="C5" s="863"/>
      <c r="D5" s="863"/>
      <c r="E5" s="657"/>
      <c r="F5" s="657"/>
      <c r="G5" s="657"/>
      <c r="H5" s="657"/>
      <c r="I5" s="657"/>
      <c r="L5" s="657"/>
      <c r="AA5" s="659"/>
      <c r="AB5" s="659"/>
      <c r="AC5" s="659"/>
      <c r="AD5" s="659"/>
      <c r="AE5" s="659"/>
      <c r="AF5" s="659"/>
      <c r="AG5" s="657"/>
    </row>
    <row r="6" spans="1:33" ht="25.5" customHeight="1" x14ac:dyDescent="0.2">
      <c r="A6" s="664" t="s">
        <v>214</v>
      </c>
      <c r="B6" s="872" t="s">
        <v>215</v>
      </c>
      <c r="C6" s="863"/>
      <c r="D6" s="863"/>
      <c r="E6" s="863"/>
      <c r="F6" s="657"/>
      <c r="G6" s="657"/>
      <c r="H6" s="657"/>
      <c r="I6" s="657"/>
      <c r="L6" s="657"/>
      <c r="AA6" s="659"/>
      <c r="AB6" s="659"/>
      <c r="AC6" s="659"/>
      <c r="AD6" s="659"/>
      <c r="AE6" s="659"/>
      <c r="AF6" s="659"/>
      <c r="AG6" s="657"/>
    </row>
    <row r="7" spans="1:33" ht="10.5" customHeight="1" x14ac:dyDescent="0.2">
      <c r="A7" s="664" t="s">
        <v>216</v>
      </c>
      <c r="B7" s="882">
        <v>900348805</v>
      </c>
      <c r="C7" s="863"/>
      <c r="D7" s="863"/>
      <c r="E7" s="657"/>
      <c r="F7" s="657"/>
      <c r="G7" s="657"/>
      <c r="H7" s="657"/>
      <c r="I7" s="657"/>
      <c r="L7" s="657"/>
      <c r="AA7" s="659"/>
      <c r="AB7" s="659"/>
      <c r="AC7" s="659"/>
      <c r="AD7" s="659"/>
      <c r="AE7" s="659"/>
      <c r="AF7" s="659"/>
      <c r="AG7" s="657"/>
    </row>
    <row r="8" spans="1:33" ht="10.5" customHeight="1" x14ac:dyDescent="0.2">
      <c r="A8" s="664" t="s">
        <v>217</v>
      </c>
      <c r="B8" s="870" t="s">
        <v>218</v>
      </c>
      <c r="C8" s="863"/>
      <c r="D8" s="863"/>
      <c r="E8" s="863"/>
      <c r="F8" s="863"/>
      <c r="G8" s="657"/>
      <c r="H8" s="657"/>
      <c r="I8" s="657"/>
      <c r="L8" s="657"/>
      <c r="AA8" s="659"/>
      <c r="AB8" s="659"/>
      <c r="AC8" s="659"/>
      <c r="AD8" s="659"/>
      <c r="AE8" s="659"/>
      <c r="AF8" s="659"/>
      <c r="AG8" s="657"/>
    </row>
    <row r="9" spans="1:33" ht="10.5" customHeight="1" x14ac:dyDescent="0.2">
      <c r="A9" s="664" t="s">
        <v>216</v>
      </c>
      <c r="B9" s="871" t="s">
        <v>219</v>
      </c>
      <c r="C9" s="863"/>
      <c r="D9" s="863"/>
      <c r="E9" s="657"/>
      <c r="F9" s="657"/>
      <c r="G9" s="657"/>
      <c r="H9" s="657"/>
      <c r="I9" s="657"/>
      <c r="L9" s="657"/>
      <c r="AA9" s="659"/>
      <c r="AB9" s="659"/>
      <c r="AC9" s="659"/>
      <c r="AD9" s="659"/>
      <c r="AE9" s="659"/>
      <c r="AF9" s="659"/>
      <c r="AG9" s="657"/>
    </row>
    <row r="10" spans="1:33" ht="10.5" customHeight="1" x14ac:dyDescent="0.2">
      <c r="A10" s="666"/>
      <c r="B10" s="666"/>
      <c r="C10" s="657"/>
      <c r="D10" s="657"/>
      <c r="E10" s="657"/>
      <c r="F10" s="657"/>
      <c r="G10" s="657"/>
      <c r="H10" s="657"/>
      <c r="I10" s="657"/>
      <c r="L10" s="657"/>
      <c r="AA10" s="659"/>
      <c r="AB10" s="659"/>
      <c r="AC10" s="659"/>
      <c r="AD10" s="659"/>
      <c r="AE10" s="659"/>
      <c r="AF10" s="659"/>
      <c r="AG10" s="657"/>
    </row>
    <row r="11" spans="1:33" ht="25.5" customHeight="1" x14ac:dyDescent="0.2">
      <c r="A11" s="664" t="s">
        <v>220</v>
      </c>
      <c r="B11" s="872"/>
      <c r="C11" s="863"/>
      <c r="D11" s="863"/>
      <c r="E11" s="863"/>
      <c r="F11" s="657"/>
      <c r="G11" s="657"/>
      <c r="H11" s="657"/>
      <c r="I11" s="657"/>
      <c r="L11" s="657"/>
      <c r="AA11" s="659"/>
      <c r="AB11" s="659"/>
      <c r="AC11" s="659"/>
      <c r="AD11" s="659"/>
      <c r="AE11" s="659"/>
      <c r="AF11" s="659"/>
      <c r="AG11" s="657"/>
    </row>
    <row r="12" spans="1:33" ht="10.5" customHeight="1" x14ac:dyDescent="0.2">
      <c r="A12" s="666"/>
      <c r="B12" s="666"/>
      <c r="C12" s="657"/>
      <c r="D12" s="657"/>
      <c r="E12" s="657"/>
      <c r="F12" s="657"/>
      <c r="G12" s="657"/>
      <c r="H12" s="657"/>
      <c r="I12" s="657"/>
      <c r="L12" s="657"/>
      <c r="AA12" s="659"/>
      <c r="AB12" s="659"/>
      <c r="AC12" s="659"/>
      <c r="AD12" s="659"/>
      <c r="AE12" s="659"/>
      <c r="AF12" s="659"/>
      <c r="AG12" s="657"/>
    </row>
    <row r="13" spans="1:33" ht="10.5" customHeight="1" x14ac:dyDescent="0.2">
      <c r="A13" s="667" t="s">
        <v>221</v>
      </c>
      <c r="B13" s="657"/>
      <c r="C13" s="657"/>
      <c r="D13" s="657"/>
      <c r="E13" s="657"/>
      <c r="F13" s="657"/>
      <c r="G13" s="657"/>
      <c r="H13" s="657"/>
      <c r="I13" s="657"/>
      <c r="L13" s="657"/>
      <c r="AA13" s="659"/>
      <c r="AB13" s="659"/>
      <c r="AC13" s="659"/>
      <c r="AD13" s="659"/>
      <c r="AE13" s="659"/>
      <c r="AF13" s="659"/>
      <c r="AG13" s="657"/>
    </row>
    <row r="14" spans="1:33" ht="23.1" customHeight="1" x14ac:dyDescent="0.2">
      <c r="A14" s="873" t="s">
        <v>1028</v>
      </c>
      <c r="B14" s="874"/>
      <c r="C14" s="874"/>
      <c r="D14" s="874"/>
      <c r="E14" s="874"/>
      <c r="F14" s="874"/>
      <c r="G14" s="874"/>
      <c r="H14" s="874"/>
      <c r="I14" s="875"/>
      <c r="L14" s="657"/>
      <c r="AA14" s="659"/>
      <c r="AB14" s="659"/>
      <c r="AC14" s="659"/>
      <c r="AD14" s="659"/>
      <c r="AE14" s="659"/>
      <c r="AF14" s="659"/>
      <c r="AG14" s="657"/>
    </row>
    <row r="15" spans="1:33" ht="11.25" customHeight="1" thickBot="1" x14ac:dyDescent="0.25">
      <c r="A15" s="657" t="e" cm="1" vm="1">
        <f t="array" aca="1" ref="A15" ca="1">A15:I37</f>
        <v>#VALUE!</v>
      </c>
      <c r="B15" s="657"/>
      <c r="C15" s="657"/>
      <c r="D15" s="657"/>
      <c r="E15" s="657"/>
      <c r="F15" s="657"/>
      <c r="G15" s="657"/>
      <c r="H15" s="657"/>
      <c r="I15" s="657"/>
      <c r="L15" s="657"/>
      <c r="AA15" s="659"/>
      <c r="AB15" s="659"/>
      <c r="AC15" s="659"/>
      <c r="AD15" s="659"/>
      <c r="AE15" s="659"/>
      <c r="AF15" s="659"/>
      <c r="AG15" s="657"/>
    </row>
    <row r="16" spans="1:33" ht="11.25" customHeight="1" thickBot="1" x14ac:dyDescent="0.25">
      <c r="A16" s="668" t="s">
        <v>222</v>
      </c>
      <c r="B16" s="669" t="s">
        <v>223</v>
      </c>
      <c r="C16" s="670" t="s">
        <v>224</v>
      </c>
      <c r="D16" s="668" t="s">
        <v>225</v>
      </c>
      <c r="E16" s="668" t="s">
        <v>226</v>
      </c>
      <c r="F16" s="655"/>
      <c r="G16" s="657"/>
      <c r="H16" s="657"/>
      <c r="I16" s="657"/>
      <c r="L16" s="657"/>
      <c r="AA16" s="659"/>
      <c r="AB16" s="659"/>
      <c r="AC16" s="659"/>
      <c r="AD16" s="659"/>
      <c r="AE16" s="659"/>
      <c r="AF16" s="659"/>
      <c r="AG16" s="657"/>
    </row>
    <row r="17" spans="1:34" ht="11.25" customHeight="1" thickBot="1" x14ac:dyDescent="0.25">
      <c r="A17" s="671">
        <f ca="1">+INT!H27</f>
        <v>113196059.28907003</v>
      </c>
      <c r="B17" s="672">
        <v>46249</v>
      </c>
      <c r="C17" s="673">
        <v>46433</v>
      </c>
      <c r="D17" s="674">
        <f>C17-B17</f>
        <v>184</v>
      </c>
      <c r="E17" s="674">
        <f>D17/30</f>
        <v>6.1333333333333337</v>
      </c>
      <c r="F17" s="675"/>
      <c r="G17" s="657"/>
      <c r="H17" s="657"/>
      <c r="I17" s="657"/>
      <c r="L17" s="657"/>
      <c r="AA17" s="659"/>
      <c r="AB17" s="659"/>
      <c r="AC17" s="659"/>
      <c r="AD17" s="659"/>
      <c r="AE17" s="659"/>
      <c r="AF17" s="659"/>
      <c r="AG17" s="657"/>
    </row>
    <row r="18" spans="1:34" ht="8.1" customHeight="1" thickBot="1" x14ac:dyDescent="0.25">
      <c r="A18" s="657"/>
      <c r="B18" s="676"/>
      <c r="C18" s="657"/>
      <c r="D18" s="675"/>
      <c r="E18" s="675"/>
      <c r="F18" s="675"/>
      <c r="G18" s="657"/>
      <c r="H18" s="657"/>
      <c r="I18" s="657"/>
      <c r="L18" s="657"/>
      <c r="AA18" s="659"/>
      <c r="AB18" s="659"/>
      <c r="AC18" s="659"/>
      <c r="AD18" s="659"/>
      <c r="AE18" s="659"/>
      <c r="AF18" s="659"/>
      <c r="AG18" s="657"/>
    </row>
    <row r="19" spans="1:34" ht="11.25" customHeight="1" thickBot="1" x14ac:dyDescent="0.25">
      <c r="A19" s="677" t="s">
        <v>227</v>
      </c>
      <c r="B19" s="678" t="s">
        <v>228</v>
      </c>
      <c r="C19" s="678" t="s">
        <v>229</v>
      </c>
      <c r="D19" s="678" t="s">
        <v>223</v>
      </c>
      <c r="E19" s="678" t="s">
        <v>224</v>
      </c>
      <c r="F19" s="678" t="s">
        <v>230</v>
      </c>
      <c r="G19" s="678" t="s">
        <v>231</v>
      </c>
      <c r="H19" s="678" t="s">
        <v>232</v>
      </c>
      <c r="I19" s="670" t="s">
        <v>233</v>
      </c>
      <c r="L19" s="657"/>
      <c r="AA19" s="659"/>
      <c r="AB19" s="659"/>
      <c r="AC19" s="659"/>
      <c r="AD19" s="659"/>
      <c r="AE19" s="659"/>
      <c r="AF19" s="659"/>
      <c r="AG19" s="657"/>
    </row>
    <row r="20" spans="1:34" ht="12.75" hidden="1" x14ac:dyDescent="0.2">
      <c r="A20" s="679" t="s">
        <v>234</v>
      </c>
      <c r="B20" s="680">
        <v>0.1</v>
      </c>
      <c r="C20" s="681">
        <f ca="1">+$A$17*B20</f>
        <v>11319605.928907003</v>
      </c>
      <c r="D20" s="682">
        <f>B17</f>
        <v>46249</v>
      </c>
      <c r="E20" s="683">
        <f>C17</f>
        <v>46433</v>
      </c>
      <c r="F20" s="684">
        <f t="shared" ref="F20:F25" si="0">+E20-D20</f>
        <v>184</v>
      </c>
      <c r="G20" s="685">
        <v>2E-3</v>
      </c>
      <c r="H20" s="686">
        <f t="shared" ref="H20:H25" ca="1" si="1">+(C20*G20)*F20/365</f>
        <v>11412.643785856924</v>
      </c>
      <c r="I20" s="687"/>
      <c r="L20" s="657"/>
      <c r="AA20" s="657"/>
      <c r="AB20" s="657"/>
      <c r="AC20" s="657"/>
      <c r="AD20" s="657"/>
      <c r="AE20" s="657"/>
      <c r="AF20" s="657"/>
      <c r="AG20" s="657"/>
      <c r="AH20" s="688">
        <f>I20*19%</f>
        <v>0</v>
      </c>
    </row>
    <row r="21" spans="1:34" ht="10.5" customHeight="1" x14ac:dyDescent="0.2">
      <c r="A21" s="689" t="s">
        <v>235</v>
      </c>
      <c r="B21" s="680">
        <v>0.2</v>
      </c>
      <c r="C21" s="681">
        <f ca="1">+$A$17*B21</f>
        <v>22639211.857814007</v>
      </c>
      <c r="D21" s="682">
        <f>B17</f>
        <v>46249</v>
      </c>
      <c r="E21" s="690">
        <v>46614</v>
      </c>
      <c r="F21" s="691">
        <f t="shared" si="0"/>
        <v>365</v>
      </c>
      <c r="G21" s="685">
        <v>2.2000000000000001E-3</v>
      </c>
      <c r="H21" s="686">
        <f t="shared" ca="1" si="1"/>
        <v>49806.266087190816</v>
      </c>
      <c r="I21" s="692">
        <f t="shared" ref="I21:I25" ca="1" si="2">IF(H21=0,0,IF(H21&lt;30000,30000,H21))</f>
        <v>49806.266087190816</v>
      </c>
      <c r="L21" s="657"/>
      <c r="AA21" s="657"/>
      <c r="AB21" s="657"/>
      <c r="AC21" s="657"/>
      <c r="AD21" s="657"/>
      <c r="AE21" s="657"/>
      <c r="AF21" s="657"/>
      <c r="AG21" s="657"/>
      <c r="AH21" s="688">
        <f>I20+AH20</f>
        <v>0</v>
      </c>
    </row>
    <row r="22" spans="1:34" ht="10.5" customHeight="1" x14ac:dyDescent="0.2">
      <c r="A22" s="693" t="s">
        <v>236</v>
      </c>
      <c r="B22" s="680">
        <v>0.4</v>
      </c>
      <c r="C22" s="681">
        <f ca="1">A17*B22</f>
        <v>45278423.715628013</v>
      </c>
      <c r="D22" s="682">
        <f>B17</f>
        <v>46249</v>
      </c>
      <c r="E22" s="690">
        <v>46614</v>
      </c>
      <c r="F22" s="691">
        <f t="shared" si="0"/>
        <v>365</v>
      </c>
      <c r="G22" s="685">
        <v>2.2000000000000001E-3</v>
      </c>
      <c r="H22" s="686">
        <f t="shared" ca="1" si="1"/>
        <v>99612.532174381631</v>
      </c>
      <c r="I22" s="692">
        <f t="shared" ca="1" si="2"/>
        <v>99612.532174381631</v>
      </c>
      <c r="L22" s="657"/>
      <c r="AA22" s="657"/>
      <c r="AB22" s="657"/>
      <c r="AC22" s="657"/>
      <c r="AD22" s="657"/>
      <c r="AE22" s="657"/>
      <c r="AF22" s="657"/>
      <c r="AG22" s="657"/>
    </row>
    <row r="23" spans="1:34" ht="10.5" customHeight="1" x14ac:dyDescent="0.2">
      <c r="A23" s="689" t="s">
        <v>237</v>
      </c>
      <c r="B23" s="680">
        <v>0.1</v>
      </c>
      <c r="C23" s="681">
        <f t="shared" ref="C23:C25" ca="1" si="3">+$A$17*B23</f>
        <v>11319605.928907003</v>
      </c>
      <c r="D23" s="682">
        <f>B17</f>
        <v>46249</v>
      </c>
      <c r="E23" s="682">
        <v>47529</v>
      </c>
      <c r="F23" s="691">
        <f t="shared" si="0"/>
        <v>1280</v>
      </c>
      <c r="G23" s="685">
        <v>2.0999999999999999E-3</v>
      </c>
      <c r="H23" s="686">
        <f t="shared" ca="1" si="1"/>
        <v>83361.919827128819</v>
      </c>
      <c r="I23" s="692">
        <f t="shared" ca="1" si="2"/>
        <v>83361.919827128819</v>
      </c>
      <c r="L23" s="657"/>
      <c r="AA23" s="657"/>
      <c r="AB23" s="657"/>
      <c r="AC23" s="657"/>
      <c r="AD23" s="657"/>
      <c r="AE23" s="657"/>
      <c r="AF23" s="657"/>
      <c r="AG23" s="657"/>
    </row>
    <row r="24" spans="1:34" ht="10.5" customHeight="1" thickBot="1" x14ac:dyDescent="0.25">
      <c r="A24" s="689" t="s">
        <v>239</v>
      </c>
      <c r="B24" s="680">
        <v>0.2</v>
      </c>
      <c r="C24" s="681">
        <f t="shared" ca="1" si="3"/>
        <v>22639211.857814007</v>
      </c>
      <c r="D24" s="682">
        <f>B17</f>
        <v>46249</v>
      </c>
      <c r="E24" s="682">
        <v>48259</v>
      </c>
      <c r="F24" s="691">
        <f t="shared" si="0"/>
        <v>2010</v>
      </c>
      <c r="G24" s="685">
        <v>2.1020000000000001E-3</v>
      </c>
      <c r="H24" s="686">
        <f t="shared" ca="1" si="1"/>
        <v>262057.8709137023</v>
      </c>
      <c r="I24" s="692">
        <f t="shared" ca="1" si="2"/>
        <v>262057.8709137023</v>
      </c>
      <c r="L24" s="662"/>
      <c r="AA24" s="657"/>
      <c r="AB24" s="657"/>
      <c r="AC24" s="657"/>
      <c r="AD24" s="657"/>
      <c r="AE24" s="657"/>
      <c r="AF24" s="657"/>
      <c r="AG24" s="657"/>
    </row>
    <row r="25" spans="1:34" ht="11.25" hidden="1" customHeight="1" x14ac:dyDescent="0.2">
      <c r="A25" s="694" t="s">
        <v>239</v>
      </c>
      <c r="B25" s="680"/>
      <c r="C25" s="681">
        <f t="shared" ca="1" si="3"/>
        <v>0</v>
      </c>
      <c r="D25" s="682">
        <f>B17</f>
        <v>46249</v>
      </c>
      <c r="E25" s="690">
        <v>46381</v>
      </c>
      <c r="F25" s="695">
        <f t="shared" si="0"/>
        <v>132</v>
      </c>
      <c r="G25" s="685">
        <v>3.0000000000000001E-3</v>
      </c>
      <c r="H25" s="686">
        <f t="shared" ca="1" si="1"/>
        <v>0</v>
      </c>
      <c r="I25" s="692">
        <f t="shared" ca="1" si="2"/>
        <v>0</v>
      </c>
      <c r="L25" s="657"/>
      <c r="AA25" s="657"/>
      <c r="AB25" s="657"/>
      <c r="AC25" s="657"/>
      <c r="AD25" s="657"/>
      <c r="AE25" s="657"/>
      <c r="AF25" s="657"/>
      <c r="AG25" s="657"/>
    </row>
    <row r="26" spans="1:34" ht="0.95" customHeight="1" x14ac:dyDescent="0.2">
      <c r="A26" s="657"/>
      <c r="B26" s="657"/>
      <c r="C26" s="663"/>
      <c r="D26" s="657"/>
      <c r="E26" s="657"/>
      <c r="F26" s="657"/>
      <c r="G26" s="876" t="s">
        <v>152</v>
      </c>
      <c r="H26" s="877"/>
      <c r="I26" s="696">
        <f ca="1">IF(SUM(I20:I25)&lt;=60000,60000,SUM(I20:I25))</f>
        <v>494838.58900240355</v>
      </c>
      <c r="L26" s="657"/>
      <c r="AA26" s="659"/>
      <c r="AB26" s="659"/>
      <c r="AC26" s="659"/>
      <c r="AD26" s="659"/>
      <c r="AE26" s="659"/>
      <c r="AF26" s="659"/>
      <c r="AG26" s="657"/>
    </row>
    <row r="27" spans="1:34" ht="0.95" customHeight="1" x14ac:dyDescent="0.2">
      <c r="A27" s="657"/>
      <c r="B27" s="697"/>
      <c r="C27" s="698">
        <f ca="1">SUM(C20:C25)</f>
        <v>113196059.28907004</v>
      </c>
      <c r="D27" s="657"/>
      <c r="E27" s="657"/>
      <c r="F27" s="657"/>
      <c r="G27" s="878" t="s">
        <v>240</v>
      </c>
      <c r="H27" s="879"/>
      <c r="I27" s="699">
        <v>11000</v>
      </c>
      <c r="L27" s="657"/>
      <c r="AA27" s="659"/>
      <c r="AB27" s="659"/>
      <c r="AC27" s="659"/>
      <c r="AD27" s="659"/>
      <c r="AE27" s="659"/>
      <c r="AF27" s="659"/>
      <c r="AG27" s="657"/>
    </row>
    <row r="28" spans="1:34" ht="12.95" customHeight="1" x14ac:dyDescent="0.2">
      <c r="A28" s="700" t="s">
        <v>241</v>
      </c>
      <c r="B28" s="657"/>
      <c r="C28" s="657"/>
      <c r="D28" s="657"/>
      <c r="E28" s="657"/>
      <c r="F28" s="657"/>
      <c r="G28" s="878" t="s">
        <v>241</v>
      </c>
      <c r="H28" s="879"/>
      <c r="I28" s="699">
        <f ca="1">(I26+I27)*19%</f>
        <v>96109.331910456676</v>
      </c>
      <c r="L28" s="657"/>
      <c r="AA28" s="659"/>
      <c r="AB28" s="659"/>
      <c r="AC28" s="659"/>
      <c r="AD28" s="659"/>
      <c r="AE28" s="659"/>
      <c r="AF28" s="659"/>
      <c r="AG28" s="657"/>
    </row>
    <row r="29" spans="1:34" ht="11.25" customHeight="1" thickBot="1" x14ac:dyDescent="0.25">
      <c r="A29" s="657"/>
      <c r="B29" s="657"/>
      <c r="C29" s="657"/>
      <c r="D29" s="657"/>
      <c r="E29" s="657"/>
      <c r="F29" s="657"/>
      <c r="G29" s="880" t="s">
        <v>242</v>
      </c>
      <c r="H29" s="881"/>
      <c r="I29" s="702">
        <f ca="1">+I26+I27+I28</f>
        <v>601947.92091286019</v>
      </c>
      <c r="L29" s="657"/>
      <c r="AA29" s="659"/>
      <c r="AB29" s="659"/>
      <c r="AC29" s="659"/>
      <c r="AD29" s="659"/>
      <c r="AE29" s="659"/>
      <c r="AF29" s="659"/>
      <c r="AG29" s="657"/>
    </row>
    <row r="30" spans="1:34" ht="11.25" customHeight="1" thickBot="1" x14ac:dyDescent="0.25">
      <c r="A30" s="657"/>
      <c r="B30" s="657"/>
      <c r="C30" s="657"/>
      <c r="D30" s="657"/>
      <c r="E30" s="657"/>
      <c r="F30" s="657"/>
      <c r="G30" s="657"/>
      <c r="H30" s="676"/>
      <c r="I30" s="657"/>
      <c r="L30" s="657"/>
      <c r="AA30" s="657"/>
      <c r="AB30" s="657"/>
      <c r="AC30" s="657"/>
      <c r="AD30" s="657"/>
      <c r="AE30" s="657"/>
      <c r="AF30" s="657"/>
      <c r="AG30" s="657"/>
    </row>
    <row r="31" spans="1:34" ht="11.25" customHeight="1" thickBot="1" x14ac:dyDescent="0.25">
      <c r="A31" s="677" t="s">
        <v>243</v>
      </c>
      <c r="B31" s="678" t="s">
        <v>228</v>
      </c>
      <c r="C31" s="678" t="s">
        <v>229</v>
      </c>
      <c r="D31" s="678" t="s">
        <v>223</v>
      </c>
      <c r="E31" s="678" t="s">
        <v>224</v>
      </c>
      <c r="F31" s="678" t="s">
        <v>230</v>
      </c>
      <c r="G31" s="678">
        <v>1</v>
      </c>
      <c r="H31" s="678" t="s">
        <v>232</v>
      </c>
      <c r="I31" s="670" t="s">
        <v>233</v>
      </c>
      <c r="L31" s="657"/>
      <c r="AA31" s="657"/>
      <c r="AB31" s="657"/>
      <c r="AC31" s="657"/>
      <c r="AD31" s="657"/>
      <c r="AE31" s="657"/>
      <c r="AF31" s="657"/>
      <c r="AG31" s="657"/>
    </row>
    <row r="32" spans="1:34" ht="11.25" customHeight="1" thickBot="1" x14ac:dyDescent="0.25">
      <c r="A32" s="703" t="s">
        <v>244</v>
      </c>
      <c r="B32" s="704"/>
      <c r="C32" s="681">
        <v>350181000</v>
      </c>
      <c r="D32" s="682">
        <f>B17</f>
        <v>46249</v>
      </c>
      <c r="E32" s="682">
        <f>C17</f>
        <v>46433</v>
      </c>
      <c r="F32" s="705">
        <f>+E32-D32</f>
        <v>184</v>
      </c>
      <c r="G32" s="706">
        <v>2.5000000000000001E-3</v>
      </c>
      <c r="H32" s="707">
        <f>+(C32*G32)*F32/365</f>
        <v>441324</v>
      </c>
      <c r="I32" s="708">
        <f>IF(H32=0,0,IF(H32&lt;50000,50000,H32))</f>
        <v>441324</v>
      </c>
      <c r="L32" s="657"/>
      <c r="AA32" s="659"/>
      <c r="AB32" s="659"/>
      <c r="AC32" s="659"/>
      <c r="AD32" s="659"/>
      <c r="AE32" s="659"/>
      <c r="AF32" s="659"/>
      <c r="AG32" s="657"/>
    </row>
    <row r="33" spans="1:33" ht="11.25" customHeight="1" thickBot="1" x14ac:dyDescent="0.25">
      <c r="A33" s="657"/>
      <c r="B33" s="657"/>
      <c r="C33" s="657"/>
      <c r="D33" s="657"/>
      <c r="E33" s="657"/>
      <c r="F33" s="657"/>
      <c r="G33" s="876" t="s">
        <v>152</v>
      </c>
      <c r="H33" s="877"/>
      <c r="I33" s="696">
        <f>+I32</f>
        <v>441324</v>
      </c>
      <c r="L33" s="657"/>
      <c r="AA33" s="659"/>
      <c r="AB33" s="659"/>
      <c r="AC33" s="659"/>
      <c r="AD33" s="659"/>
      <c r="AE33" s="659"/>
      <c r="AF33" s="659"/>
      <c r="AG33" s="657"/>
    </row>
    <row r="34" spans="1:33" ht="11.25" customHeight="1" thickBot="1" x14ac:dyDescent="0.25">
      <c r="A34" s="709" t="s">
        <v>245</v>
      </c>
      <c r="B34" s="710" t="str">
        <f>IF(C32&lt;=10000000,"10% mínimo 1 SMMLV",IF(AND(C32&gt;10000000,C32&lt;=30000000),"10% mínimo 2 SMMLV",IF(AND(C32&gt;30000000,C32&lt;=50000000),"10% mínimo 3 SMMLV","15% mínimo 3 SMMLV")))</f>
        <v>15% mínimo 3 SMMLV</v>
      </c>
      <c r="C34" s="711"/>
      <c r="D34" s="657"/>
      <c r="E34" s="657"/>
      <c r="F34" s="657"/>
      <c r="G34" s="712" t="s">
        <v>246</v>
      </c>
      <c r="H34" s="713"/>
      <c r="I34" s="714">
        <v>12358</v>
      </c>
      <c r="L34" s="657"/>
      <c r="AA34" s="659"/>
      <c r="AB34" s="659"/>
      <c r="AC34" s="659"/>
      <c r="AD34" s="659"/>
      <c r="AE34" s="659"/>
      <c r="AF34" s="659"/>
      <c r="AG34" s="657"/>
    </row>
    <row r="35" spans="1:33" ht="10.5" customHeight="1" x14ac:dyDescent="0.2">
      <c r="A35" s="657"/>
      <c r="B35" s="657"/>
      <c r="C35" s="657"/>
      <c r="D35" s="657"/>
      <c r="E35" s="657"/>
      <c r="F35" s="657"/>
      <c r="G35" s="878" t="s">
        <v>241</v>
      </c>
      <c r="H35" s="879"/>
      <c r="I35" s="699">
        <f>(I33+I34)*19%</f>
        <v>86199.58</v>
      </c>
      <c r="L35" s="657"/>
      <c r="AA35" s="659"/>
      <c r="AB35" s="659"/>
      <c r="AC35" s="659"/>
      <c r="AD35" s="659"/>
      <c r="AE35" s="659"/>
      <c r="AF35" s="659"/>
      <c r="AG35" s="657"/>
    </row>
    <row r="36" spans="1:33" ht="11.25" customHeight="1" thickBot="1" x14ac:dyDescent="0.25">
      <c r="A36" s="657"/>
      <c r="B36" s="657"/>
      <c r="C36" s="657"/>
      <c r="D36" s="657"/>
      <c r="E36" s="657"/>
      <c r="F36" s="657"/>
      <c r="G36" s="880" t="s">
        <v>242</v>
      </c>
      <c r="H36" s="881"/>
      <c r="I36" s="702">
        <f>+I33+I35+I34</f>
        <v>539881.57999999996</v>
      </c>
      <c r="L36" s="657"/>
      <c r="AA36" s="659"/>
      <c r="AB36" s="659"/>
      <c r="AC36" s="659"/>
      <c r="AD36" s="659"/>
      <c r="AE36" s="659"/>
      <c r="AF36" s="659"/>
      <c r="AG36" s="657"/>
    </row>
    <row r="37" spans="1:33" ht="11.25" customHeight="1" thickBot="1" x14ac:dyDescent="0.25">
      <c r="A37" s="715"/>
      <c r="B37" s="657"/>
      <c r="C37" s="657"/>
      <c r="D37" s="657"/>
      <c r="E37" s="657"/>
      <c r="F37" s="657"/>
      <c r="G37" s="657"/>
      <c r="H37" s="657"/>
      <c r="I37" s="716">
        <f ca="1">I29+I36</f>
        <v>1141829.50091286</v>
      </c>
      <c r="L37" s="657"/>
      <c r="AA37" s="659"/>
      <c r="AB37" s="659"/>
      <c r="AC37" s="659"/>
      <c r="AD37" s="659"/>
      <c r="AE37" s="659"/>
      <c r="AF37" s="659"/>
      <c r="AG37" s="657"/>
    </row>
    <row r="38" spans="1:33" ht="11.25" customHeight="1" thickBot="1" x14ac:dyDescent="0.25">
      <c r="A38" s="715"/>
      <c r="B38" s="657"/>
      <c r="C38" s="657"/>
      <c r="D38" s="657"/>
      <c r="E38" s="657"/>
      <c r="F38" s="657"/>
      <c r="G38" s="657"/>
      <c r="H38" s="657"/>
      <c r="I38" s="676"/>
      <c r="L38" s="657"/>
      <c r="AA38" s="659"/>
      <c r="AB38" s="659"/>
      <c r="AC38" s="659"/>
      <c r="AD38" s="659"/>
      <c r="AE38" s="659"/>
      <c r="AF38" s="659"/>
      <c r="AG38" s="657"/>
    </row>
    <row r="39" spans="1:33" ht="11.25" customHeight="1" thickBot="1" x14ac:dyDescent="0.25">
      <c r="A39" s="677" t="s">
        <v>247</v>
      </c>
      <c r="B39" s="678"/>
      <c r="C39" s="678"/>
      <c r="D39" s="678"/>
      <c r="E39" s="678"/>
      <c r="F39" s="678"/>
      <c r="G39" s="657"/>
      <c r="H39" s="657"/>
      <c r="I39" s="657"/>
      <c r="L39" s="657"/>
      <c r="AA39" s="659"/>
      <c r="AB39" s="659"/>
      <c r="AC39" s="659"/>
      <c r="AD39" s="659"/>
      <c r="AE39" s="659"/>
      <c r="AF39" s="659"/>
      <c r="AG39" s="657"/>
    </row>
    <row r="40" spans="1:33" ht="11.25" customHeight="1" thickBot="1" x14ac:dyDescent="0.25">
      <c r="A40" s="867" t="s">
        <v>248</v>
      </c>
      <c r="B40" s="868"/>
      <c r="C40" s="869"/>
      <c r="D40" s="717" t="s">
        <v>249</v>
      </c>
      <c r="E40" s="718"/>
      <c r="F40" s="718"/>
      <c r="G40" s="678"/>
      <c r="H40" s="678"/>
      <c r="I40" s="719"/>
      <c r="L40" s="657"/>
      <c r="AA40" s="659"/>
      <c r="AB40" s="659"/>
      <c r="AC40" s="659"/>
      <c r="AD40" s="659"/>
      <c r="AE40" s="659"/>
      <c r="AF40" s="659"/>
      <c r="AG40" s="657"/>
    </row>
    <row r="41" spans="1:33" ht="12.75" customHeight="1" x14ac:dyDescent="0.2">
      <c r="A41" s="862" t="s">
        <v>250</v>
      </c>
      <c r="B41" s="863"/>
      <c r="C41" s="864"/>
      <c r="D41" s="720" t="s">
        <v>250</v>
      </c>
      <c r="E41" s="721"/>
      <c r="F41" s="721"/>
      <c r="G41" s="718"/>
      <c r="H41" s="718"/>
      <c r="I41" s="722"/>
      <c r="L41" s="657"/>
      <c r="AA41" s="659"/>
      <c r="AB41" s="659"/>
      <c r="AC41" s="659"/>
      <c r="AD41" s="659"/>
      <c r="AE41" s="659"/>
      <c r="AF41" s="659"/>
      <c r="AG41" s="657"/>
    </row>
    <row r="42" spans="1:33" ht="12.75" customHeight="1" x14ac:dyDescent="0.2">
      <c r="A42" s="862" t="s">
        <v>251</v>
      </c>
      <c r="B42" s="863"/>
      <c r="C42" s="864"/>
      <c r="D42" s="723" t="s">
        <v>252</v>
      </c>
      <c r="E42" s="724"/>
      <c r="F42" s="724"/>
      <c r="G42" s="721"/>
      <c r="H42" s="721"/>
      <c r="I42" s="725"/>
      <c r="L42" s="657"/>
      <c r="AA42" s="659"/>
      <c r="AB42" s="659"/>
      <c r="AC42" s="659"/>
      <c r="AD42" s="659"/>
      <c r="AE42" s="659"/>
      <c r="AF42" s="659"/>
      <c r="AG42" s="657"/>
    </row>
    <row r="43" spans="1:33" ht="12.75" customHeight="1" x14ac:dyDescent="0.2">
      <c r="A43" s="862" t="s">
        <v>253</v>
      </c>
      <c r="B43" s="863"/>
      <c r="C43" s="864"/>
      <c r="D43" s="723" t="s">
        <v>254</v>
      </c>
      <c r="E43" s="724"/>
      <c r="F43" s="724"/>
      <c r="G43" s="724"/>
      <c r="H43" s="724"/>
      <c r="I43" s="726"/>
      <c r="L43" s="657"/>
      <c r="AA43" s="659"/>
      <c r="AB43" s="659"/>
      <c r="AC43" s="659"/>
      <c r="AD43" s="659"/>
      <c r="AE43" s="659"/>
      <c r="AF43" s="659"/>
      <c r="AG43" s="657"/>
    </row>
    <row r="44" spans="1:33" ht="10.5" customHeight="1" x14ac:dyDescent="0.2">
      <c r="A44" s="865" t="s">
        <v>255</v>
      </c>
      <c r="B44" s="863"/>
      <c r="C44" s="864"/>
      <c r="D44" s="723"/>
      <c r="E44" s="724"/>
      <c r="F44" s="724"/>
      <c r="G44" s="724"/>
      <c r="H44" s="724"/>
      <c r="I44" s="726"/>
      <c r="L44" s="657"/>
      <c r="AA44" s="659"/>
      <c r="AB44" s="659"/>
      <c r="AC44" s="659"/>
      <c r="AD44" s="659"/>
      <c r="AE44" s="659"/>
      <c r="AF44" s="659"/>
      <c r="AG44" s="657"/>
    </row>
    <row r="45" spans="1:33" ht="10.5" customHeight="1" x14ac:dyDescent="0.2">
      <c r="A45" s="866"/>
      <c r="B45" s="863"/>
      <c r="C45" s="864"/>
      <c r="D45" s="727" t="s">
        <v>256</v>
      </c>
      <c r="E45" s="665"/>
      <c r="F45" s="665"/>
      <c r="G45" s="724"/>
      <c r="H45" s="724"/>
      <c r="I45" s="726"/>
      <c r="L45" s="657"/>
      <c r="AA45" s="659"/>
      <c r="AB45" s="659"/>
      <c r="AC45" s="659"/>
      <c r="AD45" s="659"/>
      <c r="AE45" s="659"/>
      <c r="AF45" s="659"/>
      <c r="AG45" s="657"/>
    </row>
    <row r="46" spans="1:33" ht="10.5" customHeight="1" x14ac:dyDescent="0.2">
      <c r="A46" s="865" t="s">
        <v>257</v>
      </c>
      <c r="B46" s="863"/>
      <c r="C46" s="864"/>
      <c r="D46" s="727" t="s">
        <v>258</v>
      </c>
      <c r="E46" s="665"/>
      <c r="F46" s="665"/>
      <c r="G46" s="665"/>
      <c r="H46" s="665"/>
      <c r="I46" s="728"/>
      <c r="L46" s="657"/>
      <c r="AA46" s="659"/>
      <c r="AB46" s="659"/>
      <c r="AC46" s="659"/>
      <c r="AD46" s="659"/>
      <c r="AE46" s="659"/>
      <c r="AF46" s="659"/>
      <c r="AG46" s="657"/>
    </row>
    <row r="47" spans="1:33" ht="12.75" customHeight="1" x14ac:dyDescent="0.2">
      <c r="A47" s="866"/>
      <c r="B47" s="863"/>
      <c r="C47" s="864"/>
      <c r="D47" s="727" t="s">
        <v>259</v>
      </c>
      <c r="E47" s="665"/>
      <c r="F47" s="665"/>
      <c r="G47" s="665"/>
      <c r="H47" s="665"/>
      <c r="I47" s="728"/>
      <c r="L47" s="657"/>
      <c r="AA47" s="659"/>
      <c r="AB47" s="659"/>
      <c r="AC47" s="659"/>
      <c r="AD47" s="659"/>
      <c r="AE47" s="659"/>
      <c r="AF47" s="659"/>
      <c r="AG47" s="657"/>
    </row>
    <row r="48" spans="1:33" ht="10.5" customHeight="1" x14ac:dyDescent="0.2">
      <c r="A48" s="862" t="s">
        <v>260</v>
      </c>
      <c r="B48" s="863"/>
      <c r="C48" s="864"/>
      <c r="D48" s="727" t="s">
        <v>261</v>
      </c>
      <c r="E48" s="665"/>
      <c r="F48" s="665"/>
      <c r="G48" s="665"/>
      <c r="H48" s="665"/>
      <c r="I48" s="728"/>
      <c r="L48" s="657"/>
      <c r="AA48" s="659"/>
      <c r="AB48" s="659"/>
      <c r="AC48" s="659"/>
      <c r="AD48" s="659"/>
      <c r="AE48" s="659"/>
      <c r="AF48" s="659"/>
      <c r="AG48" s="657"/>
    </row>
    <row r="49" spans="1:33" ht="10.5" customHeight="1" x14ac:dyDescent="0.2">
      <c r="A49" s="862" t="s">
        <v>262</v>
      </c>
      <c r="B49" s="863"/>
      <c r="C49" s="864"/>
      <c r="D49" s="729"/>
      <c r="E49" s="730"/>
      <c r="F49" s="730"/>
      <c r="G49" s="665"/>
      <c r="H49" s="665"/>
      <c r="I49" s="728"/>
      <c r="L49" s="657"/>
      <c r="AA49" s="659"/>
      <c r="AB49" s="659"/>
      <c r="AC49" s="659"/>
      <c r="AD49" s="659"/>
      <c r="AE49" s="659"/>
      <c r="AF49" s="659"/>
      <c r="AG49" s="657"/>
    </row>
    <row r="50" spans="1:33" ht="10.5" customHeight="1" x14ac:dyDescent="0.2">
      <c r="A50" s="862" t="s">
        <v>263</v>
      </c>
      <c r="B50" s="863"/>
      <c r="C50" s="864"/>
      <c r="D50" s="729"/>
      <c r="E50" s="730"/>
      <c r="F50" s="730"/>
      <c r="G50" s="730"/>
      <c r="H50" s="730"/>
      <c r="I50" s="731"/>
      <c r="L50" s="657"/>
      <c r="AA50" s="659"/>
      <c r="AB50" s="659"/>
      <c r="AC50" s="659"/>
      <c r="AD50" s="659"/>
      <c r="AE50" s="659"/>
      <c r="AF50" s="659"/>
      <c r="AG50" s="657"/>
    </row>
    <row r="51" spans="1:33" ht="10.5" customHeight="1" x14ac:dyDescent="0.2">
      <c r="A51" s="862" t="s">
        <v>264</v>
      </c>
      <c r="B51" s="863"/>
      <c r="C51" s="864"/>
      <c r="D51" s="729"/>
      <c r="E51" s="730"/>
      <c r="F51" s="730"/>
      <c r="G51" s="730"/>
      <c r="H51" s="730"/>
      <c r="I51" s="731"/>
      <c r="L51" s="657"/>
      <c r="AA51" s="659"/>
      <c r="AB51" s="659"/>
      <c r="AC51" s="659"/>
      <c r="AD51" s="659"/>
      <c r="AE51" s="659"/>
      <c r="AF51" s="659"/>
      <c r="AG51" s="657"/>
    </row>
    <row r="52" spans="1:33" ht="11.25" customHeight="1" thickBot="1" x14ac:dyDescent="0.25">
      <c r="A52" s="701" t="s">
        <v>265</v>
      </c>
      <c r="B52" s="732"/>
      <c r="C52" s="732"/>
      <c r="D52" s="732"/>
      <c r="E52" s="732"/>
      <c r="F52" s="732"/>
      <c r="G52" s="730"/>
      <c r="H52" s="730"/>
      <c r="I52" s="731"/>
      <c r="L52" s="657"/>
      <c r="AA52" s="659"/>
      <c r="AB52" s="659"/>
      <c r="AC52" s="659"/>
      <c r="AD52" s="659"/>
      <c r="AE52" s="659"/>
      <c r="AF52" s="659"/>
      <c r="AG52" s="657"/>
    </row>
    <row r="53" spans="1:33" ht="12.75" customHeight="1" thickBot="1" x14ac:dyDescent="0.25">
      <c r="A53" s="676"/>
      <c r="B53" s="657"/>
      <c r="C53" s="662"/>
      <c r="D53" s="657"/>
      <c r="E53" s="657"/>
      <c r="F53" s="657"/>
      <c r="G53" s="732"/>
      <c r="H53" s="732"/>
      <c r="I53" s="733"/>
      <c r="L53" s="657"/>
      <c r="AA53" s="659"/>
      <c r="AB53" s="659"/>
      <c r="AC53" s="659"/>
      <c r="AD53" s="659"/>
      <c r="AE53" s="659"/>
      <c r="AF53" s="659"/>
      <c r="AG53" s="657"/>
    </row>
    <row r="54" spans="1:33" ht="105" customHeight="1" x14ac:dyDescent="0.2">
      <c r="A54" s="734" t="s">
        <v>266</v>
      </c>
      <c r="B54" s="734"/>
      <c r="C54" s="734"/>
      <c r="D54" s="734"/>
      <c r="E54" s="734"/>
      <c r="F54" s="734"/>
      <c r="G54" s="657"/>
      <c r="H54" s="657"/>
      <c r="I54" s="657"/>
      <c r="L54" s="657"/>
      <c r="AA54" s="659"/>
      <c r="AB54" s="659"/>
      <c r="AC54" s="659"/>
      <c r="AD54" s="659"/>
      <c r="AE54" s="659"/>
      <c r="AF54" s="659"/>
      <c r="AG54" s="657"/>
    </row>
    <row r="55" spans="1:33" ht="10.5" customHeight="1" x14ac:dyDescent="0.2">
      <c r="A55" s="734"/>
      <c r="B55" s="734"/>
      <c r="C55" s="734"/>
      <c r="D55" s="734"/>
      <c r="E55" s="734"/>
      <c r="F55" s="734"/>
      <c r="G55" s="734"/>
      <c r="H55" s="734"/>
      <c r="I55" s="734"/>
      <c r="L55" s="657"/>
      <c r="AA55" s="659"/>
      <c r="AB55" s="659"/>
      <c r="AC55" s="659"/>
      <c r="AD55" s="659"/>
      <c r="AE55" s="659"/>
      <c r="AF55" s="659"/>
      <c r="AG55" s="657"/>
    </row>
    <row r="56" spans="1:33" ht="10.5" customHeight="1" x14ac:dyDescent="0.2">
      <c r="A56" s="734"/>
      <c r="B56" s="734"/>
      <c r="C56" s="734"/>
      <c r="D56" s="734"/>
      <c r="E56" s="734"/>
      <c r="F56" s="734"/>
      <c r="G56" s="734"/>
      <c r="H56" s="734"/>
      <c r="I56" s="734"/>
      <c r="L56" s="657"/>
      <c r="AA56" s="659"/>
      <c r="AB56" s="659"/>
      <c r="AC56" s="659"/>
      <c r="AD56" s="659"/>
      <c r="AE56" s="659"/>
      <c r="AF56" s="659"/>
      <c r="AG56" s="657"/>
    </row>
    <row r="57" spans="1:33" ht="10.5" customHeight="1" x14ac:dyDescent="0.2">
      <c r="A57" s="657"/>
      <c r="B57" s="657"/>
      <c r="C57" s="657"/>
      <c r="D57" s="657"/>
      <c r="E57" s="657"/>
      <c r="F57" s="657"/>
      <c r="G57" s="734"/>
      <c r="H57" s="734"/>
      <c r="I57" s="734"/>
      <c r="L57" s="657"/>
      <c r="AA57" s="659"/>
      <c r="AB57" s="659"/>
      <c r="AC57" s="659"/>
      <c r="AD57" s="659"/>
      <c r="AE57" s="659"/>
      <c r="AF57" s="659"/>
      <c r="AG57" s="657"/>
    </row>
    <row r="58" spans="1:33" ht="10.5" customHeight="1" x14ac:dyDescent="0.2">
      <c r="A58" s="730" t="s">
        <v>267</v>
      </c>
      <c r="B58" s="655"/>
      <c r="C58" s="655"/>
      <c r="D58" s="655"/>
      <c r="E58" s="655"/>
      <c r="F58" s="655"/>
      <c r="G58" s="657"/>
      <c r="H58" s="657"/>
      <c r="I58" s="657"/>
      <c r="L58" s="657"/>
      <c r="AA58" s="659"/>
      <c r="AB58" s="659"/>
      <c r="AC58" s="659"/>
      <c r="AD58" s="659"/>
      <c r="AE58" s="659"/>
      <c r="AF58" s="659"/>
      <c r="AG58" s="657"/>
    </row>
    <row r="59" spans="1:33" ht="10.5" hidden="1" customHeight="1" x14ac:dyDescent="0.2">
      <c r="A59" s="657"/>
      <c r="B59" s="657"/>
      <c r="C59" s="657"/>
      <c r="D59" s="657"/>
      <c r="E59" s="657"/>
      <c r="F59" s="657"/>
      <c r="G59" s="655"/>
      <c r="H59" s="655"/>
      <c r="I59" s="655"/>
      <c r="L59" s="657"/>
      <c r="AA59" s="659"/>
      <c r="AB59" s="659"/>
      <c r="AC59" s="659"/>
      <c r="AD59" s="659"/>
      <c r="AE59" s="659"/>
      <c r="AF59" s="659"/>
      <c r="AG59" s="657"/>
    </row>
    <row r="60" spans="1:33" ht="10.5" customHeight="1" x14ac:dyDescent="0.2">
      <c r="A60" s="657"/>
      <c r="B60" s="657"/>
      <c r="C60" s="657"/>
      <c r="D60" s="657"/>
      <c r="E60" s="657"/>
      <c r="F60" s="657"/>
      <c r="G60" s="657"/>
      <c r="H60" s="657"/>
      <c r="I60" s="657"/>
      <c r="L60" s="657"/>
      <c r="AA60" s="659"/>
      <c r="AB60" s="659"/>
      <c r="AC60" s="659"/>
      <c r="AD60" s="659"/>
      <c r="AE60" s="659"/>
      <c r="AF60" s="659"/>
      <c r="AG60" s="657"/>
    </row>
    <row r="61" spans="1:33" ht="10.5" customHeight="1" x14ac:dyDescent="0.2">
      <c r="A61" s="657"/>
      <c r="B61" s="657"/>
      <c r="C61" s="657"/>
      <c r="D61" s="657"/>
      <c r="E61" s="657"/>
      <c r="F61" s="657"/>
      <c r="G61" s="657"/>
      <c r="H61" s="657"/>
      <c r="I61" s="657"/>
      <c r="L61" s="657"/>
      <c r="AA61" s="659"/>
      <c r="AB61" s="659"/>
      <c r="AC61" s="659"/>
      <c r="AD61" s="659"/>
      <c r="AE61" s="659"/>
      <c r="AF61" s="659"/>
      <c r="AG61" s="657"/>
    </row>
    <row r="62" spans="1:33" ht="10.5" customHeight="1" x14ac:dyDescent="0.2">
      <c r="A62" s="657"/>
      <c r="B62" s="657"/>
      <c r="C62" s="657"/>
      <c r="D62" s="657"/>
      <c r="E62" s="657"/>
      <c r="F62" s="657"/>
      <c r="G62" s="657"/>
      <c r="H62" s="657"/>
      <c r="I62" s="657"/>
      <c r="L62" s="657"/>
      <c r="AA62" s="659"/>
      <c r="AB62" s="659"/>
      <c r="AC62" s="659"/>
      <c r="AD62" s="659"/>
      <c r="AE62" s="659"/>
      <c r="AF62" s="659"/>
      <c r="AG62" s="657"/>
    </row>
    <row r="63" spans="1:33" ht="10.5" customHeight="1" x14ac:dyDescent="0.2">
      <c r="A63" s="657"/>
      <c r="B63" s="657"/>
      <c r="C63" s="657"/>
      <c r="D63" s="657"/>
      <c r="E63" s="657"/>
      <c r="F63" s="657"/>
      <c r="G63" s="657"/>
      <c r="H63" s="657"/>
      <c r="I63" s="657"/>
      <c r="L63" s="657"/>
      <c r="AA63" s="659"/>
      <c r="AB63" s="659"/>
      <c r="AC63" s="659"/>
      <c r="AD63" s="659"/>
      <c r="AE63" s="659"/>
      <c r="AF63" s="659"/>
      <c r="AG63" s="657"/>
    </row>
    <row r="64" spans="1:33" ht="10.5" customHeight="1" x14ac:dyDescent="0.2">
      <c r="A64" s="657"/>
      <c r="B64" s="657"/>
      <c r="C64" s="657"/>
      <c r="D64" s="657"/>
      <c r="E64" s="657"/>
      <c r="F64" s="657"/>
      <c r="G64" s="657"/>
      <c r="H64" s="657"/>
      <c r="I64" s="657"/>
      <c r="L64" s="657"/>
      <c r="AA64" s="659"/>
      <c r="AB64" s="659"/>
      <c r="AC64" s="659"/>
      <c r="AD64" s="659"/>
      <c r="AE64" s="659"/>
      <c r="AF64" s="659"/>
      <c r="AG64" s="657"/>
    </row>
    <row r="65" spans="1:33" ht="10.5" customHeight="1" x14ac:dyDescent="0.2">
      <c r="A65" s="657"/>
      <c r="B65" s="657"/>
      <c r="C65" s="657"/>
      <c r="D65" s="657"/>
      <c r="E65" s="657"/>
      <c r="F65" s="657"/>
      <c r="G65" s="657"/>
      <c r="H65" s="657"/>
      <c r="I65" s="657"/>
      <c r="L65" s="657"/>
      <c r="AA65" s="659"/>
      <c r="AB65" s="659"/>
      <c r="AC65" s="659"/>
      <c r="AD65" s="659"/>
      <c r="AE65" s="659"/>
      <c r="AF65" s="659"/>
      <c r="AG65" s="657"/>
    </row>
    <row r="66" spans="1:33" ht="10.5" customHeight="1" x14ac:dyDescent="0.2">
      <c r="A66" s="657"/>
      <c r="B66" s="657"/>
      <c r="C66" s="657"/>
      <c r="D66" s="657"/>
      <c r="E66" s="657"/>
      <c r="F66" s="657"/>
      <c r="G66" s="657"/>
      <c r="H66" s="657"/>
      <c r="I66" s="657"/>
      <c r="L66" s="657"/>
      <c r="AA66" s="659"/>
      <c r="AB66" s="659"/>
      <c r="AC66" s="659"/>
      <c r="AD66" s="659"/>
      <c r="AE66" s="659"/>
      <c r="AF66" s="659"/>
      <c r="AG66" s="657"/>
    </row>
    <row r="67" spans="1:33" ht="10.5" customHeight="1" x14ac:dyDescent="0.2">
      <c r="A67" s="657"/>
      <c r="B67" s="657"/>
      <c r="C67" s="657"/>
      <c r="D67" s="657"/>
      <c r="E67" s="657"/>
      <c r="F67" s="657"/>
      <c r="G67" s="657"/>
      <c r="H67" s="657"/>
      <c r="I67" s="657"/>
      <c r="L67" s="657"/>
      <c r="AA67" s="659"/>
      <c r="AB67" s="659"/>
      <c r="AC67" s="659"/>
      <c r="AD67" s="659"/>
      <c r="AE67" s="659"/>
      <c r="AF67" s="659"/>
      <c r="AG67" s="657"/>
    </row>
    <row r="68" spans="1:33" ht="10.5" customHeight="1" x14ac:dyDescent="0.2">
      <c r="A68" s="657"/>
      <c r="B68" s="657"/>
      <c r="C68" s="657"/>
      <c r="D68" s="657"/>
      <c r="E68" s="657"/>
      <c r="F68" s="657"/>
      <c r="G68" s="657"/>
      <c r="H68" s="657"/>
      <c r="I68" s="657"/>
      <c r="L68" s="657"/>
      <c r="AA68" s="659"/>
      <c r="AB68" s="659"/>
      <c r="AC68" s="659"/>
      <c r="AD68" s="659"/>
      <c r="AE68" s="659"/>
      <c r="AF68" s="659"/>
      <c r="AG68" s="657"/>
    </row>
    <row r="69" spans="1:33" ht="10.5" customHeight="1" x14ac:dyDescent="0.2">
      <c r="A69" s="657"/>
      <c r="B69" s="657"/>
      <c r="C69" s="657"/>
      <c r="D69" s="657"/>
      <c r="E69" s="657"/>
      <c r="F69" s="657"/>
      <c r="G69" s="657"/>
      <c r="H69" s="657"/>
      <c r="I69" s="657"/>
      <c r="L69" s="657"/>
      <c r="AA69" s="659"/>
      <c r="AB69" s="659"/>
      <c r="AC69" s="659"/>
      <c r="AD69" s="659"/>
      <c r="AE69" s="659"/>
      <c r="AF69" s="659"/>
      <c r="AG69" s="657"/>
    </row>
    <row r="70" spans="1:33" ht="10.5" customHeight="1" x14ac:dyDescent="0.2">
      <c r="A70" s="657"/>
      <c r="B70" s="657"/>
      <c r="C70" s="657"/>
      <c r="D70" s="657"/>
      <c r="E70" s="657"/>
      <c r="F70" s="657"/>
      <c r="G70" s="657"/>
      <c r="H70" s="657"/>
      <c r="I70" s="657"/>
      <c r="L70" s="657"/>
      <c r="AA70" s="659"/>
      <c r="AB70" s="659"/>
      <c r="AC70" s="659"/>
      <c r="AD70" s="659"/>
      <c r="AE70" s="659"/>
      <c r="AF70" s="659"/>
      <c r="AG70" s="657"/>
    </row>
    <row r="71" spans="1:33" ht="10.5" customHeight="1" x14ac:dyDescent="0.2">
      <c r="A71" s="657"/>
      <c r="B71" s="657"/>
      <c r="C71" s="657"/>
      <c r="D71" s="657"/>
      <c r="E71" s="657"/>
      <c r="F71" s="657"/>
      <c r="G71" s="657"/>
      <c r="H71" s="657"/>
      <c r="I71" s="657"/>
      <c r="L71" s="657"/>
      <c r="AA71" s="659"/>
      <c r="AB71" s="659"/>
      <c r="AC71" s="659"/>
      <c r="AD71" s="659"/>
      <c r="AE71" s="659"/>
      <c r="AF71" s="659"/>
      <c r="AG71" s="657"/>
    </row>
    <row r="72" spans="1:33" ht="10.5" customHeight="1" x14ac:dyDescent="0.2">
      <c r="A72" s="657"/>
      <c r="B72" s="657"/>
      <c r="C72" s="657"/>
      <c r="D72" s="657"/>
      <c r="E72" s="657"/>
      <c r="F72" s="657"/>
      <c r="G72" s="657"/>
      <c r="H72" s="657"/>
      <c r="I72" s="657"/>
      <c r="L72" s="657"/>
      <c r="AA72" s="659"/>
      <c r="AB72" s="659"/>
      <c r="AC72" s="659"/>
      <c r="AD72" s="659"/>
      <c r="AE72" s="659"/>
      <c r="AF72" s="659"/>
      <c r="AG72" s="657"/>
    </row>
    <row r="73" spans="1:33" ht="10.5" customHeight="1" x14ac:dyDescent="0.2">
      <c r="A73" s="657"/>
      <c r="B73" s="657"/>
      <c r="C73" s="657"/>
      <c r="D73" s="657"/>
      <c r="E73" s="657"/>
      <c r="F73" s="657"/>
      <c r="G73" s="657"/>
      <c r="H73" s="657"/>
      <c r="I73" s="657"/>
      <c r="L73" s="657"/>
      <c r="AA73" s="659"/>
      <c r="AB73" s="659"/>
      <c r="AC73" s="659"/>
      <c r="AD73" s="659"/>
      <c r="AE73" s="659"/>
      <c r="AF73" s="659"/>
      <c r="AG73" s="657"/>
    </row>
    <row r="74" spans="1:33" ht="10.5" customHeight="1" x14ac:dyDescent="0.2">
      <c r="A74" s="657"/>
      <c r="B74" s="657"/>
      <c r="C74" s="657"/>
      <c r="D74" s="657"/>
      <c r="E74" s="657"/>
      <c r="F74" s="657"/>
      <c r="G74" s="657"/>
      <c r="H74" s="657"/>
      <c r="I74" s="657"/>
      <c r="L74" s="657"/>
      <c r="AA74" s="659"/>
      <c r="AB74" s="659"/>
      <c r="AC74" s="659"/>
      <c r="AD74" s="659"/>
      <c r="AE74" s="659"/>
      <c r="AF74" s="659"/>
      <c r="AG74" s="657"/>
    </row>
    <row r="75" spans="1:33" ht="10.5" customHeight="1" x14ac:dyDescent="0.2">
      <c r="A75" s="657"/>
      <c r="B75" s="657"/>
      <c r="C75" s="657"/>
      <c r="D75" s="657"/>
      <c r="E75" s="657"/>
      <c r="F75" s="657"/>
      <c r="G75" s="657"/>
      <c r="H75" s="657"/>
      <c r="I75" s="657"/>
      <c r="L75" s="657"/>
      <c r="AA75" s="659"/>
      <c r="AB75" s="659"/>
      <c r="AC75" s="659"/>
      <c r="AD75" s="659"/>
      <c r="AE75" s="659"/>
      <c r="AF75" s="659"/>
      <c r="AG75" s="657"/>
    </row>
    <row r="76" spans="1:33" ht="10.5" customHeight="1" x14ac:dyDescent="0.2">
      <c r="A76" s="657"/>
      <c r="B76" s="657"/>
      <c r="C76" s="657"/>
      <c r="D76" s="657"/>
      <c r="E76" s="657"/>
      <c r="F76" s="657"/>
      <c r="G76" s="657"/>
      <c r="H76" s="657"/>
      <c r="I76" s="657"/>
      <c r="L76" s="657"/>
      <c r="AA76" s="659"/>
      <c r="AB76" s="659"/>
      <c r="AC76" s="659"/>
      <c r="AD76" s="659"/>
      <c r="AE76" s="659"/>
      <c r="AF76" s="659"/>
      <c r="AG76" s="657"/>
    </row>
    <row r="77" spans="1:33" ht="10.5" customHeight="1" x14ac:dyDescent="0.2">
      <c r="A77" s="657"/>
      <c r="B77" s="657"/>
      <c r="C77" s="657"/>
      <c r="D77" s="657"/>
      <c r="E77" s="657"/>
      <c r="F77" s="657"/>
      <c r="G77" s="657"/>
      <c r="H77" s="657"/>
      <c r="I77" s="657"/>
      <c r="L77" s="657"/>
      <c r="AA77" s="659"/>
      <c r="AB77" s="659"/>
      <c r="AC77" s="659"/>
      <c r="AD77" s="659"/>
      <c r="AE77" s="659"/>
      <c r="AF77" s="659"/>
      <c r="AG77" s="657"/>
    </row>
    <row r="78" spans="1:33" ht="10.5" customHeight="1" x14ac:dyDescent="0.2">
      <c r="A78" s="657"/>
      <c r="B78" s="657"/>
      <c r="C78" s="657"/>
      <c r="D78" s="657"/>
      <c r="E78" s="657"/>
      <c r="F78" s="657"/>
      <c r="G78" s="657"/>
      <c r="H78" s="657"/>
      <c r="I78" s="657"/>
      <c r="L78" s="657"/>
      <c r="AA78" s="659"/>
      <c r="AB78" s="659"/>
      <c r="AC78" s="659"/>
      <c r="AD78" s="659"/>
      <c r="AE78" s="659"/>
      <c r="AF78" s="659"/>
      <c r="AG78" s="657"/>
    </row>
    <row r="79" spans="1:33" ht="10.5" customHeight="1" x14ac:dyDescent="0.2">
      <c r="A79" s="657"/>
      <c r="B79" s="657"/>
      <c r="C79" s="657"/>
      <c r="D79" s="657"/>
      <c r="E79" s="657"/>
      <c r="F79" s="657"/>
      <c r="G79" s="657"/>
      <c r="H79" s="657"/>
      <c r="I79" s="657"/>
      <c r="L79" s="657"/>
      <c r="AA79" s="659"/>
      <c r="AB79" s="659"/>
      <c r="AC79" s="659"/>
      <c r="AD79" s="659"/>
      <c r="AE79" s="659"/>
      <c r="AF79" s="659"/>
      <c r="AG79" s="657"/>
    </row>
    <row r="80" spans="1:33" ht="10.5" customHeight="1" x14ac:dyDescent="0.2">
      <c r="A80" s="657"/>
      <c r="B80" s="657"/>
      <c r="C80" s="657"/>
      <c r="D80" s="657"/>
      <c r="E80" s="657"/>
      <c r="F80" s="657"/>
      <c r="G80" s="657"/>
      <c r="H80" s="657"/>
      <c r="I80" s="657"/>
      <c r="L80" s="657"/>
      <c r="AA80" s="659"/>
      <c r="AB80" s="659"/>
      <c r="AC80" s="659"/>
      <c r="AD80" s="659"/>
      <c r="AE80" s="659"/>
      <c r="AF80" s="659"/>
      <c r="AG80" s="657"/>
    </row>
    <row r="81" spans="1:33" ht="10.5" customHeight="1" x14ac:dyDescent="0.2">
      <c r="A81" s="657"/>
      <c r="B81" s="657"/>
      <c r="C81" s="657"/>
      <c r="D81" s="657"/>
      <c r="E81" s="657"/>
      <c r="F81" s="657"/>
      <c r="G81" s="657"/>
      <c r="H81" s="657"/>
      <c r="I81" s="657"/>
      <c r="L81" s="657"/>
      <c r="AA81" s="659"/>
      <c r="AB81" s="659"/>
      <c r="AC81" s="659"/>
      <c r="AD81" s="659"/>
      <c r="AE81" s="659"/>
      <c r="AF81" s="659"/>
      <c r="AG81" s="657"/>
    </row>
    <row r="82" spans="1:33" ht="10.5" customHeight="1" x14ac:dyDescent="0.2">
      <c r="A82" s="657"/>
      <c r="B82" s="657"/>
      <c r="C82" s="657"/>
      <c r="D82" s="657"/>
      <c r="E82" s="657"/>
      <c r="F82" s="657"/>
      <c r="G82" s="657"/>
      <c r="H82" s="657"/>
      <c r="I82" s="657"/>
      <c r="L82" s="657"/>
      <c r="AA82" s="659"/>
      <c r="AB82" s="659"/>
      <c r="AC82" s="659"/>
      <c r="AD82" s="659"/>
      <c r="AE82" s="659"/>
      <c r="AF82" s="659"/>
      <c r="AG82" s="657"/>
    </row>
    <row r="83" spans="1:33" ht="10.5" customHeight="1" x14ac:dyDescent="0.2">
      <c r="A83" s="657"/>
      <c r="B83" s="657"/>
      <c r="C83" s="657"/>
      <c r="D83" s="657"/>
      <c r="E83" s="657"/>
      <c r="F83" s="657"/>
      <c r="G83" s="657"/>
      <c r="H83" s="657"/>
      <c r="I83" s="657"/>
      <c r="L83" s="657"/>
      <c r="AA83" s="659"/>
      <c r="AB83" s="659"/>
      <c r="AC83" s="659"/>
      <c r="AD83" s="659"/>
      <c r="AE83" s="659"/>
      <c r="AF83" s="659"/>
      <c r="AG83" s="657"/>
    </row>
    <row r="84" spans="1:33" ht="10.5" customHeight="1" x14ac:dyDescent="0.2">
      <c r="A84" s="657"/>
      <c r="B84" s="657"/>
      <c r="C84" s="657"/>
      <c r="D84" s="657"/>
      <c r="E84" s="657"/>
      <c r="F84" s="657"/>
      <c r="G84" s="657"/>
      <c r="H84" s="657"/>
      <c r="I84" s="657"/>
      <c r="L84" s="657"/>
      <c r="AA84" s="659"/>
      <c r="AB84" s="659"/>
      <c r="AC84" s="659"/>
      <c r="AD84" s="659"/>
      <c r="AE84" s="659"/>
      <c r="AF84" s="659"/>
      <c r="AG84" s="657"/>
    </row>
    <row r="85" spans="1:33" ht="10.5" customHeight="1" x14ac:dyDescent="0.2">
      <c r="A85" s="657"/>
      <c r="B85" s="657"/>
      <c r="C85" s="657"/>
      <c r="D85" s="657"/>
      <c r="E85" s="657"/>
      <c r="F85" s="657"/>
      <c r="G85" s="657"/>
      <c r="H85" s="657"/>
      <c r="I85" s="657"/>
      <c r="L85" s="657"/>
      <c r="AA85" s="659"/>
      <c r="AB85" s="659"/>
      <c r="AC85" s="659"/>
      <c r="AD85" s="659"/>
      <c r="AE85" s="659"/>
      <c r="AF85" s="659"/>
      <c r="AG85" s="657"/>
    </row>
    <row r="86" spans="1:33" ht="10.5" customHeight="1" x14ac:dyDescent="0.2">
      <c r="A86" s="657"/>
      <c r="B86" s="657"/>
      <c r="C86" s="657"/>
      <c r="D86" s="657"/>
      <c r="E86" s="657"/>
      <c r="F86" s="657"/>
      <c r="G86" s="657"/>
      <c r="H86" s="657"/>
      <c r="I86" s="657"/>
      <c r="L86" s="657"/>
      <c r="AA86" s="659"/>
      <c r="AB86" s="659"/>
      <c r="AC86" s="659"/>
      <c r="AD86" s="659"/>
      <c r="AE86" s="659"/>
      <c r="AF86" s="659"/>
      <c r="AG86" s="657"/>
    </row>
    <row r="87" spans="1:33" ht="10.5" customHeight="1" x14ac:dyDescent="0.2">
      <c r="A87" s="657"/>
      <c r="B87" s="657"/>
      <c r="C87" s="657"/>
      <c r="D87" s="657"/>
      <c r="E87" s="657"/>
      <c r="F87" s="657"/>
      <c r="G87" s="657"/>
      <c r="H87" s="657"/>
      <c r="I87" s="657"/>
      <c r="L87" s="657"/>
      <c r="AA87" s="659"/>
      <c r="AB87" s="659"/>
      <c r="AC87" s="659"/>
      <c r="AD87" s="659"/>
      <c r="AE87" s="659"/>
      <c r="AF87" s="659"/>
      <c r="AG87" s="657"/>
    </row>
    <row r="88" spans="1:33" ht="10.5" customHeight="1" x14ac:dyDescent="0.2">
      <c r="A88" s="657"/>
      <c r="B88" s="657"/>
      <c r="C88" s="657"/>
      <c r="D88" s="657"/>
      <c r="E88" s="657"/>
      <c r="F88" s="657"/>
      <c r="G88" s="657"/>
      <c r="H88" s="657"/>
      <c r="I88" s="657"/>
      <c r="L88" s="657"/>
      <c r="AA88" s="659"/>
      <c r="AB88" s="659"/>
      <c r="AC88" s="659"/>
      <c r="AD88" s="659"/>
      <c r="AE88" s="659"/>
      <c r="AF88" s="659"/>
      <c r="AG88" s="657"/>
    </row>
    <row r="89" spans="1:33" ht="10.5" customHeight="1" x14ac:dyDescent="0.2">
      <c r="A89" s="657"/>
      <c r="B89" s="657"/>
      <c r="C89" s="657"/>
      <c r="D89" s="657"/>
      <c r="E89" s="657"/>
      <c r="F89" s="657"/>
      <c r="G89" s="657"/>
      <c r="H89" s="657"/>
      <c r="I89" s="657"/>
      <c r="L89" s="657"/>
      <c r="AA89" s="659"/>
      <c r="AB89" s="659"/>
      <c r="AC89" s="659"/>
      <c r="AD89" s="659"/>
      <c r="AE89" s="659"/>
      <c r="AF89" s="659"/>
      <c r="AG89" s="657"/>
    </row>
    <row r="90" spans="1:33" ht="10.5" customHeight="1" x14ac:dyDescent="0.2">
      <c r="A90" s="657"/>
      <c r="B90" s="657"/>
      <c r="C90" s="657"/>
      <c r="D90" s="657"/>
      <c r="E90" s="657"/>
      <c r="F90" s="657"/>
      <c r="G90" s="657"/>
      <c r="H90" s="657"/>
      <c r="I90" s="657"/>
      <c r="L90" s="657"/>
      <c r="AA90" s="659"/>
      <c r="AB90" s="659"/>
      <c r="AC90" s="659"/>
      <c r="AD90" s="659"/>
      <c r="AE90" s="659"/>
      <c r="AF90" s="659"/>
      <c r="AG90" s="657"/>
    </row>
    <row r="91" spans="1:33" ht="10.5" customHeight="1" x14ac:dyDescent="0.2">
      <c r="A91" s="657"/>
      <c r="B91" s="657"/>
      <c r="C91" s="657"/>
      <c r="D91" s="657"/>
      <c r="E91" s="657"/>
      <c r="F91" s="657"/>
      <c r="G91" s="657"/>
      <c r="H91" s="657"/>
      <c r="I91" s="657"/>
      <c r="L91" s="657"/>
      <c r="AA91" s="659"/>
      <c r="AB91" s="659"/>
      <c r="AC91" s="659"/>
      <c r="AD91" s="659"/>
      <c r="AE91" s="659"/>
      <c r="AF91" s="659"/>
      <c r="AG91" s="657"/>
    </row>
    <row r="92" spans="1:33" ht="10.5" customHeight="1" x14ac:dyDescent="0.2">
      <c r="A92" s="657"/>
      <c r="B92" s="657"/>
      <c r="C92" s="657"/>
      <c r="D92" s="657"/>
      <c r="E92" s="657"/>
      <c r="F92" s="657"/>
      <c r="G92" s="657"/>
      <c r="H92" s="657"/>
      <c r="I92" s="657"/>
      <c r="L92" s="657"/>
      <c r="AA92" s="659"/>
      <c r="AB92" s="659"/>
      <c r="AC92" s="659"/>
      <c r="AD92" s="659"/>
      <c r="AE92" s="659"/>
      <c r="AF92" s="659"/>
      <c r="AG92" s="657"/>
    </row>
    <row r="93" spans="1:33" ht="10.5" customHeight="1" x14ac:dyDescent="0.2">
      <c r="A93" s="657"/>
      <c r="B93" s="657"/>
      <c r="C93" s="657"/>
      <c r="D93" s="657"/>
      <c r="E93" s="657"/>
      <c r="F93" s="657"/>
      <c r="G93" s="657"/>
      <c r="H93" s="657"/>
      <c r="I93" s="657"/>
      <c r="L93" s="657"/>
      <c r="AA93" s="659"/>
      <c r="AB93" s="659"/>
      <c r="AC93" s="659"/>
      <c r="AD93" s="659"/>
      <c r="AE93" s="659"/>
      <c r="AF93" s="659"/>
      <c r="AG93" s="657"/>
    </row>
    <row r="94" spans="1:33" ht="10.5" customHeight="1" x14ac:dyDescent="0.2">
      <c r="A94" s="657"/>
      <c r="B94" s="657"/>
      <c r="C94" s="657"/>
      <c r="D94" s="657"/>
      <c r="E94" s="657"/>
      <c r="F94" s="657"/>
      <c r="G94" s="657"/>
      <c r="H94" s="657"/>
      <c r="I94" s="657"/>
      <c r="L94" s="657"/>
      <c r="AA94" s="659"/>
      <c r="AB94" s="659"/>
      <c r="AC94" s="659"/>
      <c r="AD94" s="659"/>
      <c r="AE94" s="659"/>
      <c r="AF94" s="659"/>
      <c r="AG94" s="657"/>
    </row>
    <row r="95" spans="1:33" ht="10.5" customHeight="1" x14ac:dyDescent="0.2">
      <c r="A95" s="657"/>
      <c r="B95" s="657"/>
      <c r="C95" s="657"/>
      <c r="D95" s="657"/>
      <c r="E95" s="657"/>
      <c r="F95" s="657"/>
      <c r="G95" s="657"/>
      <c r="H95" s="657"/>
      <c r="I95" s="657"/>
      <c r="L95" s="657"/>
      <c r="AA95" s="659"/>
      <c r="AB95" s="659"/>
      <c r="AC95" s="659"/>
      <c r="AD95" s="659"/>
      <c r="AE95" s="659"/>
      <c r="AF95" s="659"/>
      <c r="AG95" s="657"/>
    </row>
    <row r="96" spans="1:33" ht="10.5" customHeight="1" x14ac:dyDescent="0.2">
      <c r="A96" s="657"/>
      <c r="B96" s="657"/>
      <c r="C96" s="657"/>
      <c r="D96" s="657"/>
      <c r="E96" s="657"/>
      <c r="F96" s="657"/>
      <c r="G96" s="657"/>
      <c r="H96" s="657"/>
      <c r="I96" s="657"/>
      <c r="L96" s="657"/>
      <c r="AA96" s="659"/>
      <c r="AB96" s="659"/>
      <c r="AC96" s="659"/>
      <c r="AD96" s="659"/>
      <c r="AE96" s="659"/>
      <c r="AF96" s="659"/>
      <c r="AG96" s="657"/>
    </row>
    <row r="97" spans="1:33" ht="10.5" hidden="1" customHeight="1" x14ac:dyDescent="0.2">
      <c r="A97" s="657"/>
      <c r="B97" s="657"/>
      <c r="C97" s="657"/>
      <c r="D97" s="657"/>
      <c r="E97" s="657"/>
      <c r="F97" s="657"/>
      <c r="G97" s="657"/>
      <c r="H97" s="657"/>
      <c r="I97" s="657"/>
      <c r="L97" s="657"/>
      <c r="AA97" s="735" t="s">
        <v>268</v>
      </c>
      <c r="AB97" s="735" t="s">
        <v>269</v>
      </c>
      <c r="AC97" s="735" t="s">
        <v>270</v>
      </c>
      <c r="AD97" s="735" t="s">
        <v>271</v>
      </c>
      <c r="AE97" s="735" t="s">
        <v>272</v>
      </c>
      <c r="AF97" s="735" t="s">
        <v>273</v>
      </c>
      <c r="AG97" s="736" t="s">
        <v>244</v>
      </c>
    </row>
    <row r="98" spans="1:33" ht="10.5" hidden="1" customHeight="1" x14ac:dyDescent="0.2">
      <c r="A98" s="657"/>
      <c r="B98" s="657"/>
      <c r="C98" s="657"/>
      <c r="D98" s="657"/>
      <c r="E98" s="657"/>
      <c r="F98" s="657"/>
      <c r="G98" s="657"/>
      <c r="H98" s="657"/>
      <c r="I98" s="657"/>
      <c r="L98" s="657"/>
      <c r="AA98" s="737">
        <v>1E-3</v>
      </c>
      <c r="AB98" s="737">
        <v>2E-3</v>
      </c>
      <c r="AC98" s="737">
        <v>2E-3</v>
      </c>
      <c r="AD98" s="737">
        <v>6.0000000000000001E-3</v>
      </c>
      <c r="AE98" s="737">
        <v>2E-3</v>
      </c>
      <c r="AF98" s="737">
        <v>2E-3</v>
      </c>
      <c r="AG98" s="737">
        <v>2E-3</v>
      </c>
    </row>
    <row r="99" spans="1:33" ht="10.5" hidden="1" customHeight="1" x14ac:dyDescent="0.2">
      <c r="A99" s="657"/>
      <c r="B99" s="657"/>
      <c r="C99" s="657"/>
      <c r="D99" s="657"/>
      <c r="E99" s="657"/>
      <c r="F99" s="657"/>
      <c r="G99" s="657"/>
      <c r="H99" s="657"/>
      <c r="I99" s="657"/>
      <c r="L99" s="657"/>
      <c r="AA99" s="737">
        <v>1.5E-3</v>
      </c>
      <c r="AB99" s="737">
        <v>2.5000000000000001E-3</v>
      </c>
      <c r="AC99" s="737">
        <v>2.5000000000000001E-3</v>
      </c>
      <c r="AD99" s="737">
        <v>6.4999999999999997E-3</v>
      </c>
      <c r="AE99" s="737">
        <v>2.5000000000000001E-3</v>
      </c>
      <c r="AF99" s="737">
        <v>2.5000000000000001E-3</v>
      </c>
      <c r="AG99" s="737">
        <v>2.5000000000000001E-3</v>
      </c>
    </row>
    <row r="100" spans="1:33" ht="10.5" hidden="1" customHeight="1" x14ac:dyDescent="0.2">
      <c r="A100" s="657"/>
      <c r="B100" s="657"/>
      <c r="C100" s="657"/>
      <c r="D100" s="657"/>
      <c r="E100" s="657"/>
      <c r="F100" s="657"/>
      <c r="G100" s="657"/>
      <c r="H100" s="657"/>
      <c r="I100" s="657"/>
      <c r="L100" s="657"/>
      <c r="AA100" s="737"/>
      <c r="AB100" s="737">
        <v>3.0000000000000001E-3</v>
      </c>
      <c r="AC100" s="737">
        <v>3.0000000000000001E-3</v>
      </c>
      <c r="AD100" s="737">
        <v>7.0000000000000001E-3</v>
      </c>
      <c r="AE100" s="737">
        <v>3.0000000000000001E-3</v>
      </c>
      <c r="AF100" s="737">
        <v>3.0000000000000001E-3</v>
      </c>
      <c r="AG100" s="737">
        <v>3.0000000000000001E-3</v>
      </c>
    </row>
    <row r="101" spans="1:33" ht="10.5" hidden="1" customHeight="1" x14ac:dyDescent="0.2">
      <c r="A101" s="657"/>
      <c r="B101" s="657"/>
      <c r="C101" s="657"/>
      <c r="D101" s="657"/>
      <c r="E101" s="657"/>
      <c r="F101" s="657"/>
      <c r="G101" s="657"/>
      <c r="H101" s="657"/>
      <c r="I101" s="657"/>
      <c r="L101" s="657"/>
      <c r="AA101" s="737"/>
      <c r="AB101" s="737">
        <v>3.5000000000000001E-3</v>
      </c>
      <c r="AC101" s="737">
        <v>3.5000000000000001E-3</v>
      </c>
      <c r="AD101" s="737">
        <v>7.4999999999999997E-3</v>
      </c>
      <c r="AE101" s="737">
        <v>3.5000000000000001E-3</v>
      </c>
      <c r="AF101" s="737">
        <v>3.5000000000000001E-3</v>
      </c>
      <c r="AG101" s="737">
        <v>3.5000000000000001E-3</v>
      </c>
    </row>
    <row r="102" spans="1:33" ht="10.5" hidden="1" customHeight="1" x14ac:dyDescent="0.2">
      <c r="A102" s="657"/>
      <c r="B102" s="657"/>
      <c r="C102" s="657"/>
      <c r="D102" s="657"/>
      <c r="E102" s="657"/>
      <c r="F102" s="657"/>
      <c r="G102" s="657"/>
      <c r="H102" s="657"/>
      <c r="I102" s="657"/>
      <c r="L102" s="657"/>
      <c r="AA102" s="737"/>
      <c r="AB102" s="737">
        <v>4.0000000000000001E-3</v>
      </c>
      <c r="AC102" s="737">
        <v>4.0000000000000001E-3</v>
      </c>
      <c r="AD102" s="737">
        <v>8.0000000000000002E-3</v>
      </c>
      <c r="AE102" s="737">
        <v>4.0000000000000001E-3</v>
      </c>
      <c r="AF102" s="737">
        <v>4.0000000000000001E-3</v>
      </c>
      <c r="AG102" s="737">
        <v>4.0000000000000001E-3</v>
      </c>
    </row>
    <row r="103" spans="1:33" ht="10.5" hidden="1" customHeight="1" x14ac:dyDescent="0.2">
      <c r="A103" s="657"/>
      <c r="B103" s="657"/>
      <c r="C103" s="657"/>
      <c r="D103" s="657"/>
      <c r="E103" s="657"/>
      <c r="F103" s="657"/>
      <c r="G103" s="657"/>
      <c r="H103" s="657"/>
      <c r="I103" s="657"/>
      <c r="L103" s="657"/>
      <c r="AA103" s="737"/>
      <c r="AB103" s="737">
        <v>4.4999999999999997E-3</v>
      </c>
      <c r="AC103" s="737">
        <v>4.4999999999999997E-3</v>
      </c>
      <c r="AD103" s="737">
        <v>8.5000000000000006E-3</v>
      </c>
      <c r="AE103" s="737">
        <v>4.4999999999999997E-3</v>
      </c>
      <c r="AF103" s="737"/>
      <c r="AG103" s="737">
        <v>4.4999999999999997E-3</v>
      </c>
    </row>
    <row r="104" spans="1:33" ht="10.5" hidden="1" customHeight="1" x14ac:dyDescent="0.2">
      <c r="A104" s="657"/>
      <c r="B104" s="657"/>
      <c r="C104" s="657"/>
      <c r="D104" s="657"/>
      <c r="E104" s="657"/>
      <c r="F104" s="657"/>
      <c r="G104" s="657"/>
      <c r="H104" s="657"/>
      <c r="I104" s="657"/>
      <c r="L104" s="657"/>
      <c r="AA104" s="737"/>
      <c r="AB104" s="737">
        <v>5.0000000000000001E-3</v>
      </c>
      <c r="AC104" s="737">
        <v>5.0000000000000001E-3</v>
      </c>
      <c r="AD104" s="737">
        <v>8.9999999999999993E-3</v>
      </c>
      <c r="AE104" s="737">
        <v>5.0000000000000001E-3</v>
      </c>
      <c r="AF104" s="737"/>
      <c r="AG104" s="737">
        <v>5.0000000000000001E-3</v>
      </c>
    </row>
    <row r="105" spans="1:33" ht="10.5" hidden="1" customHeight="1" x14ac:dyDescent="0.2">
      <c r="A105" s="657"/>
      <c r="B105" s="657"/>
      <c r="C105" s="657"/>
      <c r="D105" s="657"/>
      <c r="E105" s="657"/>
      <c r="F105" s="657"/>
      <c r="G105" s="657"/>
      <c r="H105" s="657"/>
      <c r="I105" s="657"/>
      <c r="L105" s="657"/>
      <c r="AA105" s="737"/>
      <c r="AB105" s="737"/>
      <c r="AC105" s="737">
        <v>5.4999999999999997E-3</v>
      </c>
      <c r="AD105" s="737">
        <v>9.4999999999999998E-3</v>
      </c>
      <c r="AE105" s="737"/>
      <c r="AF105" s="737"/>
      <c r="AG105" s="737">
        <v>5.4999999999999997E-3</v>
      </c>
    </row>
    <row r="106" spans="1:33" ht="10.5" hidden="1" customHeight="1" x14ac:dyDescent="0.2">
      <c r="A106" s="657"/>
      <c r="B106" s="657"/>
      <c r="C106" s="657"/>
      <c r="D106" s="657"/>
      <c r="E106" s="657"/>
      <c r="F106" s="657"/>
      <c r="G106" s="657"/>
      <c r="H106" s="657"/>
      <c r="I106" s="657"/>
      <c r="L106" s="657"/>
      <c r="AA106" s="737"/>
      <c r="AB106" s="737"/>
      <c r="AC106" s="737">
        <v>6.0000000000000001E-3</v>
      </c>
      <c r="AD106" s="737">
        <v>0.01</v>
      </c>
      <c r="AE106" s="737"/>
      <c r="AF106" s="737"/>
      <c r="AG106" s="737">
        <v>6.0000000000000001E-3</v>
      </c>
    </row>
    <row r="107" spans="1:33" ht="10.5" hidden="1" customHeight="1" x14ac:dyDescent="0.2">
      <c r="A107" s="657"/>
      <c r="B107" s="657"/>
      <c r="C107" s="657"/>
      <c r="D107" s="657"/>
      <c r="E107" s="657"/>
      <c r="F107" s="657"/>
      <c r="G107" s="657"/>
      <c r="H107" s="657"/>
      <c r="I107" s="657"/>
      <c r="L107" s="657"/>
      <c r="AA107" s="737"/>
      <c r="AB107" s="737"/>
      <c r="AC107" s="737"/>
      <c r="AD107" s="737">
        <v>1.0500000000000001E-2</v>
      </c>
      <c r="AE107" s="737"/>
      <c r="AF107" s="737"/>
      <c r="AG107" s="737">
        <v>6.4999999999999997E-3</v>
      </c>
    </row>
    <row r="108" spans="1:33" ht="10.5" hidden="1" customHeight="1" x14ac:dyDescent="0.2">
      <c r="A108" s="657"/>
      <c r="B108" s="657"/>
      <c r="C108" s="657"/>
      <c r="D108" s="657"/>
      <c r="E108" s="657"/>
      <c r="F108" s="657"/>
      <c r="G108" s="657"/>
      <c r="H108" s="657"/>
      <c r="I108" s="657"/>
      <c r="L108" s="657"/>
      <c r="AA108" s="737"/>
      <c r="AB108" s="737"/>
      <c r="AC108" s="737"/>
      <c r="AD108" s="737">
        <v>1.0999999999999999E-2</v>
      </c>
      <c r="AE108" s="737"/>
      <c r="AF108" s="737"/>
      <c r="AG108" s="737">
        <v>7.0000000000000001E-3</v>
      </c>
    </row>
    <row r="109" spans="1:33" ht="10.5" hidden="1" customHeight="1" x14ac:dyDescent="0.2">
      <c r="A109" s="657"/>
      <c r="B109" s="657"/>
      <c r="C109" s="657"/>
      <c r="D109" s="657"/>
      <c r="E109" s="657"/>
      <c r="F109" s="657"/>
      <c r="G109" s="657"/>
      <c r="H109" s="657"/>
      <c r="I109" s="657"/>
      <c r="L109" s="657"/>
      <c r="AA109" s="737"/>
      <c r="AB109" s="737"/>
      <c r="AC109" s="737"/>
      <c r="AD109" s="737">
        <v>1.15E-2</v>
      </c>
      <c r="AE109" s="737"/>
      <c r="AF109" s="737"/>
      <c r="AG109" s="737">
        <v>7.4999999999999997E-3</v>
      </c>
    </row>
    <row r="110" spans="1:33" ht="10.5" hidden="1" customHeight="1" x14ac:dyDescent="0.2">
      <c r="A110" s="657"/>
      <c r="B110" s="657"/>
      <c r="C110" s="657"/>
      <c r="D110" s="657"/>
      <c r="E110" s="657"/>
      <c r="F110" s="657"/>
      <c r="G110" s="657"/>
      <c r="H110" s="657"/>
      <c r="I110" s="657"/>
      <c r="L110" s="657"/>
      <c r="AA110" s="737"/>
      <c r="AB110" s="737"/>
      <c r="AC110" s="737"/>
      <c r="AD110" s="737">
        <v>1.2E-2</v>
      </c>
      <c r="AE110" s="737"/>
      <c r="AF110" s="737"/>
      <c r="AG110" s="737">
        <v>8.0000000000000002E-3</v>
      </c>
    </row>
    <row r="111" spans="1:33" ht="10.5" hidden="1" customHeight="1" x14ac:dyDescent="0.2">
      <c r="A111" s="657"/>
      <c r="B111" s="657"/>
      <c r="C111" s="657"/>
      <c r="D111" s="657"/>
      <c r="E111" s="657"/>
      <c r="F111" s="657"/>
      <c r="G111" s="657"/>
      <c r="H111" s="657"/>
      <c r="I111" s="657"/>
      <c r="L111" s="657"/>
      <c r="AA111" s="737"/>
      <c r="AB111" s="737"/>
      <c r="AC111" s="737"/>
      <c r="AD111" s="737">
        <v>1.2500000000000001E-2</v>
      </c>
      <c r="AE111" s="737"/>
      <c r="AF111" s="737"/>
      <c r="AG111" s="737">
        <v>8.5000000000000006E-3</v>
      </c>
    </row>
    <row r="112" spans="1:33" ht="10.5" hidden="1" customHeight="1" x14ac:dyDescent="0.2">
      <c r="A112" s="657"/>
      <c r="B112" s="657"/>
      <c r="C112" s="657"/>
      <c r="D112" s="657"/>
      <c r="E112" s="657"/>
      <c r="F112" s="657"/>
      <c r="G112" s="657"/>
      <c r="H112" s="657"/>
      <c r="I112" s="657"/>
      <c r="L112" s="657"/>
      <c r="AA112" s="737"/>
      <c r="AB112" s="737"/>
      <c r="AC112" s="737"/>
      <c r="AD112" s="737">
        <v>1.2999999999999999E-2</v>
      </c>
      <c r="AE112" s="737"/>
      <c r="AF112" s="737"/>
      <c r="AG112" s="737">
        <v>8.9999999999999993E-3</v>
      </c>
    </row>
    <row r="113" spans="1:33" ht="10.5" hidden="1" customHeight="1" x14ac:dyDescent="0.2">
      <c r="A113" s="657"/>
      <c r="B113" s="657"/>
      <c r="C113" s="657"/>
      <c r="D113" s="657"/>
      <c r="E113" s="657"/>
      <c r="F113" s="657"/>
      <c r="G113" s="657"/>
      <c r="H113" s="657"/>
      <c r="I113" s="657"/>
      <c r="L113" s="657"/>
      <c r="AA113" s="737"/>
      <c r="AB113" s="737"/>
      <c r="AC113" s="737"/>
      <c r="AD113" s="737">
        <v>1.35E-2</v>
      </c>
      <c r="AE113" s="737"/>
      <c r="AF113" s="737"/>
      <c r="AG113" s="737">
        <v>9.4999999999999998E-3</v>
      </c>
    </row>
    <row r="114" spans="1:33" ht="10.5" hidden="1" customHeight="1" x14ac:dyDescent="0.2">
      <c r="A114" s="657"/>
      <c r="B114" s="657"/>
      <c r="C114" s="657"/>
      <c r="D114" s="657"/>
      <c r="E114" s="657"/>
      <c r="F114" s="657"/>
      <c r="G114" s="657"/>
      <c r="H114" s="657"/>
      <c r="I114" s="657"/>
      <c r="L114" s="657"/>
      <c r="AA114" s="737"/>
      <c r="AB114" s="737"/>
      <c r="AC114" s="737"/>
      <c r="AD114" s="737">
        <v>1.4E-2</v>
      </c>
      <c r="AE114" s="737"/>
      <c r="AF114" s="737"/>
      <c r="AG114" s="737">
        <v>0.01</v>
      </c>
    </row>
    <row r="115" spans="1:33" ht="10.5" hidden="1" customHeight="1" x14ac:dyDescent="0.2">
      <c r="A115" s="657"/>
      <c r="B115" s="657"/>
      <c r="C115" s="657"/>
      <c r="D115" s="657"/>
      <c r="E115" s="657"/>
      <c r="F115" s="657"/>
      <c r="G115" s="657"/>
      <c r="H115" s="657"/>
      <c r="I115" s="657"/>
      <c r="L115" s="657"/>
      <c r="AA115" s="737"/>
      <c r="AB115" s="737"/>
      <c r="AC115" s="737"/>
      <c r="AD115" s="737">
        <v>1.4500000000000001E-2</v>
      </c>
      <c r="AE115" s="737"/>
      <c r="AF115" s="737"/>
      <c r="AG115" s="737"/>
    </row>
    <row r="116" spans="1:33" ht="10.5" hidden="1" customHeight="1" x14ac:dyDescent="0.2">
      <c r="A116" s="657"/>
      <c r="B116" s="657"/>
      <c r="C116" s="657"/>
      <c r="D116" s="657"/>
      <c r="E116" s="657"/>
      <c r="F116" s="657"/>
      <c r="G116" s="657"/>
      <c r="H116" s="657"/>
      <c r="I116" s="657"/>
      <c r="L116" s="657"/>
      <c r="AA116" s="737"/>
      <c r="AB116" s="737"/>
      <c r="AC116" s="737"/>
      <c r="AD116" s="737">
        <v>1.4999999999999999E-2</v>
      </c>
      <c r="AE116" s="737"/>
      <c r="AF116" s="737"/>
      <c r="AG116" s="737"/>
    </row>
    <row r="117" spans="1:33" ht="10.5" hidden="1" customHeight="1" x14ac:dyDescent="0.2">
      <c r="A117" s="657"/>
      <c r="B117" s="657"/>
      <c r="C117" s="657"/>
      <c r="D117" s="657"/>
      <c r="E117" s="657"/>
      <c r="F117" s="657"/>
      <c r="G117" s="657"/>
      <c r="H117" s="657"/>
      <c r="I117" s="657"/>
      <c r="L117" s="657"/>
      <c r="AA117" s="737"/>
      <c r="AB117" s="737"/>
      <c r="AC117" s="737"/>
      <c r="AD117" s="737"/>
      <c r="AE117" s="737"/>
      <c r="AF117" s="737"/>
      <c r="AG117" s="737"/>
    </row>
    <row r="118" spans="1:33" ht="10.5" hidden="1" customHeight="1" x14ac:dyDescent="0.2">
      <c r="A118" s="657"/>
      <c r="B118" s="657"/>
      <c r="C118" s="657"/>
      <c r="D118" s="657"/>
      <c r="E118" s="657"/>
      <c r="F118" s="657"/>
      <c r="G118" s="657"/>
      <c r="H118" s="657"/>
      <c r="I118" s="657"/>
      <c r="L118" s="657"/>
      <c r="AA118" s="737"/>
      <c r="AB118" s="737"/>
      <c r="AC118" s="737"/>
      <c r="AD118" s="737"/>
      <c r="AE118" s="737"/>
      <c r="AF118" s="737"/>
      <c r="AG118" s="737"/>
    </row>
    <row r="119" spans="1:33" ht="10.5" hidden="1" customHeight="1" x14ac:dyDescent="0.2">
      <c r="A119" s="657"/>
      <c r="B119" s="657"/>
      <c r="C119" s="657"/>
      <c r="D119" s="657"/>
      <c r="E119" s="657"/>
      <c r="F119" s="657"/>
      <c r="G119" s="657"/>
      <c r="H119" s="657"/>
      <c r="I119" s="657"/>
      <c r="L119" s="657"/>
      <c r="AA119" s="737"/>
      <c r="AB119" s="737"/>
      <c r="AC119" s="737"/>
      <c r="AD119" s="737"/>
      <c r="AE119" s="737"/>
      <c r="AF119" s="737"/>
      <c r="AG119" s="737"/>
    </row>
    <row r="120" spans="1:33" ht="10.5" hidden="1" customHeight="1" x14ac:dyDescent="0.2">
      <c r="A120" s="657"/>
      <c r="B120" s="657"/>
      <c r="C120" s="657"/>
      <c r="D120" s="657"/>
      <c r="E120" s="657"/>
      <c r="F120" s="657"/>
      <c r="G120" s="657"/>
      <c r="H120" s="657"/>
      <c r="I120" s="657"/>
      <c r="L120" s="657"/>
      <c r="AA120" s="737"/>
      <c r="AB120" s="737"/>
      <c r="AC120" s="737"/>
      <c r="AD120" s="737"/>
      <c r="AE120" s="737"/>
      <c r="AF120" s="737"/>
      <c r="AG120" s="737"/>
    </row>
    <row r="121" spans="1:33" ht="10.5" hidden="1" customHeight="1" x14ac:dyDescent="0.2">
      <c r="A121" s="657"/>
      <c r="B121" s="657"/>
      <c r="C121" s="657"/>
      <c r="D121" s="657"/>
      <c r="E121" s="657"/>
      <c r="F121" s="657"/>
      <c r="G121" s="657"/>
      <c r="H121" s="657"/>
      <c r="I121" s="657"/>
      <c r="L121" s="657"/>
      <c r="AA121" s="737"/>
      <c r="AB121" s="737"/>
      <c r="AC121" s="737"/>
      <c r="AD121" s="737"/>
      <c r="AE121" s="737"/>
      <c r="AF121" s="737"/>
      <c r="AG121" s="737"/>
    </row>
    <row r="122" spans="1:33" ht="10.5" hidden="1" customHeight="1" x14ac:dyDescent="0.2">
      <c r="A122" s="657"/>
      <c r="B122" s="657"/>
      <c r="C122" s="657"/>
      <c r="D122" s="657"/>
      <c r="E122" s="657"/>
      <c r="F122" s="657"/>
      <c r="G122" s="657"/>
      <c r="H122" s="657"/>
      <c r="I122" s="657"/>
      <c r="L122" s="657"/>
      <c r="AA122" s="737"/>
      <c r="AB122" s="737"/>
      <c r="AC122" s="737"/>
      <c r="AD122" s="737"/>
      <c r="AE122" s="737"/>
      <c r="AF122" s="737"/>
      <c r="AG122" s="737"/>
    </row>
    <row r="123" spans="1:33" ht="10.5" hidden="1" customHeight="1" x14ac:dyDescent="0.2">
      <c r="A123" s="657"/>
      <c r="B123" s="657"/>
      <c r="C123" s="657"/>
      <c r="D123" s="657"/>
      <c r="E123" s="657"/>
      <c r="F123" s="657"/>
      <c r="G123" s="657"/>
      <c r="H123" s="657"/>
      <c r="I123" s="657"/>
      <c r="L123" s="657"/>
      <c r="AA123" s="737"/>
      <c r="AB123" s="737"/>
      <c r="AC123" s="737"/>
      <c r="AD123" s="737"/>
      <c r="AE123" s="737"/>
      <c r="AF123" s="737"/>
      <c r="AG123" s="737"/>
    </row>
    <row r="124" spans="1:33" ht="10.5" customHeight="1" x14ac:dyDescent="0.2">
      <c r="A124" s="657"/>
      <c r="B124" s="657"/>
      <c r="C124" s="657"/>
      <c r="D124" s="657"/>
      <c r="E124" s="657"/>
      <c r="F124" s="657"/>
      <c r="G124" s="657"/>
      <c r="H124" s="657"/>
      <c r="I124" s="657"/>
      <c r="L124" s="657"/>
      <c r="AA124" s="659"/>
      <c r="AB124" s="659"/>
      <c r="AC124" s="659"/>
      <c r="AD124" s="659"/>
      <c r="AE124" s="659"/>
      <c r="AF124" s="659"/>
      <c r="AG124" s="657"/>
    </row>
    <row r="125" spans="1:33" ht="10.5" customHeight="1" x14ac:dyDescent="0.2">
      <c r="A125" s="657"/>
      <c r="B125" s="657"/>
      <c r="C125" s="657"/>
      <c r="D125" s="657"/>
      <c r="E125" s="657"/>
      <c r="F125" s="657"/>
      <c r="G125" s="657"/>
      <c r="H125" s="657"/>
      <c r="I125" s="657"/>
      <c r="L125" s="657"/>
      <c r="AA125" s="659"/>
      <c r="AB125" s="659"/>
      <c r="AC125" s="659"/>
      <c r="AD125" s="659"/>
      <c r="AE125" s="659"/>
      <c r="AF125" s="659"/>
      <c r="AG125" s="657"/>
    </row>
    <row r="126" spans="1:33" ht="10.5" customHeight="1" x14ac:dyDescent="0.2">
      <c r="A126" s="657"/>
      <c r="B126" s="657"/>
      <c r="C126" s="657"/>
      <c r="D126" s="657"/>
      <c r="E126" s="657"/>
      <c r="F126" s="657"/>
      <c r="G126" s="657"/>
      <c r="H126" s="657"/>
      <c r="I126" s="657"/>
      <c r="L126" s="657"/>
      <c r="AA126" s="659"/>
      <c r="AB126" s="659"/>
      <c r="AC126" s="659"/>
      <c r="AD126" s="659"/>
      <c r="AE126" s="659"/>
      <c r="AF126" s="659"/>
      <c r="AG126" s="657"/>
    </row>
    <row r="127" spans="1:33" ht="10.5" customHeight="1" x14ac:dyDescent="0.2">
      <c r="A127" s="657"/>
      <c r="B127" s="657"/>
      <c r="C127" s="657"/>
      <c r="D127" s="657"/>
      <c r="E127" s="657"/>
      <c r="F127" s="657"/>
      <c r="G127" s="657"/>
      <c r="H127" s="657"/>
      <c r="I127" s="657"/>
      <c r="L127" s="657"/>
      <c r="AA127" s="659"/>
      <c r="AB127" s="659"/>
      <c r="AC127" s="659"/>
      <c r="AD127" s="659"/>
      <c r="AE127" s="659"/>
      <c r="AF127" s="659"/>
      <c r="AG127" s="657"/>
    </row>
    <row r="128" spans="1:33" ht="10.5" customHeight="1" x14ac:dyDescent="0.2">
      <c r="A128" s="657"/>
      <c r="B128" s="657"/>
      <c r="C128" s="657"/>
      <c r="D128" s="657"/>
      <c r="E128" s="657"/>
      <c r="F128" s="657"/>
      <c r="G128" s="657"/>
      <c r="H128" s="657"/>
      <c r="I128" s="657"/>
      <c r="L128" s="657"/>
      <c r="AA128" s="659"/>
      <c r="AB128" s="659"/>
      <c r="AC128" s="659"/>
      <c r="AD128" s="659"/>
      <c r="AE128" s="659"/>
      <c r="AF128" s="659"/>
      <c r="AG128" s="657"/>
    </row>
    <row r="129" spans="1:33" ht="10.5" customHeight="1" x14ac:dyDescent="0.2">
      <c r="A129" s="657"/>
      <c r="B129" s="657"/>
      <c r="C129" s="657"/>
      <c r="D129" s="657"/>
      <c r="E129" s="657"/>
      <c r="F129" s="657"/>
      <c r="G129" s="657"/>
      <c r="H129" s="657"/>
      <c r="I129" s="657"/>
      <c r="L129" s="657"/>
      <c r="AA129" s="659"/>
      <c r="AB129" s="659"/>
      <c r="AC129" s="659"/>
      <c r="AD129" s="659"/>
      <c r="AE129" s="659"/>
      <c r="AF129" s="659"/>
      <c r="AG129" s="657"/>
    </row>
    <row r="130" spans="1:33" ht="10.5" customHeight="1" x14ac:dyDescent="0.2">
      <c r="A130" s="657"/>
      <c r="B130" s="657"/>
      <c r="C130" s="657"/>
      <c r="D130" s="657"/>
      <c r="E130" s="657"/>
      <c r="F130" s="657"/>
      <c r="G130" s="657"/>
      <c r="H130" s="657"/>
      <c r="I130" s="657"/>
      <c r="L130" s="657"/>
      <c r="AA130" s="659"/>
      <c r="AB130" s="659"/>
      <c r="AC130" s="659"/>
      <c r="AD130" s="659"/>
      <c r="AE130" s="659"/>
      <c r="AF130" s="659"/>
      <c r="AG130" s="657"/>
    </row>
    <row r="131" spans="1:33" ht="10.5" customHeight="1" x14ac:dyDescent="0.2">
      <c r="A131" s="657"/>
      <c r="B131" s="657"/>
      <c r="C131" s="657"/>
      <c r="D131" s="657"/>
      <c r="E131" s="657"/>
      <c r="F131" s="657"/>
      <c r="G131" s="657"/>
      <c r="H131" s="657"/>
      <c r="I131" s="657"/>
      <c r="L131" s="657"/>
      <c r="AA131" s="659"/>
      <c r="AB131" s="659"/>
      <c r="AC131" s="659"/>
      <c r="AD131" s="659"/>
      <c r="AE131" s="659"/>
      <c r="AF131" s="659"/>
      <c r="AG131" s="657"/>
    </row>
    <row r="132" spans="1:33" ht="10.5" customHeight="1" x14ac:dyDescent="0.2">
      <c r="A132" s="657"/>
      <c r="B132" s="657"/>
      <c r="C132" s="657"/>
      <c r="D132" s="657"/>
      <c r="E132" s="657"/>
      <c r="F132" s="657"/>
      <c r="G132" s="657"/>
      <c r="H132" s="657"/>
      <c r="I132" s="657"/>
      <c r="L132" s="657"/>
      <c r="AA132" s="659"/>
      <c r="AB132" s="659"/>
      <c r="AC132" s="659"/>
      <c r="AD132" s="659"/>
      <c r="AE132" s="659"/>
      <c r="AF132" s="659"/>
      <c r="AG132" s="657"/>
    </row>
    <row r="133" spans="1:33" ht="10.5" customHeight="1" x14ac:dyDescent="0.2">
      <c r="A133" s="657"/>
      <c r="B133" s="657"/>
      <c r="C133" s="657"/>
      <c r="D133" s="657"/>
      <c r="E133" s="657"/>
      <c r="F133" s="657"/>
      <c r="G133" s="657"/>
      <c r="H133" s="657"/>
      <c r="I133" s="657"/>
      <c r="L133" s="657"/>
      <c r="AA133" s="659"/>
      <c r="AB133" s="659"/>
      <c r="AC133" s="659"/>
      <c r="AD133" s="659"/>
      <c r="AE133" s="659"/>
      <c r="AF133" s="659"/>
      <c r="AG133" s="657"/>
    </row>
    <row r="134" spans="1:33" ht="10.5" customHeight="1" x14ac:dyDescent="0.2">
      <c r="A134" s="657"/>
      <c r="B134" s="657"/>
      <c r="C134" s="657"/>
      <c r="D134" s="657"/>
      <c r="E134" s="657"/>
      <c r="F134" s="657"/>
      <c r="G134" s="657"/>
      <c r="H134" s="657"/>
      <c r="I134" s="657"/>
      <c r="L134" s="657"/>
      <c r="AA134" s="659"/>
      <c r="AB134" s="659"/>
      <c r="AC134" s="659"/>
      <c r="AD134" s="659"/>
      <c r="AE134" s="659"/>
      <c r="AF134" s="659"/>
      <c r="AG134" s="657"/>
    </row>
    <row r="135" spans="1:33" ht="10.5" customHeight="1" x14ac:dyDescent="0.2">
      <c r="A135" s="657"/>
      <c r="B135" s="657"/>
      <c r="C135" s="657"/>
      <c r="D135" s="657"/>
      <c r="E135" s="657"/>
      <c r="F135" s="657"/>
      <c r="G135" s="657"/>
      <c r="H135" s="657"/>
      <c r="I135" s="657"/>
      <c r="L135" s="657"/>
      <c r="AA135" s="659"/>
      <c r="AB135" s="659"/>
      <c r="AC135" s="659"/>
      <c r="AD135" s="659"/>
      <c r="AE135" s="659"/>
      <c r="AF135" s="659"/>
      <c r="AG135" s="657"/>
    </row>
    <row r="136" spans="1:33" ht="10.5" customHeight="1" x14ac:dyDescent="0.2">
      <c r="A136" s="657"/>
      <c r="B136" s="657"/>
      <c r="C136" s="657"/>
      <c r="D136" s="657"/>
      <c r="E136" s="657"/>
      <c r="F136" s="657"/>
      <c r="G136" s="657"/>
      <c r="H136" s="657"/>
      <c r="I136" s="657"/>
      <c r="L136" s="657"/>
      <c r="AA136" s="659"/>
      <c r="AB136" s="659"/>
      <c r="AC136" s="659"/>
      <c r="AD136" s="659"/>
      <c r="AE136" s="659"/>
      <c r="AF136" s="659"/>
      <c r="AG136" s="657"/>
    </row>
    <row r="137" spans="1:33" ht="10.5" customHeight="1" x14ac:dyDescent="0.2">
      <c r="A137" s="657"/>
      <c r="B137" s="657"/>
      <c r="C137" s="657"/>
      <c r="D137" s="657"/>
      <c r="E137" s="657"/>
      <c r="F137" s="657"/>
      <c r="G137" s="657"/>
      <c r="H137" s="657"/>
      <c r="I137" s="657"/>
      <c r="L137" s="657"/>
      <c r="AA137" s="659"/>
      <c r="AB137" s="659"/>
      <c r="AC137" s="659"/>
      <c r="AD137" s="659"/>
      <c r="AE137" s="659"/>
      <c r="AF137" s="659"/>
      <c r="AG137" s="657"/>
    </row>
    <row r="138" spans="1:33" ht="10.5" customHeight="1" x14ac:dyDescent="0.2">
      <c r="A138" s="657"/>
      <c r="B138" s="657"/>
      <c r="C138" s="657"/>
      <c r="D138" s="657"/>
      <c r="E138" s="657"/>
      <c r="F138" s="657"/>
      <c r="G138" s="657"/>
      <c r="H138" s="657"/>
      <c r="I138" s="657"/>
      <c r="L138" s="657"/>
      <c r="AA138" s="659"/>
      <c r="AB138" s="659"/>
      <c r="AC138" s="659"/>
      <c r="AD138" s="659"/>
      <c r="AE138" s="659"/>
      <c r="AF138" s="659"/>
      <c r="AG138" s="657"/>
    </row>
    <row r="139" spans="1:33" ht="10.5" customHeight="1" x14ac:dyDescent="0.2">
      <c r="A139" s="657"/>
      <c r="B139" s="657"/>
      <c r="C139" s="657"/>
      <c r="D139" s="657"/>
      <c r="E139" s="657"/>
      <c r="F139" s="657"/>
      <c r="G139" s="657"/>
      <c r="H139" s="657"/>
      <c r="I139" s="657"/>
      <c r="L139" s="657"/>
      <c r="AA139" s="659"/>
      <c r="AB139" s="659"/>
      <c r="AC139" s="659"/>
      <c r="AD139" s="659"/>
      <c r="AE139" s="659"/>
      <c r="AF139" s="659"/>
      <c r="AG139" s="657"/>
    </row>
    <row r="140" spans="1:33" ht="10.5" customHeight="1" x14ac:dyDescent="0.2">
      <c r="A140" s="657"/>
      <c r="B140" s="657"/>
      <c r="C140" s="657"/>
      <c r="D140" s="657"/>
      <c r="E140" s="657"/>
      <c r="F140" s="657"/>
      <c r="G140" s="657"/>
      <c r="H140" s="657"/>
      <c r="I140" s="657"/>
      <c r="L140" s="657"/>
      <c r="AA140" s="659"/>
      <c r="AB140" s="659"/>
      <c r="AC140" s="659"/>
      <c r="AD140" s="659"/>
      <c r="AE140" s="659"/>
      <c r="AF140" s="659"/>
      <c r="AG140" s="657"/>
    </row>
    <row r="141" spans="1:33" ht="10.5" customHeight="1" x14ac:dyDescent="0.2">
      <c r="A141" s="657"/>
      <c r="B141" s="657"/>
      <c r="C141" s="657"/>
      <c r="D141" s="657"/>
      <c r="E141" s="657"/>
      <c r="F141" s="657"/>
      <c r="G141" s="657"/>
      <c r="H141" s="657"/>
      <c r="I141" s="657"/>
      <c r="L141" s="657"/>
      <c r="AA141" s="659"/>
      <c r="AB141" s="659"/>
      <c r="AC141" s="659"/>
      <c r="AD141" s="659"/>
      <c r="AE141" s="659"/>
      <c r="AF141" s="659"/>
      <c r="AG141" s="657"/>
    </row>
    <row r="142" spans="1:33" ht="10.5" customHeight="1" x14ac:dyDescent="0.2">
      <c r="A142" s="657"/>
      <c r="B142" s="657"/>
      <c r="C142" s="657"/>
      <c r="D142" s="657"/>
      <c r="E142" s="657"/>
      <c r="F142" s="657"/>
      <c r="G142" s="657"/>
      <c r="H142" s="657"/>
      <c r="I142" s="657"/>
      <c r="L142" s="657"/>
      <c r="AA142" s="659"/>
      <c r="AB142" s="659"/>
      <c r="AC142" s="659"/>
      <c r="AD142" s="659"/>
      <c r="AE142" s="659"/>
      <c r="AF142" s="659"/>
      <c r="AG142" s="657"/>
    </row>
    <row r="143" spans="1:33" ht="10.5" customHeight="1" x14ac:dyDescent="0.2">
      <c r="A143" s="657"/>
      <c r="B143" s="657"/>
      <c r="C143" s="657"/>
      <c r="D143" s="657"/>
      <c r="E143" s="657"/>
      <c r="F143" s="657"/>
      <c r="G143" s="657"/>
      <c r="H143" s="657"/>
      <c r="I143" s="657"/>
      <c r="L143" s="657"/>
      <c r="AA143" s="659"/>
      <c r="AB143" s="659"/>
      <c r="AC143" s="659"/>
      <c r="AD143" s="659"/>
      <c r="AE143" s="659"/>
      <c r="AF143" s="659"/>
      <c r="AG143" s="657"/>
    </row>
    <row r="144" spans="1:33" ht="10.5" customHeight="1" x14ac:dyDescent="0.2">
      <c r="A144" s="657"/>
      <c r="B144" s="657"/>
      <c r="C144" s="657"/>
      <c r="D144" s="657"/>
      <c r="E144" s="657"/>
      <c r="F144" s="657"/>
      <c r="G144" s="657"/>
      <c r="H144" s="657"/>
      <c r="I144" s="657"/>
      <c r="L144" s="657"/>
      <c r="AA144" s="659"/>
      <c r="AB144" s="659"/>
      <c r="AC144" s="659"/>
      <c r="AD144" s="659"/>
      <c r="AE144" s="659"/>
      <c r="AF144" s="659"/>
      <c r="AG144" s="657"/>
    </row>
    <row r="145" spans="1:33" ht="10.5" customHeight="1" x14ac:dyDescent="0.2">
      <c r="A145" s="657"/>
      <c r="B145" s="657"/>
      <c r="C145" s="657"/>
      <c r="D145" s="657"/>
      <c r="E145" s="657"/>
      <c r="F145" s="657"/>
      <c r="G145" s="657"/>
      <c r="H145" s="657"/>
      <c r="I145" s="657"/>
      <c r="L145" s="657"/>
      <c r="AA145" s="659"/>
      <c r="AB145" s="659"/>
      <c r="AC145" s="659"/>
      <c r="AD145" s="659"/>
      <c r="AE145" s="659"/>
      <c r="AF145" s="659"/>
      <c r="AG145" s="657"/>
    </row>
    <row r="146" spans="1:33" ht="10.5" customHeight="1" x14ac:dyDescent="0.2">
      <c r="A146" s="657"/>
      <c r="B146" s="657"/>
      <c r="C146" s="657"/>
      <c r="D146" s="657"/>
      <c r="E146" s="657"/>
      <c r="F146" s="657"/>
      <c r="G146" s="657"/>
      <c r="H146" s="657"/>
      <c r="I146" s="657"/>
      <c r="L146" s="657"/>
      <c r="AA146" s="659"/>
      <c r="AB146" s="659"/>
      <c r="AC146" s="659"/>
      <c r="AD146" s="659"/>
      <c r="AE146" s="659"/>
      <c r="AF146" s="659"/>
      <c r="AG146" s="657"/>
    </row>
    <row r="147" spans="1:33" ht="10.5" customHeight="1" x14ac:dyDescent="0.2">
      <c r="A147" s="657"/>
      <c r="B147" s="657"/>
      <c r="C147" s="657"/>
      <c r="D147" s="657"/>
      <c r="E147" s="657"/>
      <c r="F147" s="657"/>
      <c r="G147" s="657"/>
      <c r="H147" s="657"/>
      <c r="I147" s="657"/>
      <c r="L147" s="657"/>
      <c r="AA147" s="659"/>
      <c r="AB147" s="659"/>
      <c r="AC147" s="659"/>
      <c r="AD147" s="659"/>
      <c r="AE147" s="659"/>
      <c r="AF147" s="659"/>
      <c r="AG147" s="657"/>
    </row>
    <row r="148" spans="1:33" ht="10.5" customHeight="1" x14ac:dyDescent="0.2">
      <c r="A148" s="657"/>
      <c r="B148" s="657"/>
      <c r="C148" s="657"/>
      <c r="D148" s="657"/>
      <c r="E148" s="657"/>
      <c r="F148" s="657"/>
      <c r="G148" s="657"/>
      <c r="H148" s="657"/>
      <c r="I148" s="657"/>
      <c r="L148" s="657"/>
      <c r="AA148" s="659"/>
      <c r="AB148" s="659"/>
      <c r="AC148" s="659"/>
      <c r="AD148" s="659"/>
      <c r="AE148" s="659"/>
      <c r="AF148" s="659"/>
      <c r="AG148" s="657"/>
    </row>
    <row r="149" spans="1:33" ht="10.5" customHeight="1" x14ac:dyDescent="0.2">
      <c r="A149" s="657"/>
      <c r="B149" s="657"/>
      <c r="C149" s="657"/>
      <c r="D149" s="657"/>
      <c r="E149" s="657"/>
      <c r="F149" s="657"/>
      <c r="G149" s="657"/>
      <c r="H149" s="657"/>
      <c r="I149" s="657"/>
      <c r="L149" s="657"/>
      <c r="AA149" s="659"/>
      <c r="AB149" s="659"/>
      <c r="AC149" s="659"/>
      <c r="AD149" s="659"/>
      <c r="AE149" s="659"/>
      <c r="AF149" s="659"/>
      <c r="AG149" s="657"/>
    </row>
    <row r="150" spans="1:33" ht="10.5" customHeight="1" x14ac:dyDescent="0.2">
      <c r="A150" s="657"/>
      <c r="B150" s="657"/>
      <c r="C150" s="657"/>
      <c r="D150" s="657"/>
      <c r="E150" s="657"/>
      <c r="F150" s="657"/>
      <c r="G150" s="657"/>
      <c r="H150" s="657"/>
      <c r="I150" s="657"/>
      <c r="L150" s="657"/>
      <c r="AA150" s="659"/>
      <c r="AB150" s="659"/>
      <c r="AC150" s="659"/>
      <c r="AD150" s="659"/>
      <c r="AE150" s="659"/>
      <c r="AF150" s="659"/>
      <c r="AG150" s="657"/>
    </row>
    <row r="151" spans="1:33" ht="10.5" customHeight="1" x14ac:dyDescent="0.2">
      <c r="A151" s="657"/>
      <c r="B151" s="657"/>
      <c r="C151" s="657"/>
      <c r="D151" s="657"/>
      <c r="E151" s="657"/>
      <c r="F151" s="657"/>
      <c r="G151" s="657"/>
      <c r="H151" s="657"/>
      <c r="I151" s="657"/>
      <c r="L151" s="657"/>
      <c r="AA151" s="659"/>
      <c r="AB151" s="659"/>
      <c r="AC151" s="659"/>
      <c r="AD151" s="659"/>
      <c r="AE151" s="659"/>
      <c r="AF151" s="659"/>
      <c r="AG151" s="657"/>
    </row>
    <row r="152" spans="1:33" ht="10.5" customHeight="1" x14ac:dyDescent="0.2">
      <c r="A152" s="657"/>
      <c r="B152" s="657"/>
      <c r="C152" s="657"/>
      <c r="D152" s="657"/>
      <c r="E152" s="657"/>
      <c r="F152" s="657"/>
      <c r="G152" s="657"/>
      <c r="H152" s="657"/>
      <c r="I152" s="657"/>
      <c r="L152" s="657"/>
      <c r="AA152" s="659"/>
      <c r="AB152" s="659"/>
      <c r="AC152" s="659"/>
      <c r="AD152" s="659"/>
      <c r="AE152" s="659"/>
      <c r="AF152" s="659"/>
      <c r="AG152" s="657"/>
    </row>
    <row r="153" spans="1:33" ht="10.5" customHeight="1" x14ac:dyDescent="0.2">
      <c r="A153" s="657"/>
      <c r="B153" s="657"/>
      <c r="C153" s="657"/>
      <c r="D153" s="657"/>
      <c r="E153" s="657"/>
      <c r="F153" s="657"/>
      <c r="G153" s="657"/>
      <c r="H153" s="657"/>
      <c r="I153" s="657"/>
      <c r="L153" s="657"/>
      <c r="AA153" s="659"/>
      <c r="AB153" s="659"/>
      <c r="AC153" s="659"/>
      <c r="AD153" s="659"/>
      <c r="AE153" s="659"/>
      <c r="AF153" s="659"/>
      <c r="AG153" s="657"/>
    </row>
    <row r="154" spans="1:33" ht="10.5" customHeight="1" x14ac:dyDescent="0.2">
      <c r="A154" s="657"/>
      <c r="B154" s="657"/>
      <c r="C154" s="657"/>
      <c r="D154" s="657"/>
      <c r="E154" s="657"/>
      <c r="F154" s="657"/>
      <c r="G154" s="657"/>
      <c r="H154" s="657"/>
      <c r="I154" s="657"/>
      <c r="L154" s="657"/>
      <c r="AA154" s="659"/>
      <c r="AB154" s="659"/>
      <c r="AC154" s="659"/>
      <c r="AD154" s="659"/>
      <c r="AE154" s="659"/>
      <c r="AF154" s="659"/>
      <c r="AG154" s="657"/>
    </row>
    <row r="155" spans="1:33" ht="10.5" customHeight="1" x14ac:dyDescent="0.2">
      <c r="A155" s="657"/>
      <c r="B155" s="657"/>
      <c r="C155" s="657"/>
      <c r="D155" s="657"/>
      <c r="E155" s="657"/>
      <c r="F155" s="657"/>
      <c r="G155" s="657"/>
      <c r="H155" s="657"/>
      <c r="I155" s="657"/>
      <c r="L155" s="657"/>
      <c r="AA155" s="659"/>
      <c r="AB155" s="659"/>
      <c r="AC155" s="659"/>
      <c r="AD155" s="659"/>
      <c r="AE155" s="659"/>
      <c r="AF155" s="659"/>
      <c r="AG155" s="657"/>
    </row>
    <row r="156" spans="1:33" ht="10.5" customHeight="1" x14ac:dyDescent="0.2">
      <c r="A156" s="657"/>
      <c r="B156" s="657"/>
      <c r="C156" s="657"/>
      <c r="D156" s="657"/>
      <c r="E156" s="657"/>
      <c r="F156" s="657"/>
      <c r="G156" s="657"/>
      <c r="H156" s="657"/>
      <c r="I156" s="657"/>
      <c r="L156" s="657"/>
      <c r="AA156" s="659"/>
      <c r="AB156" s="659"/>
      <c r="AC156" s="659"/>
      <c r="AD156" s="659"/>
      <c r="AE156" s="659"/>
      <c r="AF156" s="659"/>
      <c r="AG156" s="657"/>
    </row>
    <row r="157" spans="1:33" ht="10.5" customHeight="1" x14ac:dyDescent="0.2">
      <c r="A157" s="657"/>
      <c r="B157" s="657"/>
      <c r="C157" s="657"/>
      <c r="D157" s="657"/>
      <c r="E157" s="657"/>
      <c r="F157" s="657"/>
      <c r="G157" s="657"/>
      <c r="H157" s="657"/>
      <c r="I157" s="657"/>
      <c r="L157" s="657"/>
      <c r="AA157" s="659"/>
      <c r="AB157" s="659"/>
      <c r="AC157" s="659"/>
      <c r="AD157" s="659"/>
      <c r="AE157" s="659"/>
      <c r="AF157" s="659"/>
      <c r="AG157" s="657"/>
    </row>
    <row r="158" spans="1:33" ht="10.5" customHeight="1" x14ac:dyDescent="0.2">
      <c r="A158" s="657"/>
      <c r="B158" s="657"/>
      <c r="C158" s="657"/>
      <c r="D158" s="657"/>
      <c r="E158" s="657"/>
      <c r="F158" s="657"/>
      <c r="G158" s="657"/>
      <c r="H158" s="657"/>
      <c r="I158" s="657"/>
      <c r="L158" s="657"/>
      <c r="AA158" s="659"/>
      <c r="AB158" s="659"/>
      <c r="AC158" s="659"/>
      <c r="AD158" s="659"/>
      <c r="AE158" s="659"/>
      <c r="AF158" s="659"/>
      <c r="AG158" s="657"/>
    </row>
    <row r="159" spans="1:33" ht="10.5" customHeight="1" x14ac:dyDescent="0.2">
      <c r="A159" s="657"/>
      <c r="B159" s="657"/>
      <c r="C159" s="657"/>
      <c r="D159" s="657"/>
      <c r="E159" s="657"/>
      <c r="F159" s="657"/>
      <c r="G159" s="657"/>
      <c r="H159" s="657"/>
      <c r="I159" s="657"/>
      <c r="L159" s="657"/>
      <c r="AA159" s="659"/>
      <c r="AB159" s="659"/>
      <c r="AC159" s="659"/>
      <c r="AD159" s="659"/>
      <c r="AE159" s="659"/>
      <c r="AF159" s="659"/>
      <c r="AG159" s="657"/>
    </row>
    <row r="160" spans="1:33" ht="10.5" customHeight="1" x14ac:dyDescent="0.2">
      <c r="A160" s="657"/>
      <c r="B160" s="657"/>
      <c r="C160" s="657"/>
      <c r="D160" s="657"/>
      <c r="E160" s="657"/>
      <c r="F160" s="657"/>
      <c r="G160" s="657"/>
      <c r="H160" s="657"/>
      <c r="I160" s="657"/>
      <c r="L160" s="657"/>
      <c r="AA160" s="659"/>
      <c r="AB160" s="659"/>
      <c r="AC160" s="659"/>
      <c r="AD160" s="659"/>
      <c r="AE160" s="659"/>
      <c r="AF160" s="659"/>
      <c r="AG160" s="657"/>
    </row>
    <row r="161" spans="1:33" ht="10.5" customHeight="1" x14ac:dyDescent="0.2">
      <c r="A161" s="657"/>
      <c r="B161" s="657"/>
      <c r="C161" s="657"/>
      <c r="D161" s="657"/>
      <c r="E161" s="657"/>
      <c r="F161" s="657"/>
      <c r="G161" s="657"/>
      <c r="H161" s="657"/>
      <c r="I161" s="657"/>
      <c r="L161" s="657"/>
      <c r="AA161" s="659"/>
      <c r="AB161" s="659"/>
      <c r="AC161" s="659"/>
      <c r="AD161" s="659"/>
      <c r="AE161" s="659"/>
      <c r="AF161" s="659"/>
      <c r="AG161" s="657"/>
    </row>
    <row r="162" spans="1:33" ht="10.5" customHeight="1" x14ac:dyDescent="0.2">
      <c r="A162" s="657"/>
      <c r="B162" s="657"/>
      <c r="C162" s="657"/>
      <c r="D162" s="657"/>
      <c r="E162" s="657"/>
      <c r="F162" s="657"/>
      <c r="G162" s="657"/>
      <c r="H162" s="657"/>
      <c r="I162" s="657"/>
      <c r="L162" s="657"/>
      <c r="AA162" s="659"/>
      <c r="AB162" s="659"/>
      <c r="AC162" s="659"/>
      <c r="AD162" s="659"/>
      <c r="AE162" s="659"/>
      <c r="AF162" s="659"/>
      <c r="AG162" s="657"/>
    </row>
    <row r="163" spans="1:33" ht="10.5" customHeight="1" x14ac:dyDescent="0.2">
      <c r="A163" s="657"/>
      <c r="B163" s="657"/>
      <c r="C163" s="657"/>
      <c r="D163" s="657"/>
      <c r="E163" s="657"/>
      <c r="F163" s="657"/>
      <c r="G163" s="657"/>
      <c r="H163" s="657"/>
      <c r="I163" s="657"/>
      <c r="L163" s="657"/>
      <c r="AA163" s="659"/>
      <c r="AB163" s="659"/>
      <c r="AC163" s="659"/>
      <c r="AD163" s="659"/>
      <c r="AE163" s="659"/>
      <c r="AF163" s="659"/>
      <c r="AG163" s="657"/>
    </row>
    <row r="164" spans="1:33" ht="10.5" customHeight="1" x14ac:dyDescent="0.2">
      <c r="A164" s="657"/>
      <c r="B164" s="657"/>
      <c r="C164" s="657"/>
      <c r="D164" s="657"/>
      <c r="E164" s="657"/>
      <c r="F164" s="657"/>
      <c r="G164" s="657"/>
      <c r="H164" s="657"/>
      <c r="I164" s="657"/>
      <c r="L164" s="657"/>
      <c r="AA164" s="659"/>
      <c r="AB164" s="659"/>
      <c r="AC164" s="659"/>
      <c r="AD164" s="659"/>
      <c r="AE164" s="659"/>
      <c r="AF164" s="659"/>
      <c r="AG164" s="657"/>
    </row>
    <row r="165" spans="1:33" ht="10.5" customHeight="1" x14ac:dyDescent="0.2">
      <c r="A165" s="657"/>
      <c r="B165" s="657"/>
      <c r="C165" s="657"/>
      <c r="D165" s="657"/>
      <c r="E165" s="657"/>
      <c r="F165" s="657"/>
      <c r="G165" s="657"/>
      <c r="H165" s="657"/>
      <c r="I165" s="657"/>
      <c r="L165" s="657"/>
      <c r="AA165" s="659"/>
      <c r="AB165" s="659"/>
      <c r="AC165" s="659"/>
      <c r="AD165" s="659"/>
      <c r="AE165" s="659"/>
      <c r="AF165" s="659"/>
      <c r="AG165" s="657"/>
    </row>
    <row r="166" spans="1:33" ht="10.5" customHeight="1" x14ac:dyDescent="0.2">
      <c r="A166" s="657"/>
      <c r="B166" s="657"/>
      <c r="C166" s="657"/>
      <c r="D166" s="657"/>
      <c r="E166" s="657"/>
      <c r="F166" s="657"/>
      <c r="G166" s="657"/>
      <c r="H166" s="657"/>
      <c r="I166" s="657"/>
      <c r="L166" s="657"/>
      <c r="AA166" s="659"/>
      <c r="AB166" s="659"/>
      <c r="AC166" s="659"/>
      <c r="AD166" s="659"/>
      <c r="AE166" s="659"/>
      <c r="AF166" s="659"/>
      <c r="AG166" s="657"/>
    </row>
    <row r="167" spans="1:33" ht="10.5" customHeight="1" x14ac:dyDescent="0.2">
      <c r="A167" s="657"/>
      <c r="B167" s="657"/>
      <c r="C167" s="657"/>
      <c r="D167" s="657"/>
      <c r="E167" s="657"/>
      <c r="F167" s="657"/>
      <c r="G167" s="657"/>
      <c r="H167" s="657"/>
      <c r="I167" s="657"/>
      <c r="L167" s="657"/>
      <c r="AA167" s="659"/>
      <c r="AB167" s="659"/>
      <c r="AC167" s="659"/>
      <c r="AD167" s="659"/>
      <c r="AE167" s="659"/>
      <c r="AF167" s="659"/>
      <c r="AG167" s="657"/>
    </row>
    <row r="168" spans="1:33" ht="10.5" customHeight="1" x14ac:dyDescent="0.2">
      <c r="A168" s="657"/>
      <c r="B168" s="657"/>
      <c r="C168" s="657"/>
      <c r="D168" s="657"/>
      <c r="E168" s="657"/>
      <c r="F168" s="657"/>
      <c r="G168" s="657"/>
      <c r="H168" s="657"/>
      <c r="I168" s="657"/>
      <c r="L168" s="657"/>
      <c r="AA168" s="659"/>
      <c r="AB168" s="659"/>
      <c r="AC168" s="659"/>
      <c r="AD168" s="659"/>
      <c r="AE168" s="659"/>
      <c r="AF168" s="659"/>
      <c r="AG168" s="657"/>
    </row>
    <row r="169" spans="1:33" ht="10.5" customHeight="1" x14ac:dyDescent="0.2">
      <c r="A169" s="657"/>
      <c r="B169" s="657"/>
      <c r="C169" s="657"/>
      <c r="D169" s="657"/>
      <c r="E169" s="657"/>
      <c r="F169" s="657"/>
      <c r="G169" s="657"/>
      <c r="H169" s="657"/>
      <c r="I169" s="657"/>
      <c r="L169" s="657"/>
      <c r="AA169" s="659"/>
      <c r="AB169" s="659"/>
      <c r="AC169" s="659"/>
      <c r="AD169" s="659"/>
      <c r="AE169" s="659"/>
      <c r="AF169" s="659"/>
      <c r="AG169" s="657"/>
    </row>
    <row r="170" spans="1:33" ht="10.5" customHeight="1" x14ac:dyDescent="0.2">
      <c r="A170" s="657"/>
      <c r="B170" s="657"/>
      <c r="C170" s="657"/>
      <c r="D170" s="657"/>
      <c r="E170" s="657"/>
      <c r="F170" s="657"/>
      <c r="G170" s="657"/>
      <c r="H170" s="657"/>
      <c r="I170" s="657"/>
      <c r="L170" s="657"/>
      <c r="AA170" s="659"/>
      <c r="AB170" s="659"/>
      <c r="AC170" s="659"/>
      <c r="AD170" s="659"/>
      <c r="AE170" s="659"/>
      <c r="AF170" s="659"/>
      <c r="AG170" s="657"/>
    </row>
    <row r="171" spans="1:33" ht="10.5" customHeight="1" x14ac:dyDescent="0.2">
      <c r="A171" s="657"/>
      <c r="B171" s="657"/>
      <c r="C171" s="657"/>
      <c r="D171" s="657"/>
      <c r="E171" s="657"/>
      <c r="F171" s="657"/>
      <c r="G171" s="657"/>
      <c r="H171" s="657"/>
      <c r="I171" s="657"/>
      <c r="L171" s="657"/>
      <c r="AA171" s="659"/>
      <c r="AB171" s="659"/>
      <c r="AC171" s="659"/>
      <c r="AD171" s="659"/>
      <c r="AE171" s="659"/>
      <c r="AF171" s="659"/>
      <c r="AG171" s="657"/>
    </row>
    <row r="172" spans="1:33" ht="10.5" customHeight="1" x14ac:dyDescent="0.2">
      <c r="A172" s="657"/>
      <c r="B172" s="657"/>
      <c r="C172" s="657"/>
      <c r="D172" s="657"/>
      <c r="E172" s="657"/>
      <c r="F172" s="657"/>
      <c r="G172" s="657"/>
      <c r="H172" s="657"/>
      <c r="I172" s="657"/>
      <c r="L172" s="657"/>
      <c r="AA172" s="659"/>
      <c r="AB172" s="659"/>
      <c r="AC172" s="659"/>
      <c r="AD172" s="659"/>
      <c r="AE172" s="659"/>
      <c r="AF172" s="659"/>
      <c r="AG172" s="657"/>
    </row>
    <row r="173" spans="1:33" ht="10.5" customHeight="1" x14ac:dyDescent="0.2">
      <c r="A173" s="657"/>
      <c r="B173" s="657"/>
      <c r="C173" s="657"/>
      <c r="D173" s="657"/>
      <c r="E173" s="657"/>
      <c r="F173" s="657"/>
      <c r="G173" s="657"/>
      <c r="H173" s="657"/>
      <c r="I173" s="657"/>
      <c r="L173" s="657"/>
      <c r="AA173" s="659"/>
      <c r="AB173" s="659"/>
      <c r="AC173" s="659"/>
      <c r="AD173" s="659"/>
      <c r="AE173" s="659"/>
      <c r="AF173" s="659"/>
      <c r="AG173" s="657"/>
    </row>
    <row r="174" spans="1:33" ht="10.5" customHeight="1" x14ac:dyDescent="0.2">
      <c r="A174" s="657"/>
      <c r="B174" s="657"/>
      <c r="C174" s="657"/>
      <c r="D174" s="657"/>
      <c r="E174" s="657"/>
      <c r="F174" s="657"/>
      <c r="G174" s="657"/>
      <c r="H174" s="657"/>
      <c r="I174" s="657"/>
      <c r="L174" s="657"/>
      <c r="AA174" s="659"/>
      <c r="AB174" s="659"/>
      <c r="AC174" s="659"/>
      <c r="AD174" s="659"/>
      <c r="AE174" s="659"/>
      <c r="AF174" s="659"/>
      <c r="AG174" s="657"/>
    </row>
    <row r="175" spans="1:33" ht="10.5" customHeight="1" x14ac:dyDescent="0.2">
      <c r="A175" s="657"/>
      <c r="B175" s="657"/>
      <c r="C175" s="657"/>
      <c r="D175" s="657"/>
      <c r="E175" s="657"/>
      <c r="F175" s="657"/>
      <c r="G175" s="657"/>
      <c r="H175" s="657"/>
      <c r="I175" s="657"/>
      <c r="L175" s="657"/>
      <c r="AA175" s="659"/>
      <c r="AB175" s="659"/>
      <c r="AC175" s="659"/>
      <c r="AD175" s="659"/>
      <c r="AE175" s="659"/>
      <c r="AF175" s="659"/>
      <c r="AG175" s="657"/>
    </row>
    <row r="176" spans="1:33" ht="10.5" customHeight="1" x14ac:dyDescent="0.2">
      <c r="A176" s="657"/>
      <c r="B176" s="657"/>
      <c r="C176" s="657"/>
      <c r="D176" s="657"/>
      <c r="E176" s="657"/>
      <c r="F176" s="657"/>
      <c r="G176" s="657"/>
      <c r="H176" s="657"/>
      <c r="I176" s="657"/>
      <c r="L176" s="657"/>
      <c r="AA176" s="659"/>
      <c r="AB176" s="659"/>
      <c r="AC176" s="659"/>
      <c r="AD176" s="659"/>
      <c r="AE176" s="659"/>
      <c r="AF176" s="659"/>
      <c r="AG176" s="657"/>
    </row>
    <row r="177" spans="1:33" ht="10.5" customHeight="1" x14ac:dyDescent="0.2">
      <c r="A177" s="657"/>
      <c r="B177" s="657"/>
      <c r="C177" s="657"/>
      <c r="D177" s="657"/>
      <c r="E177" s="657"/>
      <c r="F177" s="657"/>
      <c r="G177" s="657"/>
      <c r="H177" s="657"/>
      <c r="I177" s="657"/>
      <c r="L177" s="657"/>
      <c r="AA177" s="659"/>
      <c r="AB177" s="659"/>
      <c r="AC177" s="659"/>
      <c r="AD177" s="659"/>
      <c r="AE177" s="659"/>
      <c r="AF177" s="659"/>
      <c r="AG177" s="657"/>
    </row>
    <row r="178" spans="1:33" ht="10.5" customHeight="1" x14ac:dyDescent="0.2">
      <c r="A178" s="657"/>
      <c r="B178" s="657"/>
      <c r="C178" s="657"/>
      <c r="D178" s="657"/>
      <c r="E178" s="657"/>
      <c r="F178" s="657"/>
      <c r="G178" s="657"/>
      <c r="H178" s="657"/>
      <c r="I178" s="657"/>
      <c r="L178" s="657"/>
      <c r="AA178" s="659"/>
      <c r="AB178" s="659"/>
      <c r="AC178" s="659"/>
      <c r="AD178" s="659"/>
      <c r="AE178" s="659"/>
      <c r="AF178" s="659"/>
      <c r="AG178" s="657"/>
    </row>
    <row r="179" spans="1:33" ht="10.5" customHeight="1" x14ac:dyDescent="0.2">
      <c r="A179" s="657"/>
      <c r="B179" s="657"/>
      <c r="C179" s="657"/>
      <c r="D179" s="657"/>
      <c r="E179" s="657"/>
      <c r="F179" s="657"/>
      <c r="G179" s="657"/>
      <c r="H179" s="657"/>
      <c r="I179" s="657"/>
      <c r="L179" s="657"/>
      <c r="AA179" s="659"/>
      <c r="AB179" s="659"/>
      <c r="AC179" s="659"/>
      <c r="AD179" s="659"/>
      <c r="AE179" s="659"/>
      <c r="AF179" s="659"/>
      <c r="AG179" s="657"/>
    </row>
    <row r="180" spans="1:33" ht="10.5" customHeight="1" x14ac:dyDescent="0.2">
      <c r="A180" s="657"/>
      <c r="B180" s="657"/>
      <c r="C180" s="657"/>
      <c r="D180" s="657"/>
      <c r="E180" s="657"/>
      <c r="F180" s="657"/>
      <c r="G180" s="657"/>
      <c r="H180" s="657"/>
      <c r="I180" s="657"/>
      <c r="L180" s="657"/>
      <c r="AA180" s="659"/>
      <c r="AB180" s="659"/>
      <c r="AC180" s="659"/>
      <c r="AD180" s="659"/>
      <c r="AE180" s="659"/>
      <c r="AF180" s="659"/>
      <c r="AG180" s="657"/>
    </row>
    <row r="181" spans="1:33" ht="10.5" customHeight="1" x14ac:dyDescent="0.2">
      <c r="A181" s="657"/>
      <c r="B181" s="657"/>
      <c r="C181" s="657"/>
      <c r="D181" s="657"/>
      <c r="E181" s="657"/>
      <c r="F181" s="657"/>
      <c r="G181" s="657"/>
      <c r="H181" s="657"/>
      <c r="I181" s="657"/>
      <c r="L181" s="657"/>
      <c r="AA181" s="659"/>
      <c r="AB181" s="659"/>
      <c r="AC181" s="659"/>
      <c r="AD181" s="659"/>
      <c r="AE181" s="659"/>
      <c r="AF181" s="659"/>
      <c r="AG181" s="657"/>
    </row>
    <row r="182" spans="1:33" ht="10.5" customHeight="1" x14ac:dyDescent="0.2">
      <c r="A182" s="657"/>
      <c r="B182" s="657"/>
      <c r="C182" s="657"/>
      <c r="D182" s="657"/>
      <c r="E182" s="657"/>
      <c r="F182" s="657"/>
      <c r="G182" s="657"/>
      <c r="H182" s="657"/>
      <c r="I182" s="657"/>
      <c r="L182" s="657"/>
      <c r="AA182" s="659"/>
      <c r="AB182" s="659"/>
      <c r="AC182" s="659"/>
      <c r="AD182" s="659"/>
      <c r="AE182" s="659"/>
      <c r="AF182" s="659"/>
      <c r="AG182" s="657"/>
    </row>
    <row r="183" spans="1:33" ht="10.5" customHeight="1" x14ac:dyDescent="0.2">
      <c r="A183" s="657"/>
      <c r="B183" s="657"/>
      <c r="C183" s="657"/>
      <c r="D183" s="657"/>
      <c r="E183" s="657"/>
      <c r="F183" s="657"/>
      <c r="G183" s="657"/>
      <c r="H183" s="657"/>
      <c r="I183" s="657"/>
      <c r="L183" s="657"/>
      <c r="AA183" s="659"/>
      <c r="AB183" s="659"/>
      <c r="AC183" s="659"/>
      <c r="AD183" s="659"/>
      <c r="AE183" s="659"/>
      <c r="AF183" s="659"/>
      <c r="AG183" s="657"/>
    </row>
    <row r="184" spans="1:33" ht="10.5" customHeight="1" x14ac:dyDescent="0.2">
      <c r="A184" s="657"/>
      <c r="B184" s="657"/>
      <c r="C184" s="657"/>
      <c r="D184" s="657"/>
      <c r="E184" s="657"/>
      <c r="F184" s="657"/>
      <c r="G184" s="657"/>
      <c r="H184" s="657"/>
      <c r="I184" s="657"/>
      <c r="L184" s="657"/>
      <c r="AA184" s="659"/>
      <c r="AB184" s="659"/>
      <c r="AC184" s="659"/>
      <c r="AD184" s="659"/>
      <c r="AE184" s="659"/>
      <c r="AF184" s="659"/>
      <c r="AG184" s="657"/>
    </row>
    <row r="185" spans="1:33" ht="10.5" customHeight="1" x14ac:dyDescent="0.2">
      <c r="A185" s="657"/>
      <c r="B185" s="657"/>
      <c r="C185" s="657"/>
      <c r="D185" s="657"/>
      <c r="E185" s="657"/>
      <c r="F185" s="657"/>
      <c r="G185" s="657"/>
      <c r="H185" s="657"/>
      <c r="I185" s="657"/>
      <c r="L185" s="657"/>
      <c r="AA185" s="659"/>
      <c r="AB185" s="659"/>
      <c r="AC185" s="659"/>
      <c r="AD185" s="659"/>
      <c r="AE185" s="659"/>
      <c r="AF185" s="659"/>
      <c r="AG185" s="657"/>
    </row>
    <row r="186" spans="1:33" ht="10.5" customHeight="1" x14ac:dyDescent="0.2">
      <c r="A186" s="657"/>
      <c r="B186" s="657"/>
      <c r="C186" s="657"/>
      <c r="D186" s="657"/>
      <c r="E186" s="657"/>
      <c r="F186" s="657"/>
      <c r="G186" s="657"/>
      <c r="H186" s="657"/>
      <c r="I186" s="657"/>
      <c r="L186" s="657"/>
      <c r="AA186" s="659"/>
      <c r="AB186" s="659"/>
      <c r="AC186" s="659"/>
      <c r="AD186" s="659"/>
      <c r="AE186" s="659"/>
      <c r="AF186" s="659"/>
      <c r="AG186" s="657"/>
    </row>
    <row r="187" spans="1:33" ht="10.5" customHeight="1" x14ac:dyDescent="0.2">
      <c r="A187" s="657"/>
      <c r="B187" s="657"/>
      <c r="C187" s="657"/>
      <c r="D187" s="657"/>
      <c r="E187" s="657"/>
      <c r="F187" s="657"/>
      <c r="G187" s="657"/>
      <c r="H187" s="657"/>
      <c r="I187" s="657"/>
      <c r="L187" s="657"/>
      <c r="AA187" s="659"/>
      <c r="AB187" s="659"/>
      <c r="AC187" s="659"/>
      <c r="AD187" s="659"/>
      <c r="AE187" s="659"/>
      <c r="AF187" s="659"/>
      <c r="AG187" s="657"/>
    </row>
    <row r="188" spans="1:33" ht="10.5" customHeight="1" x14ac:dyDescent="0.2">
      <c r="A188" s="657"/>
      <c r="B188" s="657"/>
      <c r="C188" s="657"/>
      <c r="D188" s="657"/>
      <c r="E188" s="657"/>
      <c r="F188" s="657"/>
      <c r="G188" s="657"/>
      <c r="H188" s="657"/>
      <c r="I188" s="657"/>
      <c r="L188" s="657"/>
      <c r="AA188" s="659"/>
      <c r="AB188" s="659"/>
      <c r="AC188" s="659"/>
      <c r="AD188" s="659"/>
      <c r="AE188" s="659"/>
      <c r="AF188" s="659"/>
      <c r="AG188" s="657"/>
    </row>
    <row r="189" spans="1:33" ht="10.5" customHeight="1" x14ac:dyDescent="0.2">
      <c r="A189" s="657"/>
      <c r="B189" s="657"/>
      <c r="C189" s="657"/>
      <c r="D189" s="657"/>
      <c r="E189" s="657"/>
      <c r="F189" s="657"/>
      <c r="G189" s="657"/>
      <c r="H189" s="657"/>
      <c r="I189" s="657"/>
      <c r="L189" s="657"/>
      <c r="AA189" s="659"/>
      <c r="AB189" s="659"/>
      <c r="AC189" s="659"/>
      <c r="AD189" s="659"/>
      <c r="AE189" s="659"/>
      <c r="AF189" s="659"/>
      <c r="AG189" s="657"/>
    </row>
    <row r="190" spans="1:33" ht="10.5" customHeight="1" x14ac:dyDescent="0.2">
      <c r="A190" s="657"/>
      <c r="B190" s="657"/>
      <c r="C190" s="657"/>
      <c r="D190" s="657"/>
      <c r="E190" s="657"/>
      <c r="F190" s="657"/>
      <c r="G190" s="657"/>
      <c r="H190" s="657"/>
      <c r="I190" s="657"/>
      <c r="L190" s="657"/>
      <c r="AA190" s="659"/>
      <c r="AB190" s="659"/>
      <c r="AC190" s="659"/>
      <c r="AD190" s="659"/>
      <c r="AE190" s="659"/>
      <c r="AF190" s="659"/>
      <c r="AG190" s="657"/>
    </row>
    <row r="191" spans="1:33" ht="10.5" customHeight="1" x14ac:dyDescent="0.2">
      <c r="A191" s="657"/>
      <c r="B191" s="657"/>
      <c r="C191" s="657"/>
      <c r="D191" s="657"/>
      <c r="E191" s="657"/>
      <c r="F191" s="657"/>
      <c r="G191" s="657"/>
      <c r="H191" s="657"/>
      <c r="I191" s="657"/>
      <c r="L191" s="657"/>
      <c r="AA191" s="659"/>
      <c r="AB191" s="659"/>
      <c r="AC191" s="659"/>
      <c r="AD191" s="659"/>
      <c r="AE191" s="659"/>
      <c r="AF191" s="659"/>
      <c r="AG191" s="657"/>
    </row>
    <row r="192" spans="1:33" ht="10.5" customHeight="1" x14ac:dyDescent="0.2">
      <c r="A192" s="657"/>
      <c r="B192" s="657"/>
      <c r="C192" s="657"/>
      <c r="D192" s="657"/>
      <c r="E192" s="657"/>
      <c r="F192" s="657"/>
      <c r="G192" s="657"/>
      <c r="H192" s="657"/>
      <c r="I192" s="657"/>
      <c r="L192" s="657"/>
      <c r="AA192" s="659"/>
      <c r="AB192" s="659"/>
      <c r="AC192" s="659"/>
      <c r="AD192" s="659"/>
      <c r="AE192" s="659"/>
      <c r="AF192" s="659"/>
      <c r="AG192" s="657"/>
    </row>
    <row r="193" spans="1:33" ht="10.5" customHeight="1" x14ac:dyDescent="0.2">
      <c r="A193" s="657"/>
      <c r="B193" s="657"/>
      <c r="C193" s="657"/>
      <c r="D193" s="657"/>
      <c r="E193" s="657"/>
      <c r="F193" s="657"/>
      <c r="G193" s="657"/>
      <c r="H193" s="657"/>
      <c r="I193" s="657"/>
      <c r="L193" s="657"/>
      <c r="AA193" s="659"/>
      <c r="AB193" s="659"/>
      <c r="AC193" s="659"/>
      <c r="AD193" s="659"/>
      <c r="AE193" s="659"/>
      <c r="AF193" s="659"/>
      <c r="AG193" s="657"/>
    </row>
    <row r="194" spans="1:33" ht="10.5" customHeight="1" x14ac:dyDescent="0.2">
      <c r="A194" s="657"/>
      <c r="B194" s="657"/>
      <c r="C194" s="657"/>
      <c r="D194" s="657"/>
      <c r="E194" s="657"/>
      <c r="F194" s="657"/>
      <c r="G194" s="657"/>
      <c r="H194" s="657"/>
      <c r="I194" s="657"/>
      <c r="L194" s="657"/>
      <c r="AA194" s="659"/>
      <c r="AB194" s="659"/>
      <c r="AC194" s="659"/>
      <c r="AD194" s="659"/>
      <c r="AE194" s="659"/>
      <c r="AF194" s="659"/>
      <c r="AG194" s="657"/>
    </row>
    <row r="195" spans="1:33" ht="10.5" customHeight="1" x14ac:dyDescent="0.2">
      <c r="A195" s="657"/>
      <c r="B195" s="657"/>
      <c r="C195" s="657"/>
      <c r="D195" s="657"/>
      <c r="E195" s="657"/>
      <c r="F195" s="657"/>
      <c r="G195" s="657"/>
      <c r="H195" s="657"/>
      <c r="I195" s="657"/>
      <c r="L195" s="657"/>
      <c r="AA195" s="659"/>
      <c r="AB195" s="659"/>
      <c r="AC195" s="659"/>
      <c r="AD195" s="659"/>
      <c r="AE195" s="659"/>
      <c r="AF195" s="659"/>
      <c r="AG195" s="657"/>
    </row>
    <row r="196" spans="1:33" ht="10.5" customHeight="1" x14ac:dyDescent="0.2">
      <c r="A196" s="657"/>
      <c r="B196" s="657"/>
      <c r="C196" s="657"/>
      <c r="D196" s="657"/>
      <c r="E196" s="657"/>
      <c r="F196" s="657"/>
      <c r="G196" s="657"/>
      <c r="H196" s="657"/>
      <c r="I196" s="657"/>
      <c r="L196" s="657"/>
      <c r="AA196" s="659"/>
      <c r="AB196" s="659"/>
      <c r="AC196" s="659"/>
      <c r="AD196" s="659"/>
      <c r="AE196" s="659"/>
      <c r="AF196" s="659"/>
      <c r="AG196" s="657"/>
    </row>
    <row r="197" spans="1:33" ht="10.5" customHeight="1" x14ac:dyDescent="0.2">
      <c r="A197" s="657"/>
      <c r="B197" s="657"/>
      <c r="C197" s="657"/>
      <c r="D197" s="657"/>
      <c r="E197" s="657"/>
      <c r="F197" s="657"/>
      <c r="G197" s="657"/>
      <c r="H197" s="657"/>
      <c r="I197" s="657"/>
      <c r="L197" s="657"/>
      <c r="AA197" s="659"/>
      <c r="AB197" s="659"/>
      <c r="AC197" s="659"/>
      <c r="AD197" s="659"/>
      <c r="AE197" s="659"/>
      <c r="AF197" s="659"/>
      <c r="AG197" s="657"/>
    </row>
    <row r="198" spans="1:33" ht="10.5" customHeight="1" x14ac:dyDescent="0.2">
      <c r="A198" s="657"/>
      <c r="B198" s="657"/>
      <c r="C198" s="657"/>
      <c r="D198" s="657"/>
      <c r="E198" s="657"/>
      <c r="F198" s="657"/>
      <c r="G198" s="657"/>
      <c r="H198" s="657"/>
      <c r="I198" s="657"/>
      <c r="L198" s="657"/>
      <c r="AA198" s="659"/>
      <c r="AB198" s="659"/>
      <c r="AC198" s="659"/>
      <c r="AD198" s="659"/>
      <c r="AE198" s="659"/>
      <c r="AF198" s="659"/>
      <c r="AG198" s="657"/>
    </row>
    <row r="199" spans="1:33" ht="10.5" customHeight="1" x14ac:dyDescent="0.2">
      <c r="A199" s="657"/>
      <c r="B199" s="657"/>
      <c r="C199" s="657"/>
      <c r="D199" s="657"/>
      <c r="E199" s="657"/>
      <c r="F199" s="657"/>
      <c r="G199" s="657"/>
      <c r="H199" s="657"/>
      <c r="I199" s="657"/>
      <c r="L199" s="657"/>
      <c r="AA199" s="659"/>
      <c r="AB199" s="659"/>
      <c r="AC199" s="659"/>
      <c r="AD199" s="659"/>
      <c r="AE199" s="659"/>
      <c r="AF199" s="659"/>
      <c r="AG199" s="657"/>
    </row>
    <row r="200" spans="1:33" ht="10.5" customHeight="1" x14ac:dyDescent="0.2">
      <c r="A200" s="657"/>
      <c r="B200" s="657"/>
      <c r="C200" s="657"/>
      <c r="D200" s="657"/>
      <c r="E200" s="657"/>
      <c r="F200" s="657"/>
      <c r="G200" s="657"/>
      <c r="H200" s="657"/>
      <c r="I200" s="657"/>
      <c r="L200" s="657"/>
      <c r="AA200" s="659"/>
      <c r="AB200" s="659"/>
      <c r="AC200" s="659"/>
      <c r="AD200" s="659"/>
      <c r="AE200" s="659"/>
      <c r="AF200" s="659"/>
      <c r="AG200" s="657"/>
    </row>
    <row r="201" spans="1:33" ht="10.5" customHeight="1" x14ac:dyDescent="0.2">
      <c r="A201" s="657"/>
      <c r="B201" s="657"/>
      <c r="C201" s="657"/>
      <c r="D201" s="657"/>
      <c r="E201" s="657"/>
      <c r="F201" s="657"/>
      <c r="G201" s="657"/>
      <c r="H201" s="657"/>
      <c r="I201" s="657"/>
      <c r="L201" s="657"/>
      <c r="AA201" s="659"/>
      <c r="AB201" s="659"/>
      <c r="AC201" s="659"/>
      <c r="AD201" s="659"/>
      <c r="AE201" s="659"/>
      <c r="AF201" s="659"/>
      <c r="AG201" s="657"/>
    </row>
    <row r="202" spans="1:33" ht="10.5" customHeight="1" x14ac:dyDescent="0.2">
      <c r="A202" s="657"/>
      <c r="B202" s="657"/>
      <c r="C202" s="657"/>
      <c r="D202" s="657"/>
      <c r="E202" s="657"/>
      <c r="F202" s="657"/>
      <c r="G202" s="657"/>
      <c r="H202" s="657"/>
      <c r="I202" s="657"/>
      <c r="L202" s="657"/>
      <c r="AA202" s="659"/>
      <c r="AB202" s="659"/>
      <c r="AC202" s="659"/>
      <c r="AD202" s="659"/>
      <c r="AE202" s="659"/>
      <c r="AF202" s="659"/>
      <c r="AG202" s="657"/>
    </row>
    <row r="203" spans="1:33" ht="10.5" customHeight="1" x14ac:dyDescent="0.2">
      <c r="A203" s="657"/>
      <c r="B203" s="657"/>
      <c r="C203" s="657"/>
      <c r="D203" s="657"/>
      <c r="E203" s="657"/>
      <c r="F203" s="657"/>
      <c r="G203" s="657"/>
      <c r="H203" s="657"/>
      <c r="I203" s="657"/>
      <c r="L203" s="657"/>
      <c r="AA203" s="659"/>
      <c r="AB203" s="659"/>
      <c r="AC203" s="659"/>
      <c r="AD203" s="659"/>
      <c r="AE203" s="659"/>
      <c r="AF203" s="659"/>
      <c r="AG203" s="657"/>
    </row>
    <row r="204" spans="1:33" ht="10.5" customHeight="1" x14ac:dyDescent="0.2">
      <c r="A204" s="657"/>
      <c r="B204" s="657"/>
      <c r="C204" s="657"/>
      <c r="D204" s="657"/>
      <c r="E204" s="657"/>
      <c r="F204" s="657"/>
      <c r="G204" s="657"/>
      <c r="H204" s="657"/>
      <c r="I204" s="657"/>
      <c r="L204" s="657"/>
      <c r="AA204" s="659"/>
      <c r="AB204" s="659"/>
      <c r="AC204" s="659"/>
      <c r="AD204" s="659"/>
      <c r="AE204" s="659"/>
      <c r="AF204" s="659"/>
      <c r="AG204" s="657"/>
    </row>
    <row r="205" spans="1:33" ht="10.5" customHeight="1" x14ac:dyDescent="0.2">
      <c r="A205" s="657"/>
      <c r="B205" s="657"/>
      <c r="C205" s="657"/>
      <c r="D205" s="657"/>
      <c r="E205" s="657"/>
      <c r="F205" s="657"/>
      <c r="G205" s="657"/>
      <c r="H205" s="657"/>
      <c r="I205" s="657"/>
      <c r="L205" s="657"/>
      <c r="AA205" s="659"/>
      <c r="AB205" s="659"/>
      <c r="AC205" s="659"/>
      <c r="AD205" s="659"/>
      <c r="AE205" s="659"/>
      <c r="AF205" s="659"/>
      <c r="AG205" s="657"/>
    </row>
    <row r="206" spans="1:33" ht="10.5" customHeight="1" x14ac:dyDescent="0.2">
      <c r="A206" s="657"/>
      <c r="B206" s="657"/>
      <c r="C206" s="657"/>
      <c r="D206" s="657"/>
      <c r="E206" s="657"/>
      <c r="F206" s="657"/>
      <c r="G206" s="657"/>
      <c r="H206" s="657"/>
      <c r="I206" s="657"/>
      <c r="L206" s="657"/>
      <c r="AA206" s="659"/>
      <c r="AB206" s="659"/>
      <c r="AC206" s="659"/>
      <c r="AD206" s="659"/>
      <c r="AE206" s="659"/>
      <c r="AF206" s="659"/>
      <c r="AG206" s="657"/>
    </row>
    <row r="207" spans="1:33" ht="10.5" customHeight="1" x14ac:dyDescent="0.2">
      <c r="A207" s="657"/>
      <c r="B207" s="657"/>
      <c r="C207" s="657"/>
      <c r="D207" s="657"/>
      <c r="E207" s="657"/>
      <c r="F207" s="657"/>
      <c r="G207" s="657"/>
      <c r="H207" s="657"/>
      <c r="I207" s="657"/>
      <c r="L207" s="657"/>
      <c r="AA207" s="659"/>
      <c r="AB207" s="659"/>
      <c r="AC207" s="659"/>
      <c r="AD207" s="659"/>
      <c r="AE207" s="659"/>
      <c r="AF207" s="659"/>
      <c r="AG207" s="657"/>
    </row>
    <row r="208" spans="1:33" ht="10.5" customHeight="1" x14ac:dyDescent="0.2">
      <c r="A208" s="657"/>
      <c r="B208" s="657"/>
      <c r="C208" s="657"/>
      <c r="D208" s="657"/>
      <c r="E208" s="657"/>
      <c r="F208" s="657"/>
      <c r="G208" s="657"/>
      <c r="H208" s="657"/>
      <c r="I208" s="657"/>
      <c r="L208" s="657"/>
      <c r="AA208" s="659"/>
      <c r="AB208" s="659"/>
      <c r="AC208" s="659"/>
      <c r="AD208" s="659"/>
      <c r="AE208" s="659"/>
      <c r="AF208" s="659"/>
      <c r="AG208" s="657"/>
    </row>
    <row r="209" spans="1:33" ht="10.5" customHeight="1" x14ac:dyDescent="0.2">
      <c r="A209" s="657"/>
      <c r="B209" s="657"/>
      <c r="C209" s="657"/>
      <c r="D209" s="657"/>
      <c r="E209" s="657"/>
      <c r="F209" s="657"/>
      <c r="G209" s="657"/>
      <c r="H209" s="657"/>
      <c r="I209" s="657"/>
      <c r="L209" s="657"/>
      <c r="AA209" s="659"/>
      <c r="AB209" s="659"/>
      <c r="AC209" s="659"/>
      <c r="AD209" s="659"/>
      <c r="AE209" s="659"/>
      <c r="AF209" s="659"/>
      <c r="AG209" s="657"/>
    </row>
    <row r="210" spans="1:33" ht="10.5" customHeight="1" x14ac:dyDescent="0.2">
      <c r="A210" s="657"/>
      <c r="B210" s="657"/>
      <c r="C210" s="657"/>
      <c r="D210" s="657"/>
      <c r="E210" s="657"/>
      <c r="F210" s="657"/>
      <c r="G210" s="657"/>
      <c r="H210" s="657"/>
      <c r="I210" s="657"/>
      <c r="L210" s="657"/>
      <c r="AA210" s="659"/>
      <c r="AB210" s="659"/>
      <c r="AC210" s="659"/>
      <c r="AD210" s="659"/>
      <c r="AE210" s="659"/>
      <c r="AF210" s="659"/>
      <c r="AG210" s="657"/>
    </row>
    <row r="211" spans="1:33" ht="10.5" customHeight="1" x14ac:dyDescent="0.2">
      <c r="A211" s="657"/>
      <c r="B211" s="657"/>
      <c r="C211" s="657"/>
      <c r="D211" s="657"/>
      <c r="E211" s="657"/>
      <c r="F211" s="657"/>
      <c r="G211" s="657"/>
      <c r="H211" s="657"/>
      <c r="I211" s="657"/>
      <c r="L211" s="657"/>
      <c r="AA211" s="659"/>
      <c r="AB211" s="659"/>
      <c r="AC211" s="659"/>
      <c r="AD211" s="659"/>
      <c r="AE211" s="659"/>
      <c r="AF211" s="659"/>
      <c r="AG211" s="657"/>
    </row>
    <row r="212" spans="1:33" ht="10.5" customHeight="1" x14ac:dyDescent="0.2">
      <c r="A212" s="657"/>
      <c r="B212" s="657"/>
      <c r="C212" s="657"/>
      <c r="D212" s="657"/>
      <c r="E212" s="657"/>
      <c r="F212" s="657"/>
      <c r="G212" s="657"/>
      <c r="H212" s="657"/>
      <c r="I212" s="657"/>
      <c r="L212" s="657"/>
      <c r="AA212" s="659"/>
      <c r="AB212" s="659"/>
      <c r="AC212" s="659"/>
      <c r="AD212" s="659"/>
      <c r="AE212" s="659"/>
      <c r="AF212" s="659"/>
      <c r="AG212" s="657"/>
    </row>
    <row r="213" spans="1:33" ht="10.5" customHeight="1" x14ac:dyDescent="0.2">
      <c r="A213" s="657"/>
      <c r="B213" s="657"/>
      <c r="C213" s="657"/>
      <c r="D213" s="657"/>
      <c r="E213" s="657"/>
      <c r="F213" s="657"/>
      <c r="G213" s="657"/>
      <c r="H213" s="657"/>
      <c r="I213" s="657"/>
      <c r="L213" s="657"/>
      <c r="AA213" s="659"/>
      <c r="AB213" s="659"/>
      <c r="AC213" s="659"/>
      <c r="AD213" s="659"/>
      <c r="AE213" s="659"/>
      <c r="AF213" s="659"/>
      <c r="AG213" s="657"/>
    </row>
    <row r="214" spans="1:33" ht="10.5" customHeight="1" x14ac:dyDescent="0.2">
      <c r="A214" s="657"/>
      <c r="B214" s="657"/>
      <c r="C214" s="657"/>
      <c r="D214" s="657"/>
      <c r="E214" s="657"/>
      <c r="F214" s="657"/>
      <c r="G214" s="657"/>
      <c r="H214" s="657"/>
      <c r="I214" s="657"/>
      <c r="L214" s="657"/>
      <c r="AA214" s="659"/>
      <c r="AB214" s="659"/>
      <c r="AC214" s="659"/>
      <c r="AD214" s="659"/>
      <c r="AE214" s="659"/>
      <c r="AF214" s="659"/>
      <c r="AG214" s="657"/>
    </row>
    <row r="215" spans="1:33" ht="10.5" customHeight="1" x14ac:dyDescent="0.2">
      <c r="A215" s="657"/>
      <c r="B215" s="657"/>
      <c r="C215" s="657"/>
      <c r="D215" s="657"/>
      <c r="E215" s="657"/>
      <c r="F215" s="657"/>
      <c r="G215" s="657"/>
      <c r="H215" s="657"/>
      <c r="I215" s="657"/>
      <c r="L215" s="657"/>
      <c r="AA215" s="659"/>
      <c r="AB215" s="659"/>
      <c r="AC215" s="659"/>
      <c r="AD215" s="659"/>
      <c r="AE215" s="659"/>
      <c r="AF215" s="659"/>
      <c r="AG215" s="657"/>
    </row>
    <row r="216" spans="1:33" ht="10.5" customHeight="1" x14ac:dyDescent="0.2">
      <c r="A216" s="657"/>
      <c r="B216" s="657"/>
      <c r="C216" s="657"/>
      <c r="D216" s="657"/>
      <c r="E216" s="657"/>
      <c r="F216" s="657"/>
      <c r="G216" s="657"/>
      <c r="H216" s="657"/>
      <c r="I216" s="657"/>
      <c r="L216" s="657"/>
      <c r="AA216" s="659"/>
      <c r="AB216" s="659"/>
      <c r="AC216" s="659"/>
      <c r="AD216" s="659"/>
      <c r="AE216" s="659"/>
      <c r="AF216" s="659"/>
      <c r="AG216" s="657"/>
    </row>
    <row r="217" spans="1:33" ht="10.5" customHeight="1" x14ac:dyDescent="0.2">
      <c r="A217" s="657"/>
      <c r="B217" s="657"/>
      <c r="C217" s="657"/>
      <c r="D217" s="657"/>
      <c r="E217" s="657"/>
      <c r="F217" s="657"/>
      <c r="G217" s="657"/>
      <c r="H217" s="657"/>
      <c r="I217" s="657"/>
      <c r="L217" s="657"/>
      <c r="AA217" s="659"/>
      <c r="AB217" s="659"/>
      <c r="AC217" s="659"/>
      <c r="AD217" s="659"/>
      <c r="AE217" s="659"/>
      <c r="AF217" s="659"/>
      <c r="AG217" s="657"/>
    </row>
    <row r="218" spans="1:33" ht="10.5" customHeight="1" x14ac:dyDescent="0.2">
      <c r="A218" s="657"/>
      <c r="B218" s="657"/>
      <c r="C218" s="657"/>
      <c r="D218" s="657"/>
      <c r="E218" s="657"/>
      <c r="F218" s="657"/>
      <c r="G218" s="657"/>
      <c r="H218" s="657"/>
      <c r="I218" s="657"/>
      <c r="L218" s="657"/>
      <c r="AA218" s="659"/>
      <c r="AB218" s="659"/>
      <c r="AC218" s="659"/>
      <c r="AD218" s="659"/>
      <c r="AE218" s="659"/>
      <c r="AF218" s="659"/>
      <c r="AG218" s="657"/>
    </row>
    <row r="219" spans="1:33" ht="10.5" customHeight="1" x14ac:dyDescent="0.2">
      <c r="A219" s="657"/>
      <c r="B219" s="657"/>
      <c r="C219" s="657"/>
      <c r="D219" s="657"/>
      <c r="E219" s="657"/>
      <c r="F219" s="657"/>
      <c r="G219" s="657"/>
      <c r="H219" s="657"/>
      <c r="I219" s="657"/>
      <c r="L219" s="657"/>
      <c r="AA219" s="659"/>
      <c r="AB219" s="659"/>
      <c r="AC219" s="659"/>
      <c r="AD219" s="659"/>
      <c r="AE219" s="659"/>
      <c r="AF219" s="659"/>
      <c r="AG219" s="657"/>
    </row>
    <row r="220" spans="1:33" ht="10.5" customHeight="1" x14ac:dyDescent="0.2">
      <c r="A220" s="657"/>
      <c r="B220" s="657"/>
      <c r="C220" s="657"/>
      <c r="D220" s="657"/>
      <c r="E220" s="657"/>
      <c r="F220" s="657"/>
      <c r="G220" s="657"/>
      <c r="H220" s="657"/>
      <c r="I220" s="657"/>
      <c r="L220" s="657"/>
      <c r="AA220" s="659"/>
      <c r="AB220" s="659"/>
      <c r="AC220" s="659"/>
      <c r="AD220" s="659"/>
      <c r="AE220" s="659"/>
      <c r="AF220" s="659"/>
      <c r="AG220" s="657"/>
    </row>
    <row r="221" spans="1:33" ht="10.5" customHeight="1" x14ac:dyDescent="0.2">
      <c r="A221" s="657"/>
      <c r="B221" s="657"/>
      <c r="C221" s="657"/>
      <c r="D221" s="657"/>
      <c r="E221" s="657"/>
      <c r="F221" s="657"/>
      <c r="G221" s="657"/>
      <c r="H221" s="657"/>
      <c r="I221" s="657"/>
      <c r="L221" s="657"/>
      <c r="AA221" s="659"/>
      <c r="AB221" s="659"/>
      <c r="AC221" s="659"/>
      <c r="AD221" s="659"/>
      <c r="AE221" s="659"/>
      <c r="AF221" s="659"/>
      <c r="AG221" s="657"/>
    </row>
    <row r="222" spans="1:33" ht="10.5" customHeight="1" x14ac:dyDescent="0.2">
      <c r="A222" s="657"/>
      <c r="B222" s="657"/>
      <c r="C222" s="657"/>
      <c r="D222" s="657"/>
      <c r="E222" s="657"/>
      <c r="F222" s="657"/>
      <c r="G222" s="657"/>
      <c r="H222" s="657"/>
      <c r="I222" s="657"/>
      <c r="L222" s="657"/>
      <c r="AA222" s="659"/>
      <c r="AB222" s="659"/>
      <c r="AC222" s="659"/>
      <c r="AD222" s="659"/>
      <c r="AE222" s="659"/>
      <c r="AF222" s="659"/>
      <c r="AG222" s="657"/>
    </row>
    <row r="223" spans="1:33" ht="10.5" customHeight="1" x14ac:dyDescent="0.2">
      <c r="A223" s="657"/>
      <c r="B223" s="657"/>
      <c r="C223" s="657"/>
      <c r="D223" s="657"/>
      <c r="E223" s="657"/>
      <c r="F223" s="657"/>
      <c r="G223" s="657"/>
      <c r="H223" s="657"/>
      <c r="I223" s="657"/>
      <c r="L223" s="657"/>
      <c r="AA223" s="659"/>
      <c r="AB223" s="659"/>
      <c r="AC223" s="659"/>
      <c r="AD223" s="659"/>
      <c r="AE223" s="659"/>
      <c r="AF223" s="659"/>
      <c r="AG223" s="657"/>
    </row>
    <row r="224" spans="1:33" ht="10.5" customHeight="1" x14ac:dyDescent="0.2">
      <c r="A224" s="657"/>
      <c r="B224" s="657"/>
      <c r="C224" s="657"/>
      <c r="D224" s="657"/>
      <c r="E224" s="657"/>
      <c r="F224" s="657"/>
      <c r="G224" s="657"/>
      <c r="H224" s="657"/>
      <c r="I224" s="657"/>
      <c r="L224" s="657"/>
      <c r="AA224" s="659"/>
      <c r="AB224" s="659"/>
      <c r="AC224" s="659"/>
      <c r="AD224" s="659"/>
      <c r="AE224" s="659"/>
      <c r="AF224" s="659"/>
      <c r="AG224" s="657"/>
    </row>
    <row r="225" spans="1:33" ht="10.5" customHeight="1" x14ac:dyDescent="0.2">
      <c r="A225" s="657"/>
      <c r="B225" s="657"/>
      <c r="C225" s="657"/>
      <c r="D225" s="657"/>
      <c r="E225" s="657"/>
      <c r="F225" s="657"/>
      <c r="G225" s="657"/>
      <c r="H225" s="657"/>
      <c r="I225" s="657"/>
      <c r="L225" s="657"/>
      <c r="AA225" s="659"/>
      <c r="AB225" s="659"/>
      <c r="AC225" s="659"/>
      <c r="AD225" s="659"/>
      <c r="AE225" s="659"/>
      <c r="AF225" s="659"/>
      <c r="AG225" s="657"/>
    </row>
    <row r="226" spans="1:33" ht="10.5" customHeight="1" x14ac:dyDescent="0.2">
      <c r="A226" s="657"/>
      <c r="B226" s="657"/>
      <c r="C226" s="657"/>
      <c r="D226" s="657"/>
      <c r="E226" s="657"/>
      <c r="F226" s="657"/>
      <c r="G226" s="657"/>
      <c r="H226" s="657"/>
      <c r="I226" s="657"/>
      <c r="L226" s="657"/>
      <c r="AA226" s="659"/>
      <c r="AB226" s="659"/>
      <c r="AC226" s="659"/>
      <c r="AD226" s="659"/>
      <c r="AE226" s="659"/>
      <c r="AF226" s="659"/>
      <c r="AG226" s="657"/>
    </row>
    <row r="227" spans="1:33" ht="10.5" customHeight="1" x14ac:dyDescent="0.2">
      <c r="A227" s="657"/>
      <c r="B227" s="657"/>
      <c r="C227" s="657"/>
      <c r="D227" s="657"/>
      <c r="E227" s="657"/>
      <c r="F227" s="657"/>
      <c r="G227" s="657"/>
      <c r="H227" s="657"/>
      <c r="I227" s="657"/>
      <c r="L227" s="657"/>
      <c r="AA227" s="659"/>
      <c r="AB227" s="659"/>
      <c r="AC227" s="659"/>
      <c r="AD227" s="659"/>
      <c r="AE227" s="659"/>
      <c r="AF227" s="659"/>
      <c r="AG227" s="657"/>
    </row>
    <row r="228" spans="1:33" ht="10.5" customHeight="1" x14ac:dyDescent="0.2">
      <c r="A228" s="657"/>
      <c r="B228" s="657"/>
      <c r="C228" s="657"/>
      <c r="D228" s="657"/>
      <c r="E228" s="657"/>
      <c r="F228" s="657"/>
      <c r="G228" s="657"/>
      <c r="H228" s="657"/>
      <c r="I228" s="657"/>
      <c r="L228" s="657"/>
      <c r="AA228" s="659"/>
      <c r="AB228" s="659"/>
      <c r="AC228" s="659"/>
      <c r="AD228" s="659"/>
      <c r="AE228" s="659"/>
      <c r="AF228" s="659"/>
      <c r="AG228" s="657"/>
    </row>
    <row r="229" spans="1:33" ht="10.5" customHeight="1" x14ac:dyDescent="0.2">
      <c r="A229" s="657"/>
      <c r="B229" s="657"/>
      <c r="C229" s="657"/>
      <c r="D229" s="657"/>
      <c r="E229" s="657"/>
      <c r="F229" s="657"/>
      <c r="G229" s="657"/>
      <c r="H229" s="657"/>
      <c r="I229" s="657"/>
      <c r="L229" s="657"/>
      <c r="AA229" s="659"/>
      <c r="AB229" s="659"/>
      <c r="AC229" s="659"/>
      <c r="AD229" s="659"/>
      <c r="AE229" s="659"/>
      <c r="AF229" s="659"/>
      <c r="AG229" s="657"/>
    </row>
    <row r="230" spans="1:33" ht="10.5" customHeight="1" x14ac:dyDescent="0.2">
      <c r="A230" s="657"/>
      <c r="B230" s="657"/>
      <c r="C230" s="657"/>
      <c r="D230" s="657"/>
      <c r="E230" s="657"/>
      <c r="F230" s="657"/>
      <c r="G230" s="657"/>
      <c r="H230" s="657"/>
      <c r="I230" s="657"/>
      <c r="L230" s="657"/>
      <c r="AA230" s="659"/>
      <c r="AB230" s="659"/>
      <c r="AC230" s="659"/>
      <c r="AD230" s="659"/>
      <c r="AE230" s="659"/>
      <c r="AF230" s="659"/>
      <c r="AG230" s="657"/>
    </row>
    <row r="231" spans="1:33" ht="10.5" customHeight="1" x14ac:dyDescent="0.2">
      <c r="A231" s="657"/>
      <c r="B231" s="657"/>
      <c r="C231" s="657"/>
      <c r="D231" s="657"/>
      <c r="E231" s="657"/>
      <c r="F231" s="657"/>
      <c r="G231" s="657"/>
      <c r="H231" s="657"/>
      <c r="I231" s="657"/>
      <c r="L231" s="657"/>
      <c r="AA231" s="659"/>
      <c r="AB231" s="659"/>
      <c r="AC231" s="659"/>
      <c r="AD231" s="659"/>
      <c r="AE231" s="659"/>
      <c r="AF231" s="659"/>
      <c r="AG231" s="657"/>
    </row>
    <row r="232" spans="1:33" ht="10.5" customHeight="1" x14ac:dyDescent="0.2">
      <c r="A232" s="657"/>
      <c r="B232" s="657"/>
      <c r="C232" s="657"/>
      <c r="D232" s="657"/>
      <c r="E232" s="657"/>
      <c r="F232" s="657"/>
      <c r="G232" s="657"/>
      <c r="H232" s="657"/>
      <c r="I232" s="657"/>
      <c r="L232" s="657"/>
      <c r="AA232" s="659"/>
      <c r="AB232" s="659"/>
      <c r="AC232" s="659"/>
      <c r="AD232" s="659"/>
      <c r="AE232" s="659"/>
      <c r="AF232" s="659"/>
      <c r="AG232" s="657"/>
    </row>
    <row r="233" spans="1:33" ht="10.5" customHeight="1" x14ac:dyDescent="0.2">
      <c r="A233" s="657"/>
      <c r="B233" s="657"/>
      <c r="C233" s="657"/>
      <c r="D233" s="657"/>
      <c r="E233" s="657"/>
      <c r="F233" s="657"/>
      <c r="G233" s="657"/>
      <c r="H233" s="657"/>
      <c r="I233" s="657"/>
      <c r="L233" s="657"/>
      <c r="AA233" s="659"/>
      <c r="AB233" s="659"/>
      <c r="AC233" s="659"/>
      <c r="AD233" s="659"/>
      <c r="AE233" s="659"/>
      <c r="AF233" s="659"/>
      <c r="AG233" s="657"/>
    </row>
    <row r="234" spans="1:33" ht="10.5" customHeight="1" x14ac:dyDescent="0.2">
      <c r="A234" s="657"/>
      <c r="B234" s="657"/>
      <c r="C234" s="657"/>
      <c r="D234" s="657"/>
      <c r="E234" s="657"/>
      <c r="F234" s="657"/>
      <c r="G234" s="657"/>
      <c r="H234" s="657"/>
      <c r="I234" s="657"/>
      <c r="L234" s="657"/>
      <c r="AA234" s="659"/>
      <c r="AB234" s="659"/>
      <c r="AC234" s="659"/>
      <c r="AD234" s="659"/>
      <c r="AE234" s="659"/>
      <c r="AF234" s="659"/>
      <c r="AG234" s="657"/>
    </row>
    <row r="235" spans="1:33" ht="10.5" customHeight="1" x14ac:dyDescent="0.2">
      <c r="A235" s="657"/>
      <c r="B235" s="657"/>
      <c r="C235" s="657"/>
      <c r="D235" s="657"/>
      <c r="E235" s="657"/>
      <c r="F235" s="657"/>
      <c r="G235" s="657"/>
      <c r="H235" s="657"/>
      <c r="I235" s="657"/>
      <c r="L235" s="657"/>
      <c r="AA235" s="659"/>
      <c r="AB235" s="659"/>
      <c r="AC235" s="659"/>
      <c r="AD235" s="659"/>
      <c r="AE235" s="659"/>
      <c r="AF235" s="659"/>
      <c r="AG235" s="657"/>
    </row>
    <row r="236" spans="1:33" ht="10.5" customHeight="1" x14ac:dyDescent="0.2">
      <c r="A236" s="657"/>
      <c r="B236" s="657"/>
      <c r="C236" s="657"/>
      <c r="D236" s="657"/>
      <c r="E236" s="657"/>
      <c r="F236" s="657"/>
      <c r="G236" s="657"/>
      <c r="H236" s="657"/>
      <c r="I236" s="657"/>
      <c r="L236" s="657"/>
      <c r="AA236" s="659"/>
      <c r="AB236" s="659"/>
      <c r="AC236" s="659"/>
      <c r="AD236" s="659"/>
      <c r="AE236" s="659"/>
      <c r="AF236" s="659"/>
      <c r="AG236" s="657"/>
    </row>
    <row r="237" spans="1:33" ht="10.5" customHeight="1" x14ac:dyDescent="0.2">
      <c r="A237" s="657"/>
      <c r="B237" s="657"/>
      <c r="C237" s="657"/>
      <c r="D237" s="657"/>
      <c r="E237" s="657"/>
      <c r="F237" s="657"/>
      <c r="G237" s="657"/>
      <c r="H237" s="657"/>
      <c r="I237" s="657"/>
      <c r="L237" s="657"/>
      <c r="AA237" s="659"/>
      <c r="AB237" s="659"/>
      <c r="AC237" s="659"/>
      <c r="AD237" s="659"/>
      <c r="AE237" s="659"/>
      <c r="AF237" s="659"/>
      <c r="AG237" s="657"/>
    </row>
    <row r="238" spans="1:33" ht="10.5" customHeight="1" x14ac:dyDescent="0.2">
      <c r="A238" s="657"/>
      <c r="B238" s="657"/>
      <c r="C238" s="657"/>
      <c r="D238" s="657"/>
      <c r="E238" s="657"/>
      <c r="F238" s="657"/>
      <c r="G238" s="657"/>
      <c r="H238" s="657"/>
      <c r="I238" s="657"/>
      <c r="L238" s="657"/>
      <c r="AA238" s="659"/>
      <c r="AB238" s="659"/>
      <c r="AC238" s="659"/>
      <c r="AD238" s="659"/>
      <c r="AE238" s="659"/>
      <c r="AF238" s="659"/>
      <c r="AG238" s="657"/>
    </row>
    <row r="239" spans="1:33" ht="10.5" customHeight="1" x14ac:dyDescent="0.2">
      <c r="A239" s="657"/>
      <c r="B239" s="657"/>
      <c r="C239" s="657"/>
      <c r="D239" s="657"/>
      <c r="E239" s="657"/>
      <c r="F239" s="657"/>
      <c r="G239" s="657"/>
      <c r="H239" s="657"/>
      <c r="I239" s="657"/>
      <c r="L239" s="657"/>
      <c r="AA239" s="659"/>
      <c r="AB239" s="659"/>
      <c r="AC239" s="659"/>
      <c r="AD239" s="659"/>
      <c r="AE239" s="659"/>
      <c r="AF239" s="659"/>
      <c r="AG239" s="657"/>
    </row>
    <row r="240" spans="1:33" ht="10.5" customHeight="1" x14ac:dyDescent="0.2">
      <c r="A240" s="657"/>
      <c r="B240" s="657"/>
      <c r="C240" s="657"/>
      <c r="D240" s="657"/>
      <c r="E240" s="657"/>
      <c r="F240" s="657"/>
      <c r="G240" s="657"/>
      <c r="H240" s="657"/>
      <c r="I240" s="657"/>
      <c r="L240" s="657"/>
      <c r="AA240" s="659"/>
      <c r="AB240" s="659"/>
      <c r="AC240" s="659"/>
      <c r="AD240" s="659"/>
      <c r="AE240" s="659"/>
      <c r="AF240" s="659"/>
      <c r="AG240" s="657"/>
    </row>
    <row r="241" spans="1:33" ht="10.5" customHeight="1" x14ac:dyDescent="0.2">
      <c r="A241" s="657"/>
      <c r="B241" s="657"/>
      <c r="C241" s="657"/>
      <c r="D241" s="657"/>
      <c r="E241" s="657"/>
      <c r="F241" s="657"/>
      <c r="G241" s="657"/>
      <c r="H241" s="657"/>
      <c r="I241" s="657"/>
      <c r="L241" s="657"/>
      <c r="AA241" s="659"/>
      <c r="AB241" s="659"/>
      <c r="AC241" s="659"/>
      <c r="AD241" s="659"/>
      <c r="AE241" s="659"/>
      <c r="AF241" s="659"/>
      <c r="AG241" s="657"/>
    </row>
    <row r="242" spans="1:33" ht="10.5" customHeight="1" x14ac:dyDescent="0.2">
      <c r="A242" s="657"/>
      <c r="B242" s="657"/>
      <c r="C242" s="657"/>
      <c r="D242" s="657"/>
      <c r="E242" s="657"/>
      <c r="F242" s="657"/>
      <c r="G242" s="657"/>
      <c r="H242" s="657"/>
      <c r="I242" s="657"/>
      <c r="L242" s="657"/>
      <c r="AA242" s="659"/>
      <c r="AB242" s="659"/>
      <c r="AC242" s="659"/>
      <c r="AD242" s="659"/>
      <c r="AE242" s="659"/>
      <c r="AF242" s="659"/>
      <c r="AG242" s="657"/>
    </row>
    <row r="243" spans="1:33" ht="10.5" customHeight="1" x14ac:dyDescent="0.2">
      <c r="A243" s="657"/>
      <c r="B243" s="657"/>
      <c r="C243" s="657"/>
      <c r="D243" s="657"/>
      <c r="E243" s="657"/>
      <c r="F243" s="657"/>
      <c r="G243" s="657"/>
      <c r="H243" s="657"/>
      <c r="I243" s="657"/>
      <c r="L243" s="657"/>
      <c r="AA243" s="659"/>
      <c r="AB243" s="659"/>
      <c r="AC243" s="659"/>
      <c r="AD243" s="659"/>
      <c r="AE243" s="659"/>
      <c r="AF243" s="659"/>
      <c r="AG243" s="657"/>
    </row>
    <row r="244" spans="1:33" ht="10.5" customHeight="1" x14ac:dyDescent="0.2">
      <c r="A244" s="657"/>
      <c r="B244" s="657"/>
      <c r="C244" s="657"/>
      <c r="D244" s="657"/>
      <c r="E244" s="657"/>
      <c r="F244" s="657"/>
      <c r="G244" s="657"/>
      <c r="H244" s="657"/>
      <c r="I244" s="657"/>
      <c r="L244" s="657"/>
      <c r="AA244" s="659"/>
      <c r="AB244" s="659"/>
      <c r="AC244" s="659"/>
      <c r="AD244" s="659"/>
      <c r="AE244" s="659"/>
      <c r="AF244" s="659"/>
      <c r="AG244" s="657"/>
    </row>
    <row r="245" spans="1:33" ht="10.5" customHeight="1" x14ac:dyDescent="0.2">
      <c r="A245" s="657"/>
      <c r="B245" s="657"/>
      <c r="C245" s="657"/>
      <c r="D245" s="657"/>
      <c r="E245" s="657"/>
      <c r="F245" s="657"/>
      <c r="G245" s="657"/>
      <c r="H245" s="657"/>
      <c r="I245" s="657"/>
      <c r="L245" s="657"/>
      <c r="AA245" s="659"/>
      <c r="AB245" s="659"/>
      <c r="AC245" s="659"/>
      <c r="AD245" s="659"/>
      <c r="AE245" s="659"/>
      <c r="AF245" s="659"/>
      <c r="AG245" s="657"/>
    </row>
    <row r="246" spans="1:33" ht="10.5" customHeight="1" x14ac:dyDescent="0.2">
      <c r="A246" s="657"/>
      <c r="B246" s="657"/>
      <c r="C246" s="657"/>
      <c r="D246" s="657"/>
      <c r="E246" s="657"/>
      <c r="F246" s="657"/>
      <c r="G246" s="657"/>
      <c r="H246" s="657"/>
      <c r="I246" s="657"/>
      <c r="L246" s="657"/>
      <c r="AA246" s="659"/>
      <c r="AB246" s="659"/>
      <c r="AC246" s="659"/>
      <c r="AD246" s="659"/>
      <c r="AE246" s="659"/>
      <c r="AF246" s="659"/>
      <c r="AG246" s="657"/>
    </row>
    <row r="247" spans="1:33" ht="10.5" customHeight="1" x14ac:dyDescent="0.2">
      <c r="A247" s="657"/>
      <c r="B247" s="657"/>
      <c r="C247" s="657"/>
      <c r="D247" s="657"/>
      <c r="E247" s="657"/>
      <c r="F247" s="657"/>
      <c r="G247" s="657"/>
      <c r="H247" s="657"/>
      <c r="I247" s="657"/>
      <c r="L247" s="657"/>
      <c r="AA247" s="659"/>
      <c r="AB247" s="659"/>
      <c r="AC247" s="659"/>
      <c r="AD247" s="659"/>
      <c r="AE247" s="659"/>
      <c r="AF247" s="659"/>
      <c r="AG247" s="657"/>
    </row>
    <row r="248" spans="1:33" ht="10.5" customHeight="1" x14ac:dyDescent="0.2">
      <c r="A248" s="657"/>
      <c r="B248" s="657"/>
      <c r="C248" s="657"/>
      <c r="D248" s="657"/>
      <c r="E248" s="657"/>
      <c r="F248" s="657"/>
      <c r="G248" s="657"/>
      <c r="H248" s="657"/>
      <c r="I248" s="657"/>
      <c r="L248" s="657"/>
      <c r="AA248" s="659"/>
      <c r="AB248" s="659"/>
      <c r="AC248" s="659"/>
      <c r="AD248" s="659"/>
      <c r="AE248" s="659"/>
      <c r="AF248" s="659"/>
      <c r="AG248" s="657"/>
    </row>
    <row r="249" spans="1:33" ht="10.5" customHeight="1" x14ac:dyDescent="0.2">
      <c r="A249" s="657"/>
      <c r="B249" s="657"/>
      <c r="C249" s="657"/>
      <c r="D249" s="657"/>
      <c r="E249" s="657"/>
      <c r="F249" s="657"/>
      <c r="G249" s="657"/>
      <c r="H249" s="657"/>
      <c r="I249" s="657"/>
      <c r="L249" s="657"/>
      <c r="AA249" s="659"/>
      <c r="AB249" s="659"/>
      <c r="AC249" s="659"/>
      <c r="AD249" s="659"/>
      <c r="AE249" s="659"/>
      <c r="AF249" s="659"/>
      <c r="AG249" s="657"/>
    </row>
    <row r="250" spans="1:33" ht="10.5" customHeight="1" x14ac:dyDescent="0.2">
      <c r="A250" s="657"/>
      <c r="B250" s="657"/>
      <c r="C250" s="657"/>
      <c r="D250" s="657"/>
      <c r="E250" s="657"/>
      <c r="F250" s="657"/>
      <c r="G250" s="657"/>
      <c r="H250" s="657"/>
      <c r="I250" s="657"/>
      <c r="L250" s="657"/>
      <c r="AA250" s="659"/>
      <c r="AB250" s="659"/>
      <c r="AC250" s="659"/>
      <c r="AD250" s="659"/>
      <c r="AE250" s="659"/>
      <c r="AF250" s="659"/>
      <c r="AG250" s="657"/>
    </row>
    <row r="251" spans="1:33" ht="10.5" customHeight="1" x14ac:dyDescent="0.2">
      <c r="A251" s="657"/>
      <c r="B251" s="657"/>
      <c r="C251" s="657"/>
      <c r="D251" s="657"/>
      <c r="E251" s="657"/>
      <c r="F251" s="657"/>
      <c r="G251" s="657"/>
      <c r="H251" s="657"/>
      <c r="I251" s="657"/>
      <c r="L251" s="657"/>
      <c r="AA251" s="659"/>
      <c r="AB251" s="659"/>
      <c r="AC251" s="659"/>
      <c r="AD251" s="659"/>
      <c r="AE251" s="659"/>
      <c r="AF251" s="659"/>
      <c r="AG251" s="657"/>
    </row>
    <row r="252" spans="1:33" ht="10.5" customHeight="1" x14ac:dyDescent="0.2">
      <c r="A252" s="657"/>
      <c r="B252" s="657"/>
      <c r="C252" s="657"/>
      <c r="D252" s="657"/>
      <c r="E252" s="657"/>
      <c r="F252" s="657"/>
      <c r="G252" s="657"/>
      <c r="H252" s="657"/>
      <c r="I252" s="657"/>
      <c r="L252" s="657"/>
      <c r="AA252" s="659"/>
      <c r="AB252" s="659"/>
      <c r="AC252" s="659"/>
      <c r="AD252" s="659"/>
      <c r="AE252" s="659"/>
      <c r="AF252" s="659"/>
      <c r="AG252" s="657"/>
    </row>
    <row r="253" spans="1:33" ht="10.5" customHeight="1" x14ac:dyDescent="0.2">
      <c r="A253" s="657"/>
      <c r="B253" s="657"/>
      <c r="C253" s="657"/>
      <c r="D253" s="657"/>
      <c r="E253" s="657"/>
      <c r="F253" s="657"/>
      <c r="G253" s="657"/>
      <c r="H253" s="657"/>
      <c r="I253" s="657"/>
      <c r="L253" s="657"/>
      <c r="AA253" s="659"/>
      <c r="AB253" s="659"/>
      <c r="AC253" s="659"/>
      <c r="AD253" s="659"/>
      <c r="AE253" s="659"/>
      <c r="AF253" s="659"/>
      <c r="AG253" s="657"/>
    </row>
    <row r="254" spans="1:33" ht="10.5" customHeight="1" x14ac:dyDescent="0.2">
      <c r="A254" s="657"/>
      <c r="B254" s="657"/>
      <c r="C254" s="657"/>
      <c r="D254" s="657"/>
      <c r="E254" s="657"/>
      <c r="F254" s="657"/>
      <c r="G254" s="657"/>
      <c r="H254" s="657"/>
      <c r="I254" s="657"/>
      <c r="L254" s="657"/>
      <c r="AA254" s="659"/>
      <c r="AB254" s="659"/>
      <c r="AC254" s="659"/>
      <c r="AD254" s="659"/>
      <c r="AE254" s="659"/>
      <c r="AF254" s="659"/>
      <c r="AG254" s="657"/>
    </row>
    <row r="255" spans="1:33" ht="10.5" customHeight="1" x14ac:dyDescent="0.2">
      <c r="A255" s="657"/>
      <c r="B255" s="657"/>
      <c r="C255" s="657"/>
      <c r="D255" s="657"/>
      <c r="E255" s="657"/>
      <c r="F255" s="657"/>
      <c r="G255" s="657"/>
      <c r="H255" s="657"/>
      <c r="I255" s="657"/>
      <c r="L255" s="657"/>
      <c r="AA255" s="659"/>
      <c r="AB255" s="659"/>
      <c r="AC255" s="659"/>
      <c r="AD255" s="659"/>
      <c r="AE255" s="659"/>
      <c r="AF255" s="659"/>
      <c r="AG255" s="657"/>
    </row>
    <row r="256" spans="1:33" ht="10.5" customHeight="1" x14ac:dyDescent="0.2">
      <c r="A256" s="657"/>
      <c r="B256" s="657"/>
      <c r="C256" s="657"/>
      <c r="D256" s="657"/>
      <c r="E256" s="657"/>
      <c r="F256" s="657"/>
      <c r="G256" s="657"/>
      <c r="H256" s="657"/>
      <c r="I256" s="657"/>
      <c r="L256" s="657"/>
      <c r="AA256" s="659"/>
      <c r="AB256" s="659"/>
      <c r="AC256" s="659"/>
      <c r="AD256" s="659"/>
      <c r="AE256" s="659"/>
      <c r="AF256" s="659"/>
      <c r="AG256" s="657"/>
    </row>
    <row r="257" spans="1:33" ht="10.5" customHeight="1" x14ac:dyDescent="0.2">
      <c r="A257" s="657"/>
      <c r="B257" s="657"/>
      <c r="C257" s="657"/>
      <c r="D257" s="657"/>
      <c r="E257" s="657"/>
      <c r="F257" s="657"/>
      <c r="G257" s="657"/>
      <c r="H257" s="657"/>
      <c r="I257" s="657"/>
      <c r="L257" s="657"/>
      <c r="AA257" s="659"/>
      <c r="AB257" s="659"/>
      <c r="AC257" s="659"/>
      <c r="AD257" s="659"/>
      <c r="AE257" s="659"/>
      <c r="AF257" s="659"/>
      <c r="AG257" s="657"/>
    </row>
    <row r="258" spans="1:33" ht="10.5" customHeight="1" x14ac:dyDescent="0.2">
      <c r="A258" s="657"/>
      <c r="B258" s="657"/>
      <c r="C258" s="657"/>
      <c r="D258" s="657"/>
      <c r="E258" s="657"/>
      <c r="F258" s="657"/>
      <c r="G258" s="657"/>
      <c r="H258" s="657"/>
      <c r="I258" s="657"/>
      <c r="L258" s="657"/>
      <c r="AA258" s="659"/>
      <c r="AB258" s="659"/>
      <c r="AC258" s="659"/>
      <c r="AD258" s="659"/>
      <c r="AE258" s="659"/>
      <c r="AF258" s="659"/>
      <c r="AG258" s="657"/>
    </row>
    <row r="259" spans="1:33" ht="10.5" customHeight="1" x14ac:dyDescent="0.2">
      <c r="A259" s="657"/>
      <c r="B259" s="657"/>
      <c r="C259" s="657"/>
      <c r="D259" s="657"/>
      <c r="E259" s="657"/>
      <c r="F259" s="657"/>
      <c r="G259" s="657"/>
      <c r="H259" s="657"/>
      <c r="I259" s="657"/>
      <c r="L259" s="657"/>
      <c r="AA259" s="659"/>
      <c r="AB259" s="659"/>
      <c r="AC259" s="659"/>
      <c r="AD259" s="659"/>
      <c r="AE259" s="659"/>
      <c r="AF259" s="659"/>
      <c r="AG259" s="657"/>
    </row>
    <row r="260" spans="1:33" ht="10.5" customHeight="1" x14ac:dyDescent="0.2">
      <c r="A260" s="657"/>
      <c r="B260" s="657"/>
      <c r="C260" s="657"/>
      <c r="D260" s="657"/>
      <c r="E260" s="657"/>
      <c r="F260" s="657"/>
      <c r="G260" s="657"/>
      <c r="H260" s="657"/>
      <c r="I260" s="657"/>
      <c r="L260" s="657"/>
      <c r="AA260" s="659"/>
      <c r="AB260" s="659"/>
      <c r="AC260" s="659"/>
      <c r="AD260" s="659"/>
      <c r="AE260" s="659"/>
      <c r="AF260" s="659"/>
      <c r="AG260" s="657"/>
    </row>
    <row r="261" spans="1:33" ht="10.5" customHeight="1" x14ac:dyDescent="0.2">
      <c r="A261" s="657"/>
      <c r="B261" s="657"/>
      <c r="C261" s="657"/>
      <c r="D261" s="657"/>
      <c r="E261" s="657"/>
      <c r="F261" s="657"/>
      <c r="G261" s="657"/>
      <c r="H261" s="657"/>
      <c r="I261" s="657"/>
      <c r="L261" s="657"/>
      <c r="AA261" s="659"/>
      <c r="AB261" s="659"/>
      <c r="AC261" s="659"/>
      <c r="AD261" s="659"/>
      <c r="AE261" s="659"/>
      <c r="AF261" s="659"/>
      <c r="AG261" s="657"/>
    </row>
    <row r="262" spans="1:33" ht="10.5" customHeight="1" x14ac:dyDescent="0.2">
      <c r="A262" s="657"/>
      <c r="B262" s="657"/>
      <c r="C262" s="657"/>
      <c r="D262" s="657"/>
      <c r="E262" s="657"/>
      <c r="F262" s="657"/>
      <c r="G262" s="657"/>
      <c r="H262" s="657"/>
      <c r="I262" s="657"/>
      <c r="L262" s="657"/>
      <c r="AA262" s="659"/>
      <c r="AB262" s="659"/>
      <c r="AC262" s="659"/>
      <c r="AD262" s="659"/>
      <c r="AE262" s="659"/>
      <c r="AF262" s="659"/>
      <c r="AG262" s="657"/>
    </row>
    <row r="263" spans="1:33" ht="10.5" customHeight="1" x14ac:dyDescent="0.2">
      <c r="A263" s="657"/>
      <c r="B263" s="657"/>
      <c r="C263" s="657"/>
      <c r="D263" s="657"/>
      <c r="E263" s="657"/>
      <c r="F263" s="657"/>
      <c r="G263" s="657"/>
      <c r="H263" s="657"/>
      <c r="I263" s="657"/>
      <c r="L263" s="657"/>
      <c r="AA263" s="659"/>
      <c r="AB263" s="659"/>
      <c r="AC263" s="659"/>
      <c r="AD263" s="659"/>
      <c r="AE263" s="659"/>
      <c r="AF263" s="659"/>
      <c r="AG263" s="657"/>
    </row>
    <row r="264" spans="1:33" ht="10.5" customHeight="1" x14ac:dyDescent="0.2">
      <c r="A264" s="657"/>
      <c r="B264" s="657"/>
      <c r="C264" s="657"/>
      <c r="D264" s="657"/>
      <c r="E264" s="657"/>
      <c r="F264" s="657"/>
      <c r="G264" s="657"/>
      <c r="H264" s="657"/>
      <c r="I264" s="657"/>
      <c r="L264" s="657"/>
      <c r="AA264" s="659"/>
      <c r="AB264" s="659"/>
      <c r="AC264" s="659"/>
      <c r="AD264" s="659"/>
      <c r="AE264" s="659"/>
      <c r="AF264" s="659"/>
      <c r="AG264" s="657"/>
    </row>
    <row r="265" spans="1:33" ht="10.5" customHeight="1" x14ac:dyDescent="0.2">
      <c r="A265" s="657"/>
      <c r="B265" s="657"/>
      <c r="C265" s="657"/>
      <c r="D265" s="657"/>
      <c r="E265" s="657"/>
      <c r="F265" s="657"/>
      <c r="G265" s="657"/>
      <c r="H265" s="657"/>
      <c r="I265" s="657"/>
      <c r="L265" s="657"/>
      <c r="AA265" s="659"/>
      <c r="AB265" s="659"/>
      <c r="AC265" s="659"/>
      <c r="AD265" s="659"/>
      <c r="AE265" s="659"/>
      <c r="AF265" s="659"/>
      <c r="AG265" s="657"/>
    </row>
    <row r="266" spans="1:33" ht="10.5" customHeight="1" x14ac:dyDescent="0.2">
      <c r="A266" s="657"/>
      <c r="B266" s="657"/>
      <c r="C266" s="657"/>
      <c r="D266" s="657"/>
      <c r="E266" s="657"/>
      <c r="F266" s="657"/>
      <c r="G266" s="657"/>
      <c r="H266" s="657"/>
      <c r="I266" s="657"/>
      <c r="L266" s="657"/>
      <c r="AA266" s="659"/>
      <c r="AB266" s="659"/>
      <c r="AC266" s="659"/>
      <c r="AD266" s="659"/>
      <c r="AE266" s="659"/>
      <c r="AF266" s="659"/>
      <c r="AG266" s="657"/>
    </row>
    <row r="267" spans="1:33" ht="10.5" customHeight="1" x14ac:dyDescent="0.2">
      <c r="A267" s="657"/>
      <c r="B267" s="657"/>
      <c r="C267" s="657"/>
      <c r="D267" s="657"/>
      <c r="E267" s="657"/>
      <c r="F267" s="657"/>
      <c r="G267" s="657"/>
      <c r="H267" s="657"/>
      <c r="I267" s="657"/>
      <c r="L267" s="657"/>
      <c r="AA267" s="659"/>
      <c r="AB267" s="659"/>
      <c r="AC267" s="659"/>
      <c r="AD267" s="659"/>
      <c r="AE267" s="659"/>
      <c r="AF267" s="659"/>
      <c r="AG267" s="657"/>
    </row>
    <row r="268" spans="1:33" ht="10.5" customHeight="1" x14ac:dyDescent="0.2">
      <c r="A268" s="657"/>
      <c r="B268" s="657"/>
      <c r="C268" s="657"/>
      <c r="D268" s="657"/>
      <c r="E268" s="657"/>
      <c r="F268" s="657"/>
      <c r="G268" s="657"/>
      <c r="H268" s="657"/>
      <c r="I268" s="657"/>
      <c r="L268" s="657"/>
      <c r="AA268" s="659"/>
      <c r="AB268" s="659"/>
      <c r="AC268" s="659"/>
      <c r="AD268" s="659"/>
      <c r="AE268" s="659"/>
      <c r="AF268" s="659"/>
      <c r="AG268" s="657"/>
    </row>
    <row r="269" spans="1:33" ht="10.5" customHeight="1" x14ac:dyDescent="0.2">
      <c r="A269" s="657"/>
      <c r="B269" s="657"/>
      <c r="C269" s="657"/>
      <c r="D269" s="657"/>
      <c r="E269" s="657"/>
      <c r="F269" s="657"/>
      <c r="G269" s="657"/>
      <c r="H269" s="657"/>
      <c r="I269" s="657"/>
      <c r="L269" s="657"/>
      <c r="AA269" s="659"/>
      <c r="AB269" s="659"/>
      <c r="AC269" s="659"/>
      <c r="AD269" s="659"/>
      <c r="AE269" s="659"/>
      <c r="AF269" s="659"/>
      <c r="AG269" s="657"/>
    </row>
    <row r="270" spans="1:33" ht="10.5" customHeight="1" x14ac:dyDescent="0.2">
      <c r="A270" s="657"/>
      <c r="B270" s="657"/>
      <c r="C270" s="657"/>
      <c r="D270" s="657"/>
      <c r="E270" s="657"/>
      <c r="F270" s="657"/>
      <c r="G270" s="657"/>
      <c r="H270" s="657"/>
      <c r="I270" s="657"/>
      <c r="L270" s="657"/>
      <c r="AA270" s="659"/>
      <c r="AB270" s="659"/>
      <c r="AC270" s="659"/>
      <c r="AD270" s="659"/>
      <c r="AE270" s="659"/>
      <c r="AF270" s="659"/>
      <c r="AG270" s="657"/>
    </row>
    <row r="271" spans="1:33" ht="10.5" customHeight="1" x14ac:dyDescent="0.2">
      <c r="A271" s="657"/>
      <c r="B271" s="657"/>
      <c r="C271" s="657"/>
      <c r="D271" s="657"/>
      <c r="E271" s="657"/>
      <c r="F271" s="657"/>
      <c r="G271" s="657"/>
      <c r="H271" s="657"/>
      <c r="I271" s="657"/>
      <c r="L271" s="657"/>
      <c r="AA271" s="659"/>
      <c r="AB271" s="659"/>
      <c r="AC271" s="659"/>
      <c r="AD271" s="659"/>
      <c r="AE271" s="659"/>
      <c r="AF271" s="659"/>
      <c r="AG271" s="657"/>
    </row>
    <row r="272" spans="1:33" ht="10.5" customHeight="1" x14ac:dyDescent="0.2">
      <c r="A272" s="657"/>
      <c r="B272" s="657"/>
      <c r="C272" s="657"/>
      <c r="D272" s="657"/>
      <c r="E272" s="657"/>
      <c r="F272" s="657"/>
      <c r="G272" s="657"/>
      <c r="H272" s="657"/>
      <c r="I272" s="657"/>
      <c r="L272" s="657"/>
      <c r="AA272" s="659"/>
      <c r="AB272" s="659"/>
      <c r="AC272" s="659"/>
      <c r="AD272" s="659"/>
      <c r="AE272" s="659"/>
      <c r="AF272" s="659"/>
      <c r="AG272" s="657"/>
    </row>
    <row r="273" spans="1:33" ht="10.5" customHeight="1" x14ac:dyDescent="0.2">
      <c r="A273" s="657"/>
      <c r="B273" s="657"/>
      <c r="C273" s="657"/>
      <c r="D273" s="657"/>
      <c r="E273" s="657"/>
      <c r="F273" s="657"/>
      <c r="G273" s="657"/>
      <c r="H273" s="657"/>
      <c r="I273" s="657"/>
      <c r="L273" s="657"/>
      <c r="AA273" s="659"/>
      <c r="AB273" s="659"/>
      <c r="AC273" s="659"/>
      <c r="AD273" s="659"/>
      <c r="AE273" s="659"/>
      <c r="AF273" s="659"/>
      <c r="AG273" s="657"/>
    </row>
    <row r="274" spans="1:33" ht="10.5" customHeight="1" x14ac:dyDescent="0.2">
      <c r="A274" s="657"/>
      <c r="B274" s="657"/>
      <c r="C274" s="657"/>
      <c r="D274" s="657"/>
      <c r="E274" s="657"/>
      <c r="F274" s="657"/>
      <c r="G274" s="657"/>
      <c r="H274" s="657"/>
      <c r="I274" s="657"/>
      <c r="L274" s="657"/>
      <c r="AA274" s="659"/>
      <c r="AB274" s="659"/>
      <c r="AC274" s="659"/>
      <c r="AD274" s="659"/>
      <c r="AE274" s="659"/>
      <c r="AF274" s="659"/>
      <c r="AG274" s="657"/>
    </row>
    <row r="275" spans="1:33" ht="10.5" customHeight="1" x14ac:dyDescent="0.2">
      <c r="A275" s="657"/>
      <c r="B275" s="657"/>
      <c r="C275" s="657"/>
      <c r="D275" s="657"/>
      <c r="E275" s="657"/>
      <c r="F275" s="657"/>
      <c r="G275" s="657"/>
      <c r="H275" s="657"/>
      <c r="I275" s="657"/>
      <c r="L275" s="657"/>
      <c r="AA275" s="659"/>
      <c r="AB275" s="659"/>
      <c r="AC275" s="659"/>
      <c r="AD275" s="659"/>
      <c r="AE275" s="659"/>
      <c r="AF275" s="659"/>
      <c r="AG275" s="657"/>
    </row>
    <row r="276" spans="1:33" ht="10.5" customHeight="1" x14ac:dyDescent="0.2">
      <c r="A276" s="657"/>
      <c r="B276" s="657"/>
      <c r="C276" s="657"/>
      <c r="D276" s="657"/>
      <c r="E276" s="657"/>
      <c r="F276" s="657"/>
      <c r="G276" s="657"/>
      <c r="H276" s="657"/>
      <c r="I276" s="657"/>
      <c r="L276" s="657"/>
      <c r="AA276" s="659"/>
      <c r="AB276" s="659"/>
      <c r="AC276" s="659"/>
      <c r="AD276" s="659"/>
      <c r="AE276" s="659"/>
      <c r="AF276" s="659"/>
      <c r="AG276" s="657"/>
    </row>
    <row r="277" spans="1:33" ht="10.5" customHeight="1" x14ac:dyDescent="0.2">
      <c r="A277" s="657"/>
      <c r="B277" s="657"/>
      <c r="C277" s="657"/>
      <c r="D277" s="657"/>
      <c r="E277" s="657"/>
      <c r="F277" s="657"/>
      <c r="G277" s="657"/>
      <c r="H277" s="657"/>
      <c r="I277" s="657"/>
      <c r="L277" s="657"/>
      <c r="AA277" s="659"/>
      <c r="AB277" s="659"/>
      <c r="AC277" s="659"/>
      <c r="AD277" s="659"/>
      <c r="AE277" s="659"/>
      <c r="AF277" s="659"/>
      <c r="AG277" s="657"/>
    </row>
    <row r="278" spans="1:33" ht="10.5" customHeight="1" x14ac:dyDescent="0.2">
      <c r="A278" s="657"/>
      <c r="B278" s="657"/>
      <c r="C278" s="657"/>
      <c r="D278" s="657"/>
      <c r="E278" s="657"/>
      <c r="F278" s="657"/>
      <c r="G278" s="657"/>
      <c r="H278" s="657"/>
      <c r="I278" s="657"/>
      <c r="L278" s="657"/>
      <c r="AA278" s="659"/>
      <c r="AB278" s="659"/>
      <c r="AC278" s="659"/>
      <c r="AD278" s="659"/>
      <c r="AE278" s="659"/>
      <c r="AF278" s="659"/>
      <c r="AG278" s="657"/>
    </row>
    <row r="279" spans="1:33" ht="10.5" customHeight="1" x14ac:dyDescent="0.2">
      <c r="A279" s="657"/>
      <c r="B279" s="657"/>
      <c r="C279" s="657"/>
      <c r="D279" s="657"/>
      <c r="E279" s="657"/>
      <c r="F279" s="657"/>
      <c r="G279" s="657"/>
      <c r="H279" s="657"/>
      <c r="I279" s="657"/>
      <c r="L279" s="657"/>
      <c r="AA279" s="659"/>
      <c r="AB279" s="659"/>
      <c r="AC279" s="659"/>
      <c r="AD279" s="659"/>
      <c r="AE279" s="659"/>
      <c r="AF279" s="659"/>
      <c r="AG279" s="657"/>
    </row>
    <row r="280" spans="1:33" ht="10.5" customHeight="1" x14ac:dyDescent="0.2">
      <c r="A280" s="657"/>
      <c r="B280" s="657"/>
      <c r="C280" s="657"/>
      <c r="D280" s="657"/>
      <c r="E280" s="657"/>
      <c r="F280" s="657"/>
      <c r="G280" s="657"/>
      <c r="H280" s="657"/>
      <c r="I280" s="657"/>
      <c r="L280" s="657"/>
      <c r="AA280" s="659"/>
      <c r="AB280" s="659"/>
      <c r="AC280" s="659"/>
      <c r="AD280" s="659"/>
      <c r="AE280" s="659"/>
      <c r="AF280" s="659"/>
      <c r="AG280" s="657"/>
    </row>
    <row r="281" spans="1:33" ht="10.5" customHeight="1" x14ac:dyDescent="0.2">
      <c r="A281" s="657"/>
      <c r="B281" s="657"/>
      <c r="C281" s="657"/>
      <c r="D281" s="657"/>
      <c r="E281" s="657"/>
      <c r="F281" s="657"/>
      <c r="G281" s="657"/>
      <c r="H281" s="657"/>
      <c r="I281" s="657"/>
      <c r="L281" s="657"/>
      <c r="AA281" s="659"/>
      <c r="AB281" s="659"/>
      <c r="AC281" s="659"/>
      <c r="AD281" s="659"/>
      <c r="AE281" s="659"/>
      <c r="AF281" s="659"/>
      <c r="AG281" s="657"/>
    </row>
    <row r="282" spans="1:33" ht="10.5" customHeight="1" x14ac:dyDescent="0.2">
      <c r="A282" s="657"/>
      <c r="B282" s="657"/>
      <c r="C282" s="657"/>
      <c r="D282" s="657"/>
      <c r="E282" s="657"/>
      <c r="F282" s="657"/>
      <c r="G282" s="657"/>
      <c r="H282" s="657"/>
      <c r="I282" s="657"/>
      <c r="L282" s="657"/>
      <c r="AA282" s="659"/>
      <c r="AB282" s="659"/>
      <c r="AC282" s="659"/>
      <c r="AD282" s="659"/>
      <c r="AE282" s="659"/>
      <c r="AF282" s="659"/>
      <c r="AG282" s="657"/>
    </row>
    <row r="283" spans="1:33" ht="10.5" customHeight="1" x14ac:dyDescent="0.2">
      <c r="A283" s="657"/>
      <c r="B283" s="657"/>
      <c r="C283" s="657"/>
      <c r="D283" s="657"/>
      <c r="E283" s="657"/>
      <c r="F283" s="657"/>
      <c r="G283" s="657"/>
      <c r="H283" s="657"/>
      <c r="I283" s="657"/>
      <c r="L283" s="657"/>
      <c r="AA283" s="659"/>
      <c r="AB283" s="659"/>
      <c r="AC283" s="659"/>
      <c r="AD283" s="659"/>
      <c r="AE283" s="659"/>
      <c r="AF283" s="659"/>
      <c r="AG283" s="657"/>
    </row>
    <row r="284" spans="1:33" ht="10.5" customHeight="1" x14ac:dyDescent="0.2">
      <c r="A284" s="657"/>
      <c r="B284" s="657"/>
      <c r="C284" s="657"/>
      <c r="D284" s="657"/>
      <c r="E284" s="657"/>
      <c r="F284" s="657"/>
      <c r="G284" s="657"/>
      <c r="H284" s="657"/>
      <c r="I284" s="657"/>
      <c r="L284" s="657"/>
      <c r="AA284" s="659"/>
      <c r="AB284" s="659"/>
      <c r="AC284" s="659"/>
      <c r="AD284" s="659"/>
      <c r="AE284" s="659"/>
      <c r="AF284" s="659"/>
      <c r="AG284" s="657"/>
    </row>
    <row r="285" spans="1:33" ht="10.5" customHeight="1" x14ac:dyDescent="0.2">
      <c r="A285" s="657"/>
      <c r="B285" s="657"/>
      <c r="C285" s="657"/>
      <c r="D285" s="657"/>
      <c r="E285" s="657"/>
      <c r="F285" s="657"/>
      <c r="G285" s="657"/>
      <c r="H285" s="657"/>
      <c r="I285" s="657"/>
      <c r="L285" s="657"/>
      <c r="AA285" s="659"/>
      <c r="AB285" s="659"/>
      <c r="AC285" s="659"/>
      <c r="AD285" s="659"/>
      <c r="AE285" s="659"/>
      <c r="AF285" s="659"/>
      <c r="AG285" s="657"/>
    </row>
    <row r="286" spans="1:33" ht="10.5" customHeight="1" x14ac:dyDescent="0.2">
      <c r="A286" s="657"/>
      <c r="B286" s="657"/>
      <c r="C286" s="657"/>
      <c r="D286" s="657"/>
      <c r="E286" s="657"/>
      <c r="F286" s="657"/>
      <c r="G286" s="657"/>
      <c r="H286" s="657"/>
      <c r="I286" s="657"/>
      <c r="L286" s="657"/>
      <c r="AA286" s="659"/>
      <c r="AB286" s="659"/>
      <c r="AC286" s="659"/>
      <c r="AD286" s="659"/>
      <c r="AE286" s="659"/>
      <c r="AF286" s="659"/>
      <c r="AG286" s="657"/>
    </row>
    <row r="287" spans="1:33" ht="10.5" customHeight="1" x14ac:dyDescent="0.2">
      <c r="A287" s="657"/>
      <c r="B287" s="657"/>
      <c r="C287" s="657"/>
      <c r="D287" s="657"/>
      <c r="E287" s="657"/>
      <c r="F287" s="657"/>
      <c r="G287" s="657"/>
      <c r="H287" s="657"/>
      <c r="I287" s="657"/>
      <c r="L287" s="657"/>
      <c r="AA287" s="659"/>
      <c r="AB287" s="659"/>
      <c r="AC287" s="659"/>
      <c r="AD287" s="659"/>
      <c r="AE287" s="659"/>
      <c r="AF287" s="659"/>
      <c r="AG287" s="657"/>
    </row>
    <row r="288" spans="1:33" ht="10.5" customHeight="1" x14ac:dyDescent="0.2">
      <c r="A288" s="657"/>
      <c r="B288" s="657"/>
      <c r="C288" s="657"/>
      <c r="D288" s="657"/>
      <c r="E288" s="657"/>
      <c r="F288" s="657"/>
      <c r="G288" s="657"/>
      <c r="H288" s="657"/>
      <c r="I288" s="657"/>
      <c r="L288" s="657"/>
      <c r="AA288" s="659"/>
      <c r="AB288" s="659"/>
      <c r="AC288" s="659"/>
      <c r="AD288" s="659"/>
      <c r="AE288" s="659"/>
      <c r="AF288" s="659"/>
      <c r="AG288" s="657"/>
    </row>
    <row r="289" spans="1:33" ht="10.5" customHeight="1" x14ac:dyDescent="0.2">
      <c r="A289" s="657"/>
      <c r="B289" s="657"/>
      <c r="C289" s="657"/>
      <c r="D289" s="657"/>
      <c r="E289" s="657"/>
      <c r="F289" s="657"/>
      <c r="G289" s="657"/>
      <c r="H289" s="657"/>
      <c r="I289" s="657"/>
      <c r="L289" s="657"/>
      <c r="AA289" s="659"/>
      <c r="AB289" s="659"/>
      <c r="AC289" s="659"/>
      <c r="AD289" s="659"/>
      <c r="AE289" s="659"/>
      <c r="AF289" s="659"/>
      <c r="AG289" s="657"/>
    </row>
    <row r="290" spans="1:33" ht="10.5" customHeight="1" x14ac:dyDescent="0.2">
      <c r="A290" s="657"/>
      <c r="B290" s="657"/>
      <c r="C290" s="657"/>
      <c r="D290" s="657"/>
      <c r="E290" s="657"/>
      <c r="F290" s="657"/>
      <c r="G290" s="657"/>
      <c r="H290" s="657"/>
      <c r="I290" s="657"/>
      <c r="L290" s="657"/>
      <c r="AA290" s="659"/>
      <c r="AB290" s="659"/>
      <c r="AC290" s="659"/>
      <c r="AD290" s="659"/>
      <c r="AE290" s="659"/>
      <c r="AF290" s="659"/>
      <c r="AG290" s="657"/>
    </row>
    <row r="291" spans="1:33" ht="10.5" customHeight="1" x14ac:dyDescent="0.2">
      <c r="A291" s="657"/>
      <c r="B291" s="657"/>
      <c r="C291" s="657"/>
      <c r="D291" s="657"/>
      <c r="E291" s="657"/>
      <c r="F291" s="657"/>
      <c r="G291" s="657"/>
      <c r="H291" s="657"/>
      <c r="I291" s="657"/>
      <c r="L291" s="657"/>
      <c r="AA291" s="659"/>
      <c r="AB291" s="659"/>
      <c r="AC291" s="659"/>
      <c r="AD291" s="659"/>
      <c r="AE291" s="659"/>
      <c r="AF291" s="659"/>
      <c r="AG291" s="657"/>
    </row>
    <row r="292" spans="1:33" ht="10.5" customHeight="1" x14ac:dyDescent="0.2">
      <c r="A292" s="657"/>
      <c r="B292" s="657"/>
      <c r="C292" s="657"/>
      <c r="D292" s="657"/>
      <c r="E292" s="657"/>
      <c r="F292" s="657"/>
      <c r="G292" s="657"/>
      <c r="H292" s="657"/>
      <c r="I292" s="657"/>
      <c r="L292" s="657"/>
      <c r="AA292" s="659"/>
      <c r="AB292" s="659"/>
      <c r="AC292" s="659"/>
      <c r="AD292" s="659"/>
      <c r="AE292" s="659"/>
      <c r="AF292" s="659"/>
      <c r="AG292" s="657"/>
    </row>
    <row r="293" spans="1:33" ht="10.5" customHeight="1" x14ac:dyDescent="0.2">
      <c r="A293" s="657"/>
      <c r="B293" s="657"/>
      <c r="C293" s="657"/>
      <c r="D293" s="657"/>
      <c r="E293" s="657"/>
      <c r="F293" s="657"/>
      <c r="G293" s="657"/>
      <c r="H293" s="657"/>
      <c r="I293" s="657"/>
      <c r="L293" s="657"/>
      <c r="AA293" s="659"/>
      <c r="AB293" s="659"/>
      <c r="AC293" s="659"/>
      <c r="AD293" s="659"/>
      <c r="AE293" s="659"/>
      <c r="AF293" s="659"/>
      <c r="AG293" s="657"/>
    </row>
    <row r="294" spans="1:33" ht="10.5" customHeight="1" x14ac:dyDescent="0.2">
      <c r="A294" s="657"/>
      <c r="B294" s="657"/>
      <c r="C294" s="657"/>
      <c r="D294" s="657"/>
      <c r="E294" s="657"/>
      <c r="F294" s="657"/>
      <c r="G294" s="657"/>
      <c r="H294" s="657"/>
      <c r="I294" s="657"/>
      <c r="L294" s="657"/>
      <c r="AA294" s="659"/>
      <c r="AB294" s="659"/>
      <c r="AC294" s="659"/>
      <c r="AD294" s="659"/>
      <c r="AE294" s="659"/>
      <c r="AF294" s="659"/>
      <c r="AG294" s="657"/>
    </row>
    <row r="295" spans="1:33" ht="10.5" customHeight="1" x14ac:dyDescent="0.2">
      <c r="A295" s="657"/>
      <c r="B295" s="657"/>
      <c r="C295" s="657"/>
      <c r="D295" s="657"/>
      <c r="E295" s="657"/>
      <c r="F295" s="657"/>
      <c r="G295" s="657"/>
      <c r="H295" s="657"/>
      <c r="I295" s="657"/>
      <c r="L295" s="657"/>
      <c r="AA295" s="659"/>
      <c r="AB295" s="659"/>
      <c r="AC295" s="659"/>
      <c r="AD295" s="659"/>
      <c r="AE295" s="659"/>
      <c r="AF295" s="659"/>
      <c r="AG295" s="657"/>
    </row>
    <row r="296" spans="1:33" ht="10.5" customHeight="1" x14ac:dyDescent="0.2">
      <c r="A296" s="657"/>
      <c r="B296" s="657"/>
      <c r="C296" s="657"/>
      <c r="D296" s="657"/>
      <c r="E296" s="657"/>
      <c r="F296" s="657"/>
      <c r="G296" s="657"/>
      <c r="H296" s="657"/>
      <c r="I296" s="657"/>
      <c r="L296" s="657"/>
      <c r="AA296" s="659"/>
      <c r="AB296" s="659"/>
      <c r="AC296" s="659"/>
      <c r="AD296" s="659"/>
      <c r="AE296" s="659"/>
      <c r="AF296" s="659"/>
      <c r="AG296" s="657"/>
    </row>
    <row r="297" spans="1:33" ht="10.5" customHeight="1" x14ac:dyDescent="0.2">
      <c r="A297" s="657"/>
      <c r="B297" s="657"/>
      <c r="C297" s="657"/>
      <c r="D297" s="657"/>
      <c r="E297" s="657"/>
      <c r="F297" s="657"/>
      <c r="G297" s="657"/>
      <c r="H297" s="657"/>
      <c r="I297" s="657"/>
      <c r="L297" s="657"/>
      <c r="AA297" s="659"/>
      <c r="AB297" s="659"/>
      <c r="AC297" s="659"/>
      <c r="AD297" s="659"/>
      <c r="AE297" s="659"/>
      <c r="AF297" s="659"/>
      <c r="AG297" s="657"/>
    </row>
    <row r="298" spans="1:33" ht="10.5" customHeight="1" x14ac:dyDescent="0.2">
      <c r="A298" s="657"/>
      <c r="B298" s="657"/>
      <c r="C298" s="657"/>
      <c r="D298" s="657"/>
      <c r="E298" s="657"/>
      <c r="F298" s="657"/>
      <c r="G298" s="657"/>
      <c r="H298" s="657"/>
      <c r="I298" s="657"/>
      <c r="L298" s="657"/>
      <c r="AA298" s="659"/>
      <c r="AB298" s="659"/>
      <c r="AC298" s="659"/>
      <c r="AD298" s="659"/>
      <c r="AE298" s="659"/>
      <c r="AF298" s="659"/>
      <c r="AG298" s="657"/>
    </row>
    <row r="299" spans="1:33" ht="10.5" customHeight="1" x14ac:dyDescent="0.2">
      <c r="A299" s="657"/>
      <c r="B299" s="657"/>
      <c r="C299" s="657"/>
      <c r="D299" s="657"/>
      <c r="E299" s="657"/>
      <c r="F299" s="657"/>
      <c r="G299" s="657"/>
      <c r="H299" s="657"/>
      <c r="I299" s="657"/>
      <c r="L299" s="657"/>
      <c r="AA299" s="659"/>
      <c r="AB299" s="659"/>
      <c r="AC299" s="659"/>
      <c r="AD299" s="659"/>
      <c r="AE299" s="659"/>
      <c r="AF299" s="659"/>
      <c r="AG299" s="657"/>
    </row>
    <row r="300" spans="1:33" ht="10.5" customHeight="1" x14ac:dyDescent="0.2">
      <c r="A300" s="657"/>
      <c r="B300" s="657"/>
      <c r="C300" s="657"/>
      <c r="D300" s="657"/>
      <c r="E300" s="657"/>
      <c r="F300" s="657"/>
      <c r="G300" s="657"/>
      <c r="H300" s="657"/>
      <c r="I300" s="657"/>
      <c r="L300" s="657"/>
      <c r="AA300" s="659"/>
      <c r="AB300" s="659"/>
      <c r="AC300" s="659"/>
      <c r="AD300" s="659"/>
      <c r="AE300" s="659"/>
      <c r="AF300" s="659"/>
      <c r="AG300" s="657"/>
    </row>
    <row r="301" spans="1:33" ht="10.5" customHeight="1" x14ac:dyDescent="0.2">
      <c r="A301" s="657"/>
      <c r="B301" s="657"/>
      <c r="C301" s="657"/>
      <c r="D301" s="657"/>
      <c r="E301" s="657"/>
      <c r="F301" s="657"/>
      <c r="G301" s="657"/>
      <c r="H301" s="657"/>
      <c r="I301" s="657"/>
      <c r="L301" s="657"/>
      <c r="AA301" s="659"/>
      <c r="AB301" s="659"/>
      <c r="AC301" s="659"/>
      <c r="AD301" s="659"/>
      <c r="AE301" s="659"/>
      <c r="AF301" s="659"/>
      <c r="AG301" s="657"/>
    </row>
    <row r="302" spans="1:33" ht="10.5" customHeight="1" x14ac:dyDescent="0.2">
      <c r="A302" s="657"/>
      <c r="B302" s="657"/>
      <c r="C302" s="657"/>
      <c r="D302" s="657"/>
      <c r="E302" s="657"/>
      <c r="F302" s="657"/>
      <c r="G302" s="657"/>
      <c r="H302" s="657"/>
      <c r="I302" s="657"/>
      <c r="L302" s="657"/>
      <c r="AA302" s="659"/>
      <c r="AB302" s="659"/>
      <c r="AC302" s="659"/>
      <c r="AD302" s="659"/>
      <c r="AE302" s="659"/>
      <c r="AF302" s="659"/>
      <c r="AG302" s="657"/>
    </row>
    <row r="303" spans="1:33" ht="10.5" customHeight="1" x14ac:dyDescent="0.2">
      <c r="A303" s="657"/>
      <c r="B303" s="657"/>
      <c r="C303" s="657"/>
      <c r="D303" s="657"/>
      <c r="E303" s="657"/>
      <c r="F303" s="657"/>
      <c r="G303" s="657"/>
      <c r="H303" s="657"/>
      <c r="I303" s="657"/>
      <c r="L303" s="657"/>
      <c r="AA303" s="659"/>
      <c r="AB303" s="659"/>
      <c r="AC303" s="659"/>
      <c r="AD303" s="659"/>
      <c r="AE303" s="659"/>
      <c r="AF303" s="659"/>
      <c r="AG303" s="657"/>
    </row>
    <row r="304" spans="1:33" ht="10.5" customHeight="1" x14ac:dyDescent="0.2">
      <c r="A304" s="657"/>
      <c r="B304" s="657"/>
      <c r="C304" s="657"/>
      <c r="D304" s="657"/>
      <c r="E304" s="657"/>
      <c r="F304" s="657"/>
      <c r="G304" s="657"/>
      <c r="H304" s="657"/>
      <c r="I304" s="657"/>
      <c r="L304" s="657"/>
      <c r="AA304" s="659"/>
      <c r="AB304" s="659"/>
      <c r="AC304" s="659"/>
      <c r="AD304" s="659"/>
      <c r="AE304" s="659"/>
      <c r="AF304" s="659"/>
      <c r="AG304" s="657"/>
    </row>
    <row r="305" spans="1:33" ht="10.5" customHeight="1" x14ac:dyDescent="0.2">
      <c r="A305" s="657"/>
      <c r="B305" s="657"/>
      <c r="C305" s="657"/>
      <c r="D305" s="657"/>
      <c r="E305" s="657"/>
      <c r="F305" s="657"/>
      <c r="G305" s="657"/>
      <c r="H305" s="657"/>
      <c r="I305" s="657"/>
      <c r="L305" s="657"/>
      <c r="AA305" s="659"/>
      <c r="AB305" s="659"/>
      <c r="AC305" s="659"/>
      <c r="AD305" s="659"/>
      <c r="AE305" s="659"/>
      <c r="AF305" s="659"/>
      <c r="AG305" s="657"/>
    </row>
    <row r="306" spans="1:33" ht="10.5" customHeight="1" x14ac:dyDescent="0.2">
      <c r="A306" s="657"/>
      <c r="B306" s="657"/>
      <c r="C306" s="657"/>
      <c r="D306" s="657"/>
      <c r="E306" s="657"/>
      <c r="F306" s="657"/>
      <c r="G306" s="657"/>
      <c r="H306" s="657"/>
      <c r="I306" s="657"/>
      <c r="L306" s="657"/>
      <c r="AA306" s="659"/>
      <c r="AB306" s="659"/>
      <c r="AC306" s="659"/>
      <c r="AD306" s="659"/>
      <c r="AE306" s="659"/>
      <c r="AF306" s="659"/>
      <c r="AG306" s="657"/>
    </row>
    <row r="307" spans="1:33" ht="10.5" customHeight="1" x14ac:dyDescent="0.2">
      <c r="A307" s="657"/>
      <c r="B307" s="657"/>
      <c r="C307" s="657"/>
      <c r="D307" s="657"/>
      <c r="E307" s="657"/>
      <c r="F307" s="657"/>
      <c r="G307" s="657"/>
      <c r="H307" s="657"/>
      <c r="I307" s="657"/>
      <c r="L307" s="657"/>
      <c r="AA307" s="659"/>
      <c r="AB307" s="659"/>
      <c r="AC307" s="659"/>
      <c r="AD307" s="659"/>
      <c r="AE307" s="659"/>
      <c r="AF307" s="659"/>
      <c r="AG307" s="657"/>
    </row>
    <row r="308" spans="1:33" ht="10.5" customHeight="1" x14ac:dyDescent="0.2">
      <c r="A308" s="657"/>
      <c r="B308" s="657"/>
      <c r="C308" s="657"/>
      <c r="D308" s="657"/>
      <c r="E308" s="657"/>
      <c r="F308" s="657"/>
      <c r="G308" s="657"/>
      <c r="H308" s="657"/>
      <c r="I308" s="657"/>
      <c r="L308" s="657"/>
      <c r="AA308" s="659"/>
      <c r="AB308" s="659"/>
      <c r="AC308" s="659"/>
      <c r="AD308" s="659"/>
      <c r="AE308" s="659"/>
      <c r="AF308" s="659"/>
      <c r="AG308" s="657"/>
    </row>
    <row r="309" spans="1:33" ht="10.5" customHeight="1" x14ac:dyDescent="0.2">
      <c r="A309" s="657"/>
      <c r="B309" s="657"/>
      <c r="C309" s="657"/>
      <c r="D309" s="657"/>
      <c r="E309" s="657"/>
      <c r="F309" s="657"/>
      <c r="G309" s="657"/>
      <c r="H309" s="657"/>
      <c r="I309" s="657"/>
      <c r="L309" s="657"/>
      <c r="AA309" s="659"/>
      <c r="AB309" s="659"/>
      <c r="AC309" s="659"/>
      <c r="AD309" s="659"/>
      <c r="AE309" s="659"/>
      <c r="AF309" s="659"/>
      <c r="AG309" s="657"/>
    </row>
    <row r="310" spans="1:33" ht="10.5" customHeight="1" x14ac:dyDescent="0.2">
      <c r="A310" s="657"/>
      <c r="B310" s="657"/>
      <c r="C310" s="657"/>
      <c r="D310" s="657"/>
      <c r="E310" s="657"/>
      <c r="F310" s="657"/>
      <c r="G310" s="657"/>
      <c r="H310" s="657"/>
      <c r="I310" s="657"/>
      <c r="L310" s="657"/>
      <c r="AA310" s="659"/>
      <c r="AB310" s="659"/>
      <c r="AC310" s="659"/>
      <c r="AD310" s="659"/>
      <c r="AE310" s="659"/>
      <c r="AF310" s="659"/>
      <c r="AG310" s="657"/>
    </row>
    <row r="311" spans="1:33" ht="10.5" customHeight="1" x14ac:dyDescent="0.2">
      <c r="A311" s="657"/>
      <c r="B311" s="657"/>
      <c r="C311" s="657"/>
      <c r="D311" s="657"/>
      <c r="E311" s="657"/>
      <c r="F311" s="657"/>
      <c r="G311" s="657"/>
      <c r="H311" s="657"/>
      <c r="I311" s="657"/>
      <c r="L311" s="657"/>
      <c r="AA311" s="659"/>
      <c r="AB311" s="659"/>
      <c r="AC311" s="659"/>
      <c r="AD311" s="659"/>
      <c r="AE311" s="659"/>
      <c r="AF311" s="659"/>
      <c r="AG311" s="657"/>
    </row>
    <row r="312" spans="1:33" ht="10.5" customHeight="1" x14ac:dyDescent="0.2">
      <c r="A312" s="657"/>
      <c r="B312" s="657"/>
      <c r="C312" s="657"/>
      <c r="D312" s="657"/>
      <c r="E312" s="657"/>
      <c r="F312" s="657"/>
      <c r="G312" s="657"/>
      <c r="H312" s="657"/>
      <c r="I312" s="657"/>
      <c r="L312" s="657"/>
      <c r="AA312" s="659"/>
      <c r="AB312" s="659"/>
      <c r="AC312" s="659"/>
      <c r="AD312" s="659"/>
      <c r="AE312" s="659"/>
      <c r="AF312" s="659"/>
      <c r="AG312" s="657"/>
    </row>
    <row r="313" spans="1:33" ht="10.5" customHeight="1" x14ac:dyDescent="0.2">
      <c r="A313" s="657"/>
      <c r="B313" s="657"/>
      <c r="C313" s="657"/>
      <c r="D313" s="657"/>
      <c r="E313" s="657"/>
      <c r="F313" s="657"/>
      <c r="G313" s="657"/>
      <c r="H313" s="657"/>
      <c r="I313" s="657"/>
      <c r="L313" s="657"/>
      <c r="AA313" s="659"/>
      <c r="AB313" s="659"/>
      <c r="AC313" s="659"/>
      <c r="AD313" s="659"/>
      <c r="AE313" s="659"/>
      <c r="AF313" s="659"/>
      <c r="AG313" s="657"/>
    </row>
    <row r="314" spans="1:33" ht="10.5" customHeight="1" x14ac:dyDescent="0.2">
      <c r="A314" s="657"/>
      <c r="B314" s="657"/>
      <c r="C314" s="657"/>
      <c r="D314" s="657"/>
      <c r="E314" s="657"/>
      <c r="F314" s="657"/>
      <c r="G314" s="657"/>
      <c r="H314" s="657"/>
      <c r="I314" s="657"/>
      <c r="L314" s="657"/>
      <c r="AA314" s="659"/>
      <c r="AB314" s="659"/>
      <c r="AC314" s="659"/>
      <c r="AD314" s="659"/>
      <c r="AE314" s="659"/>
      <c r="AF314" s="659"/>
      <c r="AG314" s="657"/>
    </row>
    <row r="315" spans="1:33" ht="10.5" customHeight="1" x14ac:dyDescent="0.2">
      <c r="A315" s="657"/>
      <c r="B315" s="657"/>
      <c r="C315" s="657"/>
      <c r="D315" s="657"/>
      <c r="E315" s="657"/>
      <c r="F315" s="657"/>
      <c r="G315" s="657"/>
      <c r="H315" s="657"/>
      <c r="I315" s="657"/>
      <c r="L315" s="657"/>
      <c r="AA315" s="659"/>
      <c r="AB315" s="659"/>
      <c r="AC315" s="659"/>
      <c r="AD315" s="659"/>
      <c r="AE315" s="659"/>
      <c r="AF315" s="659"/>
      <c r="AG315" s="657"/>
    </row>
    <row r="316" spans="1:33" ht="10.5" customHeight="1" x14ac:dyDescent="0.2">
      <c r="A316" s="657"/>
      <c r="B316" s="657"/>
      <c r="C316" s="657"/>
      <c r="D316" s="657"/>
      <c r="E316" s="657"/>
      <c r="F316" s="657"/>
      <c r="G316" s="657"/>
      <c r="H316" s="657"/>
      <c r="I316" s="657"/>
      <c r="L316" s="657"/>
      <c r="AA316" s="659"/>
      <c r="AB316" s="659"/>
      <c r="AC316" s="659"/>
      <c r="AD316" s="659"/>
      <c r="AE316" s="659"/>
      <c r="AF316" s="659"/>
      <c r="AG316" s="657"/>
    </row>
    <row r="317" spans="1:33" ht="10.5" customHeight="1" x14ac:dyDescent="0.2">
      <c r="A317" s="657"/>
      <c r="B317" s="657"/>
      <c r="C317" s="657"/>
      <c r="D317" s="657"/>
      <c r="E317" s="657"/>
      <c r="F317" s="657"/>
      <c r="G317" s="657"/>
      <c r="H317" s="657"/>
      <c r="I317" s="657"/>
      <c r="L317" s="657"/>
      <c r="AA317" s="659"/>
      <c r="AB317" s="659"/>
      <c r="AC317" s="659"/>
      <c r="AD317" s="659"/>
      <c r="AE317" s="659"/>
      <c r="AF317" s="659"/>
      <c r="AG317" s="657"/>
    </row>
    <row r="318" spans="1:33" ht="10.5" customHeight="1" x14ac:dyDescent="0.2">
      <c r="A318" s="657"/>
      <c r="B318" s="657"/>
      <c r="C318" s="657"/>
      <c r="D318" s="657"/>
      <c r="E318" s="657"/>
      <c r="F318" s="657"/>
      <c r="G318" s="657"/>
      <c r="H318" s="657"/>
      <c r="I318" s="657"/>
      <c r="L318" s="657"/>
      <c r="AA318" s="659"/>
      <c r="AB318" s="659"/>
      <c r="AC318" s="659"/>
      <c r="AD318" s="659"/>
      <c r="AE318" s="659"/>
      <c r="AF318" s="659"/>
      <c r="AG318" s="657"/>
    </row>
    <row r="319" spans="1:33" ht="10.5" customHeight="1" x14ac:dyDescent="0.2">
      <c r="A319" s="657"/>
      <c r="B319" s="657"/>
      <c r="C319" s="657"/>
      <c r="D319" s="657"/>
      <c r="E319" s="657"/>
      <c r="F319" s="657"/>
      <c r="G319" s="657"/>
      <c r="H319" s="657"/>
      <c r="I319" s="657"/>
      <c r="L319" s="657"/>
      <c r="AA319" s="659"/>
      <c r="AB319" s="659"/>
      <c r="AC319" s="659"/>
      <c r="AD319" s="659"/>
      <c r="AE319" s="659"/>
      <c r="AF319" s="659"/>
      <c r="AG319" s="657"/>
    </row>
    <row r="320" spans="1:33" ht="10.5" customHeight="1" x14ac:dyDescent="0.2">
      <c r="A320" s="657"/>
      <c r="B320" s="657"/>
      <c r="C320" s="657"/>
      <c r="D320" s="657"/>
      <c r="E320" s="657"/>
      <c r="F320" s="657"/>
      <c r="G320" s="657"/>
      <c r="H320" s="657"/>
      <c r="I320" s="657"/>
      <c r="L320" s="657"/>
      <c r="AA320" s="659"/>
      <c r="AB320" s="659"/>
      <c r="AC320" s="659"/>
      <c r="AD320" s="659"/>
      <c r="AE320" s="659"/>
      <c r="AF320" s="659"/>
      <c r="AG320" s="657"/>
    </row>
    <row r="321" spans="1:33" ht="10.5" customHeight="1" x14ac:dyDescent="0.2">
      <c r="A321" s="657"/>
      <c r="B321" s="657"/>
      <c r="C321" s="657"/>
      <c r="D321" s="657"/>
      <c r="E321" s="657"/>
      <c r="F321" s="657"/>
      <c r="G321" s="657"/>
      <c r="H321" s="657"/>
      <c r="I321" s="657"/>
      <c r="L321" s="657"/>
      <c r="AA321" s="659"/>
      <c r="AB321" s="659"/>
      <c r="AC321" s="659"/>
      <c r="AD321" s="659"/>
      <c r="AE321" s="659"/>
      <c r="AF321" s="659"/>
      <c r="AG321" s="657"/>
    </row>
    <row r="322" spans="1:33" ht="10.5" customHeight="1" x14ac:dyDescent="0.2">
      <c r="A322" s="657"/>
      <c r="B322" s="657"/>
      <c r="C322" s="657"/>
      <c r="D322" s="657"/>
      <c r="E322" s="657"/>
      <c r="F322" s="657"/>
      <c r="G322" s="657"/>
      <c r="H322" s="657"/>
      <c r="I322" s="657"/>
      <c r="L322" s="657"/>
      <c r="AA322" s="659"/>
      <c r="AB322" s="659"/>
      <c r="AC322" s="659"/>
      <c r="AD322" s="659"/>
      <c r="AE322" s="659"/>
      <c r="AF322" s="659"/>
      <c r="AG322" s="657"/>
    </row>
    <row r="323" spans="1:33" ht="10.5" customHeight="1" x14ac:dyDescent="0.2">
      <c r="A323" s="657"/>
      <c r="B323" s="657"/>
      <c r="C323" s="657"/>
      <c r="D323" s="657"/>
      <c r="E323" s="657"/>
      <c r="F323" s="657"/>
      <c r="G323" s="657"/>
      <c r="H323" s="657"/>
      <c r="I323" s="657"/>
      <c r="L323" s="657"/>
      <c r="AA323" s="659"/>
      <c r="AB323" s="659"/>
      <c r="AC323" s="659"/>
      <c r="AD323" s="659"/>
      <c r="AE323" s="659"/>
      <c r="AF323" s="659"/>
      <c r="AG323" s="657"/>
    </row>
    <row r="324" spans="1:33" ht="10.5" customHeight="1" x14ac:dyDescent="0.2">
      <c r="A324" s="657"/>
      <c r="B324" s="657"/>
      <c r="C324" s="657"/>
      <c r="D324" s="657"/>
      <c r="E324" s="657"/>
      <c r="F324" s="657"/>
      <c r="G324" s="657"/>
      <c r="H324" s="657"/>
      <c r="I324" s="657"/>
      <c r="L324" s="657"/>
      <c r="AA324" s="659"/>
      <c r="AB324" s="659"/>
      <c r="AC324" s="659"/>
      <c r="AD324" s="659"/>
      <c r="AE324" s="659"/>
      <c r="AF324" s="659"/>
      <c r="AG324" s="657"/>
    </row>
    <row r="325" spans="1:33" ht="10.5" customHeight="1" x14ac:dyDescent="0.2">
      <c r="A325" s="657"/>
      <c r="B325" s="657"/>
      <c r="C325" s="657"/>
      <c r="D325" s="657"/>
      <c r="E325" s="657"/>
      <c r="F325" s="657"/>
      <c r="G325" s="657"/>
      <c r="H325" s="657"/>
      <c r="I325" s="657"/>
      <c r="L325" s="657"/>
      <c r="AA325" s="659"/>
      <c r="AB325" s="659"/>
      <c r="AC325" s="659"/>
      <c r="AD325" s="659"/>
      <c r="AE325" s="659"/>
      <c r="AF325" s="659"/>
      <c r="AG325" s="657"/>
    </row>
    <row r="326" spans="1:33" ht="10.5" customHeight="1" x14ac:dyDescent="0.2">
      <c r="A326" s="657"/>
      <c r="B326" s="657"/>
      <c r="C326" s="657"/>
      <c r="D326" s="657"/>
      <c r="E326" s="657"/>
      <c r="F326" s="657"/>
      <c r="G326" s="657"/>
      <c r="H326" s="657"/>
      <c r="I326" s="657"/>
      <c r="L326" s="657"/>
      <c r="AA326" s="659"/>
      <c r="AB326" s="659"/>
      <c r="AC326" s="659"/>
      <c r="AD326" s="659"/>
      <c r="AE326" s="659"/>
      <c r="AF326" s="659"/>
      <c r="AG326" s="657"/>
    </row>
    <row r="327" spans="1:33" ht="10.5" customHeight="1" x14ac:dyDescent="0.2">
      <c r="A327" s="657"/>
      <c r="B327" s="657"/>
      <c r="C327" s="657"/>
      <c r="D327" s="657"/>
      <c r="E327" s="657"/>
      <c r="F327" s="657"/>
      <c r="G327" s="657"/>
      <c r="H327" s="657"/>
      <c r="I327" s="657"/>
      <c r="L327" s="657"/>
      <c r="AA327" s="659"/>
      <c r="AB327" s="659"/>
      <c r="AC327" s="659"/>
      <c r="AD327" s="659"/>
      <c r="AE327" s="659"/>
      <c r="AF327" s="659"/>
      <c r="AG327" s="657"/>
    </row>
    <row r="328" spans="1:33" ht="10.5" customHeight="1" x14ac:dyDescent="0.2">
      <c r="A328" s="657"/>
      <c r="B328" s="657"/>
      <c r="C328" s="657"/>
      <c r="D328" s="657"/>
      <c r="E328" s="657"/>
      <c r="F328" s="657"/>
      <c r="G328" s="657"/>
      <c r="H328" s="657"/>
      <c r="I328" s="657"/>
      <c r="L328" s="657"/>
      <c r="AA328" s="659"/>
      <c r="AB328" s="659"/>
      <c r="AC328" s="659"/>
      <c r="AD328" s="659"/>
      <c r="AE328" s="659"/>
      <c r="AF328" s="659"/>
      <c r="AG328" s="657"/>
    </row>
    <row r="329" spans="1:33" ht="10.5" customHeight="1" x14ac:dyDescent="0.2">
      <c r="A329" s="657"/>
      <c r="B329" s="657"/>
      <c r="C329" s="657"/>
      <c r="D329" s="657"/>
      <c r="E329" s="657"/>
      <c r="F329" s="657"/>
      <c r="G329" s="657"/>
      <c r="H329" s="657"/>
      <c r="I329" s="657"/>
      <c r="L329" s="657"/>
      <c r="AA329" s="659"/>
      <c r="AB329" s="659"/>
      <c r="AC329" s="659"/>
      <c r="AD329" s="659"/>
      <c r="AE329" s="659"/>
      <c r="AF329" s="659"/>
      <c r="AG329" s="657"/>
    </row>
    <row r="330" spans="1:33" ht="10.5" customHeight="1" x14ac:dyDescent="0.2">
      <c r="A330" s="657"/>
      <c r="B330" s="657"/>
      <c r="C330" s="657"/>
      <c r="D330" s="657"/>
      <c r="E330" s="657"/>
      <c r="F330" s="657"/>
      <c r="G330" s="657"/>
      <c r="H330" s="657"/>
      <c r="I330" s="657"/>
      <c r="L330" s="657"/>
      <c r="AA330" s="659"/>
      <c r="AB330" s="659"/>
      <c r="AC330" s="659"/>
      <c r="AD330" s="659"/>
      <c r="AE330" s="659"/>
      <c r="AF330" s="659"/>
      <c r="AG330" s="657"/>
    </row>
    <row r="331" spans="1:33" ht="10.5" customHeight="1" x14ac:dyDescent="0.2">
      <c r="A331" s="657"/>
      <c r="B331" s="657"/>
      <c r="C331" s="657"/>
      <c r="D331" s="657"/>
      <c r="E331" s="657"/>
      <c r="F331" s="657"/>
      <c r="G331" s="657"/>
      <c r="H331" s="657"/>
      <c r="I331" s="657"/>
      <c r="L331" s="657"/>
      <c r="AA331" s="659"/>
      <c r="AB331" s="659"/>
      <c r="AC331" s="659"/>
      <c r="AD331" s="659"/>
      <c r="AE331" s="659"/>
      <c r="AF331" s="659"/>
      <c r="AG331" s="657"/>
    </row>
    <row r="332" spans="1:33" ht="10.5" customHeight="1" x14ac:dyDescent="0.2">
      <c r="A332" s="657"/>
      <c r="B332" s="657"/>
      <c r="C332" s="657"/>
      <c r="D332" s="657"/>
      <c r="E332" s="657"/>
      <c r="F332" s="657"/>
      <c r="G332" s="657"/>
      <c r="H332" s="657"/>
      <c r="I332" s="657"/>
      <c r="L332" s="657"/>
      <c r="AA332" s="659"/>
      <c r="AB332" s="659"/>
      <c r="AC332" s="659"/>
      <c r="AD332" s="659"/>
      <c r="AE332" s="659"/>
      <c r="AF332" s="659"/>
      <c r="AG332" s="657"/>
    </row>
    <row r="333" spans="1:33" ht="10.5" customHeight="1" x14ac:dyDescent="0.2">
      <c r="A333" s="657"/>
      <c r="B333" s="657"/>
      <c r="C333" s="657"/>
      <c r="D333" s="657"/>
      <c r="E333" s="657"/>
      <c r="F333" s="657"/>
      <c r="G333" s="657"/>
      <c r="H333" s="657"/>
      <c r="I333" s="657"/>
      <c r="L333" s="657"/>
      <c r="AA333" s="659"/>
      <c r="AB333" s="659"/>
      <c r="AC333" s="659"/>
      <c r="AD333" s="659"/>
      <c r="AE333" s="659"/>
      <c r="AF333" s="659"/>
      <c r="AG333" s="657"/>
    </row>
    <row r="334" spans="1:33" ht="10.5" customHeight="1" x14ac:dyDescent="0.2">
      <c r="A334" s="657"/>
      <c r="B334" s="657"/>
      <c r="C334" s="657"/>
      <c r="D334" s="657"/>
      <c r="E334" s="657"/>
      <c r="F334" s="657"/>
      <c r="G334" s="657"/>
      <c r="H334" s="657"/>
      <c r="I334" s="657"/>
      <c r="L334" s="657"/>
      <c r="AA334" s="659"/>
      <c r="AB334" s="659"/>
      <c r="AC334" s="659"/>
      <c r="AD334" s="659"/>
      <c r="AE334" s="659"/>
      <c r="AF334" s="659"/>
      <c r="AG334" s="657"/>
    </row>
    <row r="335" spans="1:33" ht="10.5" customHeight="1" x14ac:dyDescent="0.2">
      <c r="A335" s="657"/>
      <c r="B335" s="657"/>
      <c r="C335" s="657"/>
      <c r="D335" s="657"/>
      <c r="E335" s="657"/>
      <c r="F335" s="657"/>
      <c r="G335" s="657"/>
      <c r="H335" s="657"/>
      <c r="I335" s="657"/>
      <c r="L335" s="657"/>
      <c r="AA335" s="659"/>
      <c r="AB335" s="659"/>
      <c r="AC335" s="659"/>
      <c r="AD335" s="659"/>
      <c r="AE335" s="659"/>
      <c r="AF335" s="659"/>
      <c r="AG335" s="657"/>
    </row>
    <row r="336" spans="1:33" ht="10.5" customHeight="1" x14ac:dyDescent="0.2">
      <c r="A336" s="657"/>
      <c r="B336" s="657"/>
      <c r="C336" s="657"/>
      <c r="D336" s="657"/>
      <c r="E336" s="657"/>
      <c r="F336" s="657"/>
      <c r="G336" s="657"/>
      <c r="H336" s="657"/>
      <c r="I336" s="657"/>
      <c r="L336" s="657"/>
      <c r="AA336" s="659"/>
      <c r="AB336" s="659"/>
      <c r="AC336" s="659"/>
      <c r="AD336" s="659"/>
      <c r="AE336" s="659"/>
      <c r="AF336" s="659"/>
      <c r="AG336" s="657"/>
    </row>
    <row r="337" spans="1:33" ht="10.5" customHeight="1" x14ac:dyDescent="0.2">
      <c r="A337" s="657"/>
      <c r="B337" s="657"/>
      <c r="C337" s="657"/>
      <c r="D337" s="657"/>
      <c r="E337" s="657"/>
      <c r="F337" s="657"/>
      <c r="G337" s="657"/>
      <c r="H337" s="657"/>
      <c r="I337" s="657"/>
      <c r="L337" s="657"/>
      <c r="AA337" s="659"/>
      <c r="AB337" s="659"/>
      <c r="AC337" s="659"/>
      <c r="AD337" s="659"/>
      <c r="AE337" s="659"/>
      <c r="AF337" s="659"/>
      <c r="AG337" s="657"/>
    </row>
    <row r="338" spans="1:33" ht="10.5" customHeight="1" x14ac:dyDescent="0.2">
      <c r="A338" s="657"/>
      <c r="B338" s="657"/>
      <c r="C338" s="657"/>
      <c r="D338" s="657"/>
      <c r="E338" s="657"/>
      <c r="F338" s="657"/>
      <c r="G338" s="657"/>
      <c r="H338" s="657"/>
      <c r="I338" s="657"/>
      <c r="L338" s="657"/>
      <c r="AA338" s="659"/>
      <c r="AB338" s="659"/>
      <c r="AC338" s="659"/>
      <c r="AD338" s="659"/>
      <c r="AE338" s="659"/>
      <c r="AF338" s="659"/>
      <c r="AG338" s="657"/>
    </row>
    <row r="339" spans="1:33" ht="10.5" customHeight="1" x14ac:dyDescent="0.2">
      <c r="A339" s="657"/>
      <c r="B339" s="657"/>
      <c r="C339" s="657"/>
      <c r="D339" s="657"/>
      <c r="E339" s="657"/>
      <c r="F339" s="657"/>
      <c r="G339" s="657"/>
      <c r="H339" s="657"/>
      <c r="I339" s="657"/>
      <c r="L339" s="657"/>
      <c r="AA339" s="659"/>
      <c r="AB339" s="659"/>
      <c r="AC339" s="659"/>
      <c r="AD339" s="659"/>
      <c r="AE339" s="659"/>
      <c r="AF339" s="659"/>
      <c r="AG339" s="657"/>
    </row>
    <row r="340" spans="1:33" ht="10.5" customHeight="1" x14ac:dyDescent="0.2">
      <c r="A340" s="657"/>
      <c r="B340" s="657"/>
      <c r="C340" s="657"/>
      <c r="D340" s="657"/>
      <c r="E340" s="657"/>
      <c r="F340" s="657"/>
      <c r="G340" s="657"/>
      <c r="H340" s="657"/>
      <c r="I340" s="657"/>
      <c r="L340" s="657"/>
      <c r="AA340" s="659"/>
      <c r="AB340" s="659"/>
      <c r="AC340" s="659"/>
      <c r="AD340" s="659"/>
      <c r="AE340" s="659"/>
      <c r="AF340" s="659"/>
      <c r="AG340" s="657"/>
    </row>
    <row r="341" spans="1:33" ht="10.5" customHeight="1" x14ac:dyDescent="0.2">
      <c r="A341" s="657"/>
      <c r="B341" s="657"/>
      <c r="C341" s="657"/>
      <c r="D341" s="657"/>
      <c r="E341" s="657"/>
      <c r="F341" s="657"/>
      <c r="G341" s="657"/>
      <c r="H341" s="657"/>
      <c r="I341" s="657"/>
      <c r="L341" s="657"/>
      <c r="AA341" s="659"/>
      <c r="AB341" s="659"/>
      <c r="AC341" s="659"/>
      <c r="AD341" s="659"/>
      <c r="AE341" s="659"/>
      <c r="AF341" s="659"/>
      <c r="AG341" s="657"/>
    </row>
    <row r="342" spans="1:33" ht="10.5" customHeight="1" x14ac:dyDescent="0.2">
      <c r="A342" s="657"/>
      <c r="B342" s="657"/>
      <c r="C342" s="657"/>
      <c r="D342" s="657"/>
      <c r="E342" s="657"/>
      <c r="F342" s="657"/>
      <c r="G342" s="657"/>
      <c r="H342" s="657"/>
      <c r="I342" s="657"/>
      <c r="L342" s="657"/>
      <c r="AA342" s="659"/>
      <c r="AB342" s="659"/>
      <c r="AC342" s="659"/>
      <c r="AD342" s="659"/>
      <c r="AE342" s="659"/>
      <c r="AF342" s="659"/>
      <c r="AG342" s="657"/>
    </row>
    <row r="343" spans="1:33" ht="10.5" customHeight="1" x14ac:dyDescent="0.2">
      <c r="A343" s="657"/>
      <c r="B343" s="657"/>
      <c r="C343" s="657"/>
      <c r="D343" s="657"/>
      <c r="E343" s="657"/>
      <c r="F343" s="657"/>
      <c r="G343" s="657"/>
      <c r="H343" s="657"/>
      <c r="I343" s="657"/>
      <c r="L343" s="657"/>
      <c r="AA343" s="659"/>
      <c r="AB343" s="659"/>
      <c r="AC343" s="659"/>
      <c r="AD343" s="659"/>
      <c r="AE343" s="659"/>
      <c r="AF343" s="659"/>
      <c r="AG343" s="657"/>
    </row>
    <row r="344" spans="1:33" ht="10.5" customHeight="1" x14ac:dyDescent="0.2">
      <c r="A344" s="657"/>
      <c r="B344" s="657"/>
      <c r="C344" s="657"/>
      <c r="D344" s="657"/>
      <c r="E344" s="657"/>
      <c r="F344" s="657"/>
      <c r="G344" s="657"/>
      <c r="H344" s="657"/>
      <c r="I344" s="657"/>
      <c r="L344" s="657"/>
      <c r="AA344" s="659"/>
      <c r="AB344" s="659"/>
      <c r="AC344" s="659"/>
      <c r="AD344" s="659"/>
      <c r="AE344" s="659"/>
      <c r="AF344" s="659"/>
      <c r="AG344" s="657"/>
    </row>
    <row r="345" spans="1:33" ht="10.5" customHeight="1" x14ac:dyDescent="0.2">
      <c r="A345" s="657"/>
      <c r="B345" s="657"/>
      <c r="C345" s="657"/>
      <c r="D345" s="657"/>
      <c r="E345" s="657"/>
      <c r="F345" s="657"/>
      <c r="G345" s="657"/>
      <c r="H345" s="657"/>
      <c r="I345" s="657"/>
      <c r="L345" s="657"/>
      <c r="AA345" s="659"/>
      <c r="AB345" s="659"/>
      <c r="AC345" s="659"/>
      <c r="AD345" s="659"/>
      <c r="AE345" s="659"/>
      <c r="AF345" s="659"/>
      <c r="AG345" s="657"/>
    </row>
    <row r="346" spans="1:33" ht="10.5" customHeight="1" x14ac:dyDescent="0.2">
      <c r="A346" s="657"/>
      <c r="B346" s="657"/>
      <c r="C346" s="657"/>
      <c r="D346" s="657"/>
      <c r="E346" s="657"/>
      <c r="F346" s="657"/>
      <c r="G346" s="657"/>
      <c r="H346" s="657"/>
      <c r="I346" s="657"/>
      <c r="L346" s="657"/>
      <c r="AA346" s="659"/>
      <c r="AB346" s="659"/>
      <c r="AC346" s="659"/>
      <c r="AD346" s="659"/>
      <c r="AE346" s="659"/>
      <c r="AF346" s="659"/>
      <c r="AG346" s="657"/>
    </row>
    <row r="347" spans="1:33" ht="10.5" customHeight="1" x14ac:dyDescent="0.2">
      <c r="A347" s="657"/>
      <c r="B347" s="657"/>
      <c r="C347" s="657"/>
      <c r="D347" s="657"/>
      <c r="E347" s="657"/>
      <c r="F347" s="657"/>
      <c r="G347" s="657"/>
      <c r="H347" s="657"/>
      <c r="I347" s="657"/>
      <c r="L347" s="657"/>
      <c r="AA347" s="659"/>
      <c r="AB347" s="659"/>
      <c r="AC347" s="659"/>
      <c r="AD347" s="659"/>
      <c r="AE347" s="659"/>
      <c r="AF347" s="659"/>
      <c r="AG347" s="657"/>
    </row>
    <row r="348" spans="1:33" ht="10.5" customHeight="1" x14ac:dyDescent="0.2">
      <c r="A348" s="657"/>
      <c r="B348" s="657"/>
      <c r="C348" s="657"/>
      <c r="D348" s="657"/>
      <c r="E348" s="657"/>
      <c r="F348" s="657"/>
      <c r="G348" s="657"/>
      <c r="H348" s="657"/>
      <c r="I348" s="657"/>
      <c r="L348" s="657"/>
      <c r="AA348" s="659"/>
      <c r="AB348" s="659"/>
      <c r="AC348" s="659"/>
      <c r="AD348" s="659"/>
      <c r="AE348" s="659"/>
      <c r="AF348" s="659"/>
      <c r="AG348" s="657"/>
    </row>
    <row r="349" spans="1:33" ht="10.5" customHeight="1" x14ac:dyDescent="0.2">
      <c r="A349" s="657"/>
      <c r="B349" s="657"/>
      <c r="C349" s="657"/>
      <c r="D349" s="657"/>
      <c r="E349" s="657"/>
      <c r="F349" s="657"/>
      <c r="G349" s="657"/>
      <c r="H349" s="657"/>
      <c r="I349" s="657"/>
      <c r="L349" s="657"/>
      <c r="AA349" s="659"/>
      <c r="AB349" s="659"/>
      <c r="AC349" s="659"/>
      <c r="AD349" s="659"/>
      <c r="AE349" s="659"/>
      <c r="AF349" s="659"/>
      <c r="AG349" s="657"/>
    </row>
    <row r="350" spans="1:33" ht="10.5" customHeight="1" x14ac:dyDescent="0.2">
      <c r="A350" s="657"/>
      <c r="B350" s="657"/>
      <c r="C350" s="657"/>
      <c r="D350" s="657"/>
      <c r="E350" s="657"/>
      <c r="F350" s="657"/>
      <c r="G350" s="657"/>
      <c r="H350" s="657"/>
      <c r="I350" s="657"/>
      <c r="L350" s="657"/>
      <c r="AA350" s="659"/>
      <c r="AB350" s="659"/>
      <c r="AC350" s="659"/>
      <c r="AD350" s="659"/>
      <c r="AE350" s="659"/>
      <c r="AF350" s="659"/>
      <c r="AG350" s="657"/>
    </row>
    <row r="351" spans="1:33" ht="10.5" customHeight="1" x14ac:dyDescent="0.2">
      <c r="A351" s="657"/>
      <c r="B351" s="657"/>
      <c r="C351" s="657"/>
      <c r="D351" s="657"/>
      <c r="E351" s="657"/>
      <c r="F351" s="657"/>
      <c r="G351" s="657"/>
      <c r="H351" s="657"/>
      <c r="I351" s="657"/>
      <c r="L351" s="657"/>
      <c r="AA351" s="659"/>
      <c r="AB351" s="659"/>
      <c r="AC351" s="659"/>
      <c r="AD351" s="659"/>
      <c r="AE351" s="659"/>
      <c r="AF351" s="659"/>
      <c r="AG351" s="657"/>
    </row>
    <row r="352" spans="1:33" ht="10.5" customHeight="1" x14ac:dyDescent="0.2">
      <c r="A352" s="657"/>
      <c r="B352" s="657"/>
      <c r="C352" s="657"/>
      <c r="D352" s="657"/>
      <c r="E352" s="657"/>
      <c r="F352" s="657"/>
      <c r="G352" s="657"/>
      <c r="H352" s="657"/>
      <c r="I352" s="657"/>
      <c r="L352" s="657"/>
      <c r="AA352" s="659"/>
      <c r="AB352" s="659"/>
      <c r="AC352" s="659"/>
      <c r="AD352" s="659"/>
      <c r="AE352" s="659"/>
      <c r="AF352" s="659"/>
      <c r="AG352" s="657"/>
    </row>
    <row r="353" spans="1:33" ht="10.5" customHeight="1" x14ac:dyDescent="0.2">
      <c r="A353" s="657"/>
      <c r="B353" s="657"/>
      <c r="C353" s="657"/>
      <c r="D353" s="657"/>
      <c r="E353" s="657"/>
      <c r="F353" s="657"/>
      <c r="G353" s="657"/>
      <c r="H353" s="657"/>
      <c r="I353" s="657"/>
      <c r="L353" s="657"/>
      <c r="AA353" s="659"/>
      <c r="AB353" s="659"/>
      <c r="AC353" s="659"/>
      <c r="AD353" s="659"/>
      <c r="AE353" s="659"/>
      <c r="AF353" s="659"/>
      <c r="AG353" s="657"/>
    </row>
    <row r="354" spans="1:33" ht="10.5" customHeight="1" x14ac:dyDescent="0.2">
      <c r="A354" s="657"/>
      <c r="B354" s="657"/>
      <c r="C354" s="657"/>
      <c r="D354" s="657"/>
      <c r="E354" s="657"/>
      <c r="F354" s="657"/>
      <c r="G354" s="657"/>
      <c r="H354" s="657"/>
      <c r="I354" s="657"/>
      <c r="L354" s="657"/>
      <c r="AA354" s="659"/>
      <c r="AB354" s="659"/>
      <c r="AC354" s="659"/>
      <c r="AD354" s="659"/>
      <c r="AE354" s="659"/>
      <c r="AF354" s="659"/>
      <c r="AG354" s="657"/>
    </row>
    <row r="355" spans="1:33" ht="10.5" customHeight="1" x14ac:dyDescent="0.2">
      <c r="A355" s="657"/>
      <c r="B355" s="657"/>
      <c r="C355" s="657"/>
      <c r="D355" s="657"/>
      <c r="E355" s="657"/>
      <c r="F355" s="657"/>
      <c r="G355" s="657"/>
      <c r="H355" s="657"/>
      <c r="I355" s="657"/>
      <c r="L355" s="657"/>
      <c r="AA355" s="659"/>
      <c r="AB355" s="659"/>
      <c r="AC355" s="659"/>
      <c r="AD355" s="659"/>
      <c r="AE355" s="659"/>
      <c r="AF355" s="659"/>
      <c r="AG355" s="657"/>
    </row>
    <row r="356" spans="1:33" ht="10.5" customHeight="1" x14ac:dyDescent="0.2">
      <c r="A356" s="657"/>
      <c r="B356" s="657"/>
      <c r="C356" s="657"/>
      <c r="D356" s="657"/>
      <c r="E356" s="657"/>
      <c r="F356" s="657"/>
      <c r="G356" s="657"/>
      <c r="H356" s="657"/>
      <c r="I356" s="657"/>
      <c r="L356" s="657"/>
      <c r="AA356" s="659"/>
      <c r="AB356" s="659"/>
      <c r="AC356" s="659"/>
      <c r="AD356" s="659"/>
      <c r="AE356" s="659"/>
      <c r="AF356" s="659"/>
      <c r="AG356" s="657"/>
    </row>
    <row r="357" spans="1:33" ht="10.5" customHeight="1" x14ac:dyDescent="0.2">
      <c r="A357" s="657"/>
      <c r="B357" s="657"/>
      <c r="C357" s="657"/>
      <c r="D357" s="657"/>
      <c r="E357" s="657"/>
      <c r="F357" s="657"/>
      <c r="G357" s="657"/>
      <c r="H357" s="657"/>
      <c r="I357" s="657"/>
      <c r="L357" s="657"/>
      <c r="AA357" s="659"/>
      <c r="AB357" s="659"/>
      <c r="AC357" s="659"/>
      <c r="AD357" s="659"/>
      <c r="AE357" s="659"/>
      <c r="AF357" s="659"/>
      <c r="AG357" s="657"/>
    </row>
    <row r="358" spans="1:33" ht="10.5" customHeight="1" x14ac:dyDescent="0.2">
      <c r="A358" s="657"/>
      <c r="B358" s="657"/>
      <c r="C358" s="657"/>
      <c r="D358" s="657"/>
      <c r="E358" s="657"/>
      <c r="F358" s="657"/>
      <c r="G358" s="657"/>
      <c r="H358" s="657"/>
      <c r="I358" s="657"/>
      <c r="L358" s="657"/>
      <c r="AA358" s="659"/>
      <c r="AB358" s="659"/>
      <c r="AC358" s="659"/>
      <c r="AD358" s="659"/>
      <c r="AE358" s="659"/>
      <c r="AF358" s="659"/>
      <c r="AG358" s="657"/>
    </row>
    <row r="359" spans="1:33" ht="10.5" customHeight="1" x14ac:dyDescent="0.2">
      <c r="A359" s="657"/>
      <c r="B359" s="657"/>
      <c r="C359" s="657"/>
      <c r="D359" s="657"/>
      <c r="E359" s="657"/>
      <c r="F359" s="657"/>
      <c r="G359" s="657"/>
      <c r="H359" s="657"/>
      <c r="I359" s="657"/>
      <c r="L359" s="657"/>
      <c r="AA359" s="659"/>
      <c r="AB359" s="659"/>
      <c r="AC359" s="659"/>
      <c r="AD359" s="659"/>
      <c r="AE359" s="659"/>
      <c r="AF359" s="659"/>
      <c r="AG359" s="657"/>
    </row>
    <row r="360" spans="1:33" ht="10.5" customHeight="1" x14ac:dyDescent="0.2">
      <c r="A360" s="657"/>
      <c r="B360" s="657"/>
      <c r="C360" s="657"/>
      <c r="D360" s="657"/>
      <c r="E360" s="657"/>
      <c r="F360" s="657"/>
      <c r="G360" s="657"/>
      <c r="H360" s="657"/>
      <c r="I360" s="657"/>
      <c r="L360" s="657"/>
      <c r="AA360" s="659"/>
      <c r="AB360" s="659"/>
      <c r="AC360" s="659"/>
      <c r="AD360" s="659"/>
      <c r="AE360" s="659"/>
      <c r="AF360" s="659"/>
      <c r="AG360" s="657"/>
    </row>
    <row r="361" spans="1:33" ht="10.5" customHeight="1" x14ac:dyDescent="0.2">
      <c r="A361" s="657"/>
      <c r="B361" s="657"/>
      <c r="C361" s="657"/>
      <c r="D361" s="657"/>
      <c r="E361" s="657"/>
      <c r="F361" s="657"/>
      <c r="G361" s="657"/>
      <c r="H361" s="657"/>
      <c r="I361" s="657"/>
      <c r="L361" s="657"/>
      <c r="AA361" s="659"/>
      <c r="AB361" s="659"/>
      <c r="AC361" s="659"/>
      <c r="AD361" s="659"/>
      <c r="AE361" s="659"/>
      <c r="AF361" s="659"/>
      <c r="AG361" s="657"/>
    </row>
    <row r="362" spans="1:33" ht="10.5" customHeight="1" x14ac:dyDescent="0.2">
      <c r="A362" s="657"/>
      <c r="B362" s="657"/>
      <c r="C362" s="657"/>
      <c r="D362" s="657"/>
      <c r="E362" s="657"/>
      <c r="F362" s="657"/>
      <c r="G362" s="657"/>
      <c r="H362" s="657"/>
      <c r="I362" s="657"/>
      <c r="L362" s="657"/>
      <c r="AA362" s="659"/>
      <c r="AB362" s="659"/>
      <c r="AC362" s="659"/>
      <c r="AD362" s="659"/>
      <c r="AE362" s="659"/>
      <c r="AF362" s="659"/>
      <c r="AG362" s="657"/>
    </row>
    <row r="363" spans="1:33" ht="10.5" customHeight="1" x14ac:dyDescent="0.2">
      <c r="A363" s="657"/>
      <c r="B363" s="657"/>
      <c r="C363" s="657"/>
      <c r="D363" s="657"/>
      <c r="E363" s="657"/>
      <c r="F363" s="657"/>
      <c r="G363" s="657"/>
      <c r="H363" s="657"/>
      <c r="I363" s="657"/>
      <c r="L363" s="657"/>
      <c r="AA363" s="659"/>
      <c r="AB363" s="659"/>
      <c r="AC363" s="659"/>
      <c r="AD363" s="659"/>
      <c r="AE363" s="659"/>
      <c r="AF363" s="659"/>
      <c r="AG363" s="657"/>
    </row>
    <row r="364" spans="1:33" ht="10.5" customHeight="1" x14ac:dyDescent="0.2">
      <c r="A364" s="657"/>
      <c r="B364" s="657"/>
      <c r="C364" s="657"/>
      <c r="D364" s="657"/>
      <c r="E364" s="657"/>
      <c r="F364" s="657"/>
      <c r="G364" s="657"/>
      <c r="H364" s="657"/>
      <c r="I364" s="657"/>
      <c r="L364" s="657"/>
      <c r="AA364" s="659"/>
      <c r="AB364" s="659"/>
      <c r="AC364" s="659"/>
      <c r="AD364" s="659"/>
      <c r="AE364" s="659"/>
      <c r="AF364" s="659"/>
      <c r="AG364" s="657"/>
    </row>
    <row r="365" spans="1:33" ht="10.5" customHeight="1" x14ac:dyDescent="0.2">
      <c r="A365" s="657"/>
      <c r="B365" s="657"/>
      <c r="C365" s="657"/>
      <c r="D365" s="657"/>
      <c r="E365" s="657"/>
      <c r="F365" s="657"/>
      <c r="G365" s="657"/>
      <c r="H365" s="657"/>
      <c r="I365" s="657"/>
      <c r="L365" s="657"/>
      <c r="AA365" s="659"/>
      <c r="AB365" s="659"/>
      <c r="AC365" s="659"/>
      <c r="AD365" s="659"/>
      <c r="AE365" s="659"/>
      <c r="AF365" s="659"/>
      <c r="AG365" s="657"/>
    </row>
    <row r="366" spans="1:33" ht="10.5" customHeight="1" x14ac:dyDescent="0.2">
      <c r="A366" s="657"/>
      <c r="B366" s="657"/>
      <c r="C366" s="657"/>
      <c r="D366" s="657"/>
      <c r="E366" s="657"/>
      <c r="F366" s="657"/>
      <c r="G366" s="657"/>
      <c r="H366" s="657"/>
      <c r="I366" s="657"/>
      <c r="L366" s="657"/>
      <c r="AA366" s="659"/>
      <c r="AB366" s="659"/>
      <c r="AC366" s="659"/>
      <c r="AD366" s="659"/>
      <c r="AE366" s="659"/>
      <c r="AF366" s="659"/>
      <c r="AG366" s="657"/>
    </row>
    <row r="367" spans="1:33" ht="10.5" customHeight="1" x14ac:dyDescent="0.2">
      <c r="A367" s="657"/>
      <c r="B367" s="657"/>
      <c r="C367" s="657"/>
      <c r="D367" s="657"/>
      <c r="E367" s="657"/>
      <c r="F367" s="657"/>
      <c r="G367" s="657"/>
      <c r="H367" s="657"/>
      <c r="I367" s="657"/>
      <c r="L367" s="657"/>
      <c r="AA367" s="659"/>
      <c r="AB367" s="659"/>
      <c r="AC367" s="659"/>
      <c r="AD367" s="659"/>
      <c r="AE367" s="659"/>
      <c r="AF367" s="659"/>
      <c r="AG367" s="657"/>
    </row>
    <row r="368" spans="1:33" ht="10.5" customHeight="1" x14ac:dyDescent="0.2">
      <c r="A368" s="657"/>
      <c r="B368" s="657"/>
      <c r="C368" s="657"/>
      <c r="D368" s="657"/>
      <c r="E368" s="657"/>
      <c r="F368" s="657"/>
      <c r="G368" s="657"/>
      <c r="H368" s="657"/>
      <c r="I368" s="657"/>
      <c r="L368" s="657"/>
      <c r="AA368" s="659"/>
      <c r="AB368" s="659"/>
      <c r="AC368" s="659"/>
      <c r="AD368" s="659"/>
      <c r="AE368" s="659"/>
      <c r="AF368" s="659"/>
      <c r="AG368" s="657"/>
    </row>
    <row r="369" spans="1:33" ht="10.5" customHeight="1" x14ac:dyDescent="0.2">
      <c r="A369" s="657"/>
      <c r="B369" s="657"/>
      <c r="C369" s="657"/>
      <c r="D369" s="657"/>
      <c r="E369" s="657"/>
      <c r="F369" s="657"/>
      <c r="G369" s="657"/>
      <c r="H369" s="657"/>
      <c r="I369" s="657"/>
      <c r="L369" s="657"/>
      <c r="AA369" s="659"/>
      <c r="AB369" s="659"/>
      <c r="AC369" s="659"/>
      <c r="AD369" s="659"/>
      <c r="AE369" s="659"/>
      <c r="AF369" s="659"/>
      <c r="AG369" s="657"/>
    </row>
    <row r="370" spans="1:33" ht="10.5" customHeight="1" x14ac:dyDescent="0.2">
      <c r="A370" s="657"/>
      <c r="B370" s="657"/>
      <c r="C370" s="657"/>
      <c r="D370" s="657"/>
      <c r="E370" s="657"/>
      <c r="F370" s="657"/>
      <c r="G370" s="657"/>
      <c r="H370" s="657"/>
      <c r="I370" s="657"/>
      <c r="L370" s="657"/>
      <c r="AA370" s="659"/>
      <c r="AB370" s="659"/>
      <c r="AC370" s="659"/>
      <c r="AD370" s="659"/>
      <c r="AE370" s="659"/>
      <c r="AF370" s="659"/>
      <c r="AG370" s="657"/>
    </row>
    <row r="371" spans="1:33" ht="10.5" customHeight="1" x14ac:dyDescent="0.2">
      <c r="A371" s="657"/>
      <c r="B371" s="657"/>
      <c r="C371" s="657"/>
      <c r="D371" s="657"/>
      <c r="E371" s="657"/>
      <c r="F371" s="657"/>
      <c r="G371" s="657"/>
      <c r="H371" s="657"/>
      <c r="I371" s="657"/>
      <c r="L371" s="657"/>
      <c r="AA371" s="659"/>
      <c r="AB371" s="659"/>
      <c r="AC371" s="659"/>
      <c r="AD371" s="659"/>
      <c r="AE371" s="659"/>
      <c r="AF371" s="659"/>
      <c r="AG371" s="657"/>
    </row>
    <row r="372" spans="1:33" ht="10.5" customHeight="1" x14ac:dyDescent="0.2">
      <c r="A372" s="657"/>
      <c r="B372" s="657"/>
      <c r="C372" s="657"/>
      <c r="D372" s="657"/>
      <c r="E372" s="657"/>
      <c r="F372" s="657"/>
      <c r="G372" s="657"/>
      <c r="H372" s="657"/>
      <c r="I372" s="657"/>
      <c r="L372" s="657"/>
      <c r="AA372" s="659"/>
      <c r="AB372" s="659"/>
      <c r="AC372" s="659"/>
      <c r="AD372" s="659"/>
      <c r="AE372" s="659"/>
      <c r="AF372" s="659"/>
      <c r="AG372" s="657"/>
    </row>
    <row r="373" spans="1:33" ht="10.5" customHeight="1" x14ac:dyDescent="0.2">
      <c r="A373" s="657"/>
      <c r="B373" s="657"/>
      <c r="C373" s="657"/>
      <c r="D373" s="657"/>
      <c r="E373" s="657"/>
      <c r="F373" s="657"/>
      <c r="G373" s="657"/>
      <c r="H373" s="657"/>
      <c r="I373" s="657"/>
      <c r="L373" s="657"/>
      <c r="AA373" s="659"/>
      <c r="AB373" s="659"/>
      <c r="AC373" s="659"/>
      <c r="AD373" s="659"/>
      <c r="AE373" s="659"/>
      <c r="AF373" s="659"/>
      <c r="AG373" s="657"/>
    </row>
    <row r="374" spans="1:33" ht="10.5" customHeight="1" x14ac:dyDescent="0.2">
      <c r="A374" s="657"/>
      <c r="B374" s="657"/>
      <c r="C374" s="657"/>
      <c r="D374" s="657"/>
      <c r="E374" s="657"/>
      <c r="F374" s="657"/>
      <c r="G374" s="657"/>
      <c r="H374" s="657"/>
      <c r="I374" s="657"/>
      <c r="L374" s="657"/>
      <c r="AA374" s="659"/>
      <c r="AB374" s="659"/>
      <c r="AC374" s="659"/>
      <c r="AD374" s="659"/>
      <c r="AE374" s="659"/>
      <c r="AF374" s="659"/>
      <c r="AG374" s="657"/>
    </row>
    <row r="375" spans="1:33" ht="10.5" customHeight="1" x14ac:dyDescent="0.2">
      <c r="A375" s="657"/>
      <c r="B375" s="657"/>
      <c r="C375" s="657"/>
      <c r="D375" s="657"/>
      <c r="E375" s="657"/>
      <c r="F375" s="657"/>
      <c r="G375" s="657"/>
      <c r="H375" s="657"/>
      <c r="I375" s="657"/>
      <c r="L375" s="657"/>
      <c r="AA375" s="659"/>
      <c r="AB375" s="659"/>
      <c r="AC375" s="659"/>
      <c r="AD375" s="659"/>
      <c r="AE375" s="659"/>
      <c r="AF375" s="659"/>
      <c r="AG375" s="657"/>
    </row>
    <row r="376" spans="1:33" ht="10.5" customHeight="1" x14ac:dyDescent="0.2">
      <c r="A376" s="657"/>
      <c r="B376" s="657"/>
      <c r="C376" s="657"/>
      <c r="D376" s="657"/>
      <c r="E376" s="657"/>
      <c r="F376" s="657"/>
      <c r="G376" s="657"/>
      <c r="H376" s="657"/>
      <c r="I376" s="657"/>
      <c r="L376" s="657"/>
      <c r="AA376" s="659"/>
      <c r="AB376" s="659"/>
      <c r="AC376" s="659"/>
      <c r="AD376" s="659"/>
      <c r="AE376" s="659"/>
      <c r="AF376" s="659"/>
      <c r="AG376" s="657"/>
    </row>
    <row r="377" spans="1:33" ht="10.5" customHeight="1" x14ac:dyDescent="0.2">
      <c r="A377" s="657"/>
      <c r="B377" s="657"/>
      <c r="C377" s="657"/>
      <c r="D377" s="657"/>
      <c r="E377" s="657"/>
      <c r="F377" s="657"/>
      <c r="G377" s="657"/>
      <c r="H377" s="657"/>
      <c r="I377" s="657"/>
      <c r="L377" s="657"/>
      <c r="AA377" s="659"/>
      <c r="AB377" s="659"/>
      <c r="AC377" s="659"/>
      <c r="AD377" s="659"/>
      <c r="AE377" s="659"/>
      <c r="AF377" s="659"/>
      <c r="AG377" s="657"/>
    </row>
    <row r="378" spans="1:33" ht="10.5" customHeight="1" x14ac:dyDescent="0.2">
      <c r="A378" s="657"/>
      <c r="B378" s="657"/>
      <c r="C378" s="657"/>
      <c r="D378" s="657"/>
      <c r="E378" s="657"/>
      <c r="F378" s="657"/>
      <c r="G378" s="657"/>
      <c r="H378" s="657"/>
      <c r="I378" s="657"/>
      <c r="L378" s="657"/>
      <c r="AA378" s="659"/>
      <c r="AB378" s="659"/>
      <c r="AC378" s="659"/>
      <c r="AD378" s="659"/>
      <c r="AE378" s="659"/>
      <c r="AF378" s="659"/>
      <c r="AG378" s="657"/>
    </row>
    <row r="379" spans="1:33" ht="10.5" customHeight="1" x14ac:dyDescent="0.2">
      <c r="A379" s="657"/>
      <c r="B379" s="657"/>
      <c r="C379" s="657"/>
      <c r="D379" s="657"/>
      <c r="E379" s="657"/>
      <c r="F379" s="657"/>
      <c r="G379" s="657"/>
      <c r="H379" s="657"/>
      <c r="I379" s="657"/>
      <c r="L379" s="657"/>
      <c r="AA379" s="659"/>
      <c r="AB379" s="659"/>
      <c r="AC379" s="659"/>
      <c r="AD379" s="659"/>
      <c r="AE379" s="659"/>
      <c r="AF379" s="659"/>
      <c r="AG379" s="657"/>
    </row>
    <row r="380" spans="1:33" ht="10.5" customHeight="1" x14ac:dyDescent="0.2">
      <c r="A380" s="657"/>
      <c r="B380" s="657"/>
      <c r="C380" s="657"/>
      <c r="D380" s="657"/>
      <c r="E380" s="657"/>
      <c r="F380" s="657"/>
      <c r="G380" s="657"/>
      <c r="H380" s="657"/>
      <c r="I380" s="657"/>
      <c r="L380" s="657"/>
      <c r="AA380" s="659"/>
      <c r="AB380" s="659"/>
      <c r="AC380" s="659"/>
      <c r="AD380" s="659"/>
      <c r="AE380" s="659"/>
      <c r="AF380" s="659"/>
      <c r="AG380" s="657"/>
    </row>
    <row r="381" spans="1:33" ht="10.5" customHeight="1" x14ac:dyDescent="0.2">
      <c r="A381" s="657"/>
      <c r="B381" s="657"/>
      <c r="C381" s="657"/>
      <c r="D381" s="657"/>
      <c r="E381" s="657"/>
      <c r="F381" s="657"/>
      <c r="G381" s="657"/>
      <c r="H381" s="657"/>
      <c r="I381" s="657"/>
      <c r="L381" s="657"/>
      <c r="AA381" s="659"/>
      <c r="AB381" s="659"/>
      <c r="AC381" s="659"/>
      <c r="AD381" s="659"/>
      <c r="AE381" s="659"/>
      <c r="AF381" s="659"/>
      <c r="AG381" s="657"/>
    </row>
    <row r="382" spans="1:33" ht="10.5" customHeight="1" x14ac:dyDescent="0.2">
      <c r="A382" s="657"/>
      <c r="B382" s="657"/>
      <c r="C382" s="657"/>
      <c r="D382" s="657"/>
      <c r="E382" s="657"/>
      <c r="F382" s="657"/>
      <c r="G382" s="657"/>
      <c r="H382" s="657"/>
      <c r="I382" s="657"/>
      <c r="L382" s="657"/>
      <c r="AA382" s="659"/>
      <c r="AB382" s="659"/>
      <c r="AC382" s="659"/>
      <c r="AD382" s="659"/>
      <c r="AE382" s="659"/>
      <c r="AF382" s="659"/>
      <c r="AG382" s="657"/>
    </row>
    <row r="383" spans="1:33" ht="10.5" customHeight="1" x14ac:dyDescent="0.2">
      <c r="A383" s="657"/>
      <c r="B383" s="657"/>
      <c r="C383" s="657"/>
      <c r="D383" s="657"/>
      <c r="E383" s="657"/>
      <c r="F383" s="657"/>
      <c r="G383" s="657"/>
      <c r="H383" s="657"/>
      <c r="I383" s="657"/>
      <c r="L383" s="657"/>
      <c r="AA383" s="659"/>
      <c r="AB383" s="659"/>
      <c r="AC383" s="659"/>
      <c r="AD383" s="659"/>
      <c r="AE383" s="659"/>
      <c r="AF383" s="659"/>
      <c r="AG383" s="657"/>
    </row>
    <row r="384" spans="1:33" ht="10.5" customHeight="1" x14ac:dyDescent="0.2">
      <c r="A384" s="657"/>
      <c r="B384" s="657"/>
      <c r="C384" s="657"/>
      <c r="D384" s="657"/>
      <c r="E384" s="657"/>
      <c r="F384" s="657"/>
      <c r="G384" s="657"/>
      <c r="H384" s="657"/>
      <c r="I384" s="657"/>
      <c r="L384" s="657"/>
      <c r="AA384" s="659"/>
      <c r="AB384" s="659"/>
      <c r="AC384" s="659"/>
      <c r="AD384" s="659"/>
      <c r="AE384" s="659"/>
      <c r="AF384" s="659"/>
      <c r="AG384" s="657"/>
    </row>
    <row r="385" spans="1:33" ht="10.5" customHeight="1" x14ac:dyDescent="0.2">
      <c r="A385" s="657"/>
      <c r="B385" s="657"/>
      <c r="C385" s="657"/>
      <c r="D385" s="657"/>
      <c r="E385" s="657"/>
      <c r="F385" s="657"/>
      <c r="G385" s="657"/>
      <c r="H385" s="657"/>
      <c r="I385" s="657"/>
      <c r="L385" s="657"/>
      <c r="AA385" s="659"/>
      <c r="AB385" s="659"/>
      <c r="AC385" s="659"/>
      <c r="AD385" s="659"/>
      <c r="AE385" s="659"/>
      <c r="AF385" s="659"/>
      <c r="AG385" s="657"/>
    </row>
    <row r="386" spans="1:33" ht="10.5" customHeight="1" x14ac:dyDescent="0.2">
      <c r="A386" s="657"/>
      <c r="B386" s="657"/>
      <c r="C386" s="657"/>
      <c r="D386" s="657"/>
      <c r="E386" s="657"/>
      <c r="F386" s="657"/>
      <c r="G386" s="657"/>
      <c r="H386" s="657"/>
      <c r="I386" s="657"/>
      <c r="L386" s="657"/>
      <c r="AA386" s="659"/>
      <c r="AB386" s="659"/>
      <c r="AC386" s="659"/>
      <c r="AD386" s="659"/>
      <c r="AE386" s="659"/>
      <c r="AF386" s="659"/>
      <c r="AG386" s="657"/>
    </row>
    <row r="387" spans="1:33" ht="10.5" customHeight="1" x14ac:dyDescent="0.2">
      <c r="A387" s="657"/>
      <c r="B387" s="657"/>
      <c r="C387" s="657"/>
      <c r="D387" s="657"/>
      <c r="E387" s="657"/>
      <c r="F387" s="657"/>
      <c r="G387" s="657"/>
      <c r="H387" s="657"/>
      <c r="I387" s="657"/>
      <c r="L387" s="657"/>
      <c r="AA387" s="659"/>
      <c r="AB387" s="659"/>
      <c r="AC387" s="659"/>
      <c r="AD387" s="659"/>
      <c r="AE387" s="659"/>
      <c r="AF387" s="659"/>
      <c r="AG387" s="657"/>
    </row>
    <row r="388" spans="1:33" ht="10.5" customHeight="1" x14ac:dyDescent="0.2">
      <c r="A388" s="657"/>
      <c r="B388" s="657"/>
      <c r="C388" s="657"/>
      <c r="D388" s="657"/>
      <c r="E388" s="657"/>
      <c r="F388" s="657"/>
      <c r="G388" s="657"/>
      <c r="H388" s="657"/>
      <c r="I388" s="657"/>
      <c r="L388" s="657"/>
      <c r="AA388" s="659"/>
      <c r="AB388" s="659"/>
      <c r="AC388" s="659"/>
      <c r="AD388" s="659"/>
      <c r="AE388" s="659"/>
      <c r="AF388" s="659"/>
      <c r="AG388" s="657"/>
    </row>
    <row r="389" spans="1:33" ht="10.5" customHeight="1" x14ac:dyDescent="0.2">
      <c r="A389" s="657"/>
      <c r="B389" s="657"/>
      <c r="C389" s="657"/>
      <c r="D389" s="657"/>
      <c r="E389" s="657"/>
      <c r="F389" s="657"/>
      <c r="G389" s="657"/>
      <c r="H389" s="657"/>
      <c r="I389" s="657"/>
      <c r="L389" s="657"/>
      <c r="AA389" s="659"/>
      <c r="AB389" s="659"/>
      <c r="AC389" s="659"/>
      <c r="AD389" s="659"/>
      <c r="AE389" s="659"/>
      <c r="AF389" s="659"/>
      <c r="AG389" s="657"/>
    </row>
    <row r="390" spans="1:33" ht="10.5" customHeight="1" x14ac:dyDescent="0.2">
      <c r="A390" s="657"/>
      <c r="B390" s="657"/>
      <c r="C390" s="657"/>
      <c r="D390" s="657"/>
      <c r="E390" s="657"/>
      <c r="F390" s="657"/>
      <c r="G390" s="657"/>
      <c r="H390" s="657"/>
      <c r="I390" s="657"/>
      <c r="L390" s="657"/>
      <c r="AA390" s="659"/>
      <c r="AB390" s="659"/>
      <c r="AC390" s="659"/>
      <c r="AD390" s="659"/>
      <c r="AE390" s="659"/>
      <c r="AF390" s="659"/>
      <c r="AG390" s="657"/>
    </row>
    <row r="391" spans="1:33" ht="10.5" customHeight="1" x14ac:dyDescent="0.2">
      <c r="A391" s="657"/>
      <c r="B391" s="657"/>
      <c r="C391" s="657"/>
      <c r="D391" s="657"/>
      <c r="E391" s="657"/>
      <c r="F391" s="657"/>
      <c r="G391" s="657"/>
      <c r="H391" s="657"/>
      <c r="I391" s="657"/>
      <c r="L391" s="657"/>
      <c r="AA391" s="659"/>
      <c r="AB391" s="659"/>
      <c r="AC391" s="659"/>
      <c r="AD391" s="659"/>
      <c r="AE391" s="659"/>
      <c r="AF391" s="659"/>
      <c r="AG391" s="657"/>
    </row>
    <row r="392" spans="1:33" ht="10.5" customHeight="1" x14ac:dyDescent="0.2">
      <c r="A392" s="657"/>
      <c r="B392" s="657"/>
      <c r="C392" s="657"/>
      <c r="D392" s="657"/>
      <c r="E392" s="657"/>
      <c r="F392" s="657"/>
      <c r="G392" s="657"/>
      <c r="H392" s="657"/>
      <c r="I392" s="657"/>
      <c r="L392" s="657"/>
      <c r="AA392" s="659"/>
      <c r="AB392" s="659"/>
      <c r="AC392" s="659"/>
      <c r="AD392" s="659"/>
      <c r="AE392" s="659"/>
      <c r="AF392" s="659"/>
      <c r="AG392" s="657"/>
    </row>
    <row r="393" spans="1:33" ht="10.5" customHeight="1" x14ac:dyDescent="0.2">
      <c r="A393" s="657"/>
      <c r="B393" s="657"/>
      <c r="C393" s="657"/>
      <c r="D393" s="657"/>
      <c r="E393" s="657"/>
      <c r="F393" s="657"/>
      <c r="G393" s="657"/>
      <c r="H393" s="657"/>
      <c r="I393" s="657"/>
      <c r="L393" s="657"/>
      <c r="AA393" s="659"/>
      <c r="AB393" s="659"/>
      <c r="AC393" s="659"/>
      <c r="AD393" s="659"/>
      <c r="AE393" s="659"/>
      <c r="AF393" s="659"/>
      <c r="AG393" s="657"/>
    </row>
    <row r="394" spans="1:33" ht="10.5" customHeight="1" x14ac:dyDescent="0.2">
      <c r="A394" s="657"/>
      <c r="B394" s="657"/>
      <c r="C394" s="657"/>
      <c r="D394" s="657"/>
      <c r="E394" s="657"/>
      <c r="F394" s="657"/>
      <c r="G394" s="657"/>
      <c r="H394" s="657"/>
      <c r="I394" s="657"/>
      <c r="L394" s="657"/>
      <c r="AA394" s="659"/>
      <c r="AB394" s="659"/>
      <c r="AC394" s="659"/>
      <c r="AD394" s="659"/>
      <c r="AE394" s="659"/>
      <c r="AF394" s="659"/>
      <c r="AG394" s="657"/>
    </row>
    <row r="395" spans="1:33" ht="10.5" customHeight="1" x14ac:dyDescent="0.2">
      <c r="A395" s="657"/>
      <c r="B395" s="657"/>
      <c r="C395" s="657"/>
      <c r="D395" s="657"/>
      <c r="E395" s="657"/>
      <c r="F395" s="657"/>
      <c r="G395" s="657"/>
      <c r="H395" s="657"/>
      <c r="I395" s="657"/>
      <c r="L395" s="657"/>
      <c r="AA395" s="659"/>
      <c r="AB395" s="659"/>
      <c r="AC395" s="659"/>
      <c r="AD395" s="659"/>
      <c r="AE395" s="659"/>
      <c r="AF395" s="659"/>
      <c r="AG395" s="657"/>
    </row>
    <row r="396" spans="1:33" ht="10.5" customHeight="1" x14ac:dyDescent="0.2">
      <c r="A396" s="657"/>
      <c r="B396" s="657"/>
      <c r="C396" s="657"/>
      <c r="D396" s="657"/>
      <c r="E396" s="657"/>
      <c r="F396" s="657"/>
      <c r="G396" s="657"/>
      <c r="H396" s="657"/>
      <c r="I396" s="657"/>
      <c r="L396" s="657"/>
      <c r="AA396" s="659"/>
      <c r="AB396" s="659"/>
      <c r="AC396" s="659"/>
      <c r="AD396" s="659"/>
      <c r="AE396" s="659"/>
      <c r="AF396" s="659"/>
      <c r="AG396" s="657"/>
    </row>
    <row r="397" spans="1:33" ht="10.5" customHeight="1" x14ac:dyDescent="0.2">
      <c r="A397" s="657"/>
      <c r="B397" s="657"/>
      <c r="C397" s="657"/>
      <c r="D397" s="657"/>
      <c r="E397" s="657"/>
      <c r="F397" s="657"/>
      <c r="G397" s="657"/>
      <c r="H397" s="657"/>
      <c r="I397" s="657"/>
      <c r="L397" s="657"/>
      <c r="AA397" s="659"/>
      <c r="AB397" s="659"/>
      <c r="AC397" s="659"/>
      <c r="AD397" s="659"/>
      <c r="AE397" s="659"/>
      <c r="AF397" s="659"/>
      <c r="AG397" s="657"/>
    </row>
    <row r="398" spans="1:33" ht="10.5" customHeight="1" x14ac:dyDescent="0.2">
      <c r="A398" s="657"/>
      <c r="B398" s="657"/>
      <c r="C398" s="657"/>
      <c r="D398" s="657"/>
      <c r="E398" s="657"/>
      <c r="F398" s="657"/>
      <c r="G398" s="657"/>
      <c r="H398" s="657"/>
      <c r="I398" s="657"/>
      <c r="L398" s="657"/>
      <c r="AA398" s="659"/>
      <c r="AB398" s="659"/>
      <c r="AC398" s="659"/>
      <c r="AD398" s="659"/>
      <c r="AE398" s="659"/>
      <c r="AF398" s="659"/>
      <c r="AG398" s="657"/>
    </row>
    <row r="399" spans="1:33" ht="10.5" customHeight="1" x14ac:dyDescent="0.2">
      <c r="A399" s="657"/>
      <c r="B399" s="657"/>
      <c r="C399" s="657"/>
      <c r="D399" s="657"/>
      <c r="E399" s="657"/>
      <c r="F399" s="657"/>
      <c r="G399" s="657"/>
      <c r="H399" s="657"/>
      <c r="I399" s="657"/>
      <c r="L399" s="657"/>
      <c r="AA399" s="659"/>
      <c r="AB399" s="659"/>
      <c r="AC399" s="659"/>
      <c r="AD399" s="659"/>
      <c r="AE399" s="659"/>
      <c r="AF399" s="659"/>
      <c r="AG399" s="657"/>
    </row>
    <row r="400" spans="1:33" ht="10.5" customHeight="1" x14ac:dyDescent="0.2">
      <c r="A400" s="657"/>
      <c r="B400" s="657"/>
      <c r="C400" s="657"/>
      <c r="D400" s="657"/>
      <c r="E400" s="657"/>
      <c r="F400" s="657"/>
      <c r="G400" s="657"/>
      <c r="H400" s="657"/>
      <c r="I400" s="657"/>
      <c r="L400" s="657"/>
      <c r="AA400" s="659"/>
      <c r="AB400" s="659"/>
      <c r="AC400" s="659"/>
      <c r="AD400" s="659"/>
      <c r="AE400" s="659"/>
      <c r="AF400" s="659"/>
      <c r="AG400" s="657"/>
    </row>
    <row r="401" spans="1:33" ht="10.5" customHeight="1" x14ac:dyDescent="0.2">
      <c r="A401" s="657"/>
      <c r="B401" s="657"/>
      <c r="C401" s="657"/>
      <c r="D401" s="657"/>
      <c r="E401" s="657"/>
      <c r="F401" s="657"/>
      <c r="G401" s="657"/>
      <c r="H401" s="657"/>
      <c r="I401" s="657"/>
      <c r="L401" s="657"/>
      <c r="AA401" s="659"/>
      <c r="AB401" s="659"/>
      <c r="AC401" s="659"/>
      <c r="AD401" s="659"/>
      <c r="AE401" s="659"/>
      <c r="AF401" s="659"/>
      <c r="AG401" s="657"/>
    </row>
    <row r="402" spans="1:33" ht="10.5" customHeight="1" x14ac:dyDescent="0.2">
      <c r="A402" s="657"/>
      <c r="B402" s="657"/>
      <c r="C402" s="657"/>
      <c r="D402" s="657"/>
      <c r="E402" s="657"/>
      <c r="F402" s="657"/>
      <c r="G402" s="657"/>
      <c r="H402" s="657"/>
      <c r="I402" s="657"/>
      <c r="L402" s="657"/>
      <c r="AA402" s="659"/>
      <c r="AB402" s="659"/>
      <c r="AC402" s="659"/>
      <c r="AD402" s="659"/>
      <c r="AE402" s="659"/>
      <c r="AF402" s="659"/>
      <c r="AG402" s="657"/>
    </row>
    <row r="403" spans="1:33" ht="10.5" customHeight="1" x14ac:dyDescent="0.2">
      <c r="A403" s="657"/>
      <c r="B403" s="657"/>
      <c r="C403" s="657"/>
      <c r="D403" s="657"/>
      <c r="E403" s="657"/>
      <c r="F403" s="657"/>
      <c r="G403" s="657"/>
      <c r="H403" s="657"/>
      <c r="I403" s="657"/>
      <c r="L403" s="657"/>
      <c r="AA403" s="659"/>
      <c r="AB403" s="659"/>
      <c r="AC403" s="659"/>
      <c r="AD403" s="659"/>
      <c r="AE403" s="659"/>
      <c r="AF403" s="659"/>
      <c r="AG403" s="657"/>
    </row>
    <row r="404" spans="1:33" ht="10.5" customHeight="1" x14ac:dyDescent="0.2">
      <c r="A404" s="657"/>
      <c r="B404" s="657"/>
      <c r="C404" s="657"/>
      <c r="D404" s="657"/>
      <c r="E404" s="657"/>
      <c r="F404" s="657"/>
      <c r="G404" s="657"/>
      <c r="H404" s="657"/>
      <c r="I404" s="657"/>
      <c r="L404" s="657"/>
      <c r="AA404" s="659"/>
      <c r="AB404" s="659"/>
      <c r="AC404" s="659"/>
      <c r="AD404" s="659"/>
      <c r="AE404" s="659"/>
      <c r="AF404" s="659"/>
      <c r="AG404" s="657"/>
    </row>
    <row r="405" spans="1:33" ht="10.5" customHeight="1" x14ac:dyDescent="0.2">
      <c r="A405" s="657"/>
      <c r="B405" s="657"/>
      <c r="C405" s="657"/>
      <c r="D405" s="657"/>
      <c r="E405" s="657"/>
      <c r="F405" s="657"/>
      <c r="G405" s="657"/>
      <c r="H405" s="657"/>
      <c r="I405" s="657"/>
      <c r="L405" s="657"/>
      <c r="AA405" s="659"/>
      <c r="AB405" s="659"/>
      <c r="AC405" s="659"/>
      <c r="AD405" s="659"/>
      <c r="AE405" s="659"/>
      <c r="AF405" s="659"/>
      <c r="AG405" s="657"/>
    </row>
    <row r="406" spans="1:33" ht="10.5" customHeight="1" x14ac:dyDescent="0.2">
      <c r="A406" s="657"/>
      <c r="B406" s="657"/>
      <c r="C406" s="657"/>
      <c r="D406" s="657"/>
      <c r="E406" s="657"/>
      <c r="F406" s="657"/>
      <c r="G406" s="657"/>
      <c r="H406" s="657"/>
      <c r="I406" s="657"/>
      <c r="L406" s="657"/>
      <c r="AA406" s="659"/>
      <c r="AB406" s="659"/>
      <c r="AC406" s="659"/>
      <c r="AD406" s="659"/>
      <c r="AE406" s="659"/>
      <c r="AF406" s="659"/>
      <c r="AG406" s="657"/>
    </row>
    <row r="407" spans="1:33" ht="10.5" customHeight="1" x14ac:dyDescent="0.2">
      <c r="A407" s="657"/>
      <c r="B407" s="657"/>
      <c r="C407" s="657"/>
      <c r="D407" s="657"/>
      <c r="E407" s="657"/>
      <c r="F407" s="657"/>
      <c r="G407" s="657"/>
      <c r="H407" s="657"/>
      <c r="I407" s="657"/>
      <c r="L407" s="657"/>
      <c r="AA407" s="659"/>
      <c r="AB407" s="659"/>
      <c r="AC407" s="659"/>
      <c r="AD407" s="659"/>
      <c r="AE407" s="659"/>
      <c r="AF407" s="659"/>
      <c r="AG407" s="657"/>
    </row>
    <row r="408" spans="1:33" ht="10.5" customHeight="1" x14ac:dyDescent="0.2">
      <c r="A408" s="657"/>
      <c r="B408" s="657"/>
      <c r="C408" s="657"/>
      <c r="D408" s="657"/>
      <c r="E408" s="657"/>
      <c r="F408" s="657"/>
      <c r="G408" s="657"/>
      <c r="H408" s="657"/>
      <c r="I408" s="657"/>
      <c r="L408" s="657"/>
      <c r="AA408" s="659"/>
      <c r="AB408" s="659"/>
      <c r="AC408" s="659"/>
      <c r="AD408" s="659"/>
      <c r="AE408" s="659"/>
      <c r="AF408" s="659"/>
      <c r="AG408" s="657"/>
    </row>
    <row r="409" spans="1:33" ht="10.5" customHeight="1" x14ac:dyDescent="0.2">
      <c r="A409" s="657"/>
      <c r="B409" s="657"/>
      <c r="C409" s="657"/>
      <c r="D409" s="657"/>
      <c r="E409" s="657"/>
      <c r="F409" s="657"/>
      <c r="G409" s="657"/>
      <c r="H409" s="657"/>
      <c r="I409" s="657"/>
      <c r="L409" s="657"/>
      <c r="AA409" s="659"/>
      <c r="AB409" s="659"/>
      <c r="AC409" s="659"/>
      <c r="AD409" s="659"/>
      <c r="AE409" s="659"/>
      <c r="AF409" s="659"/>
      <c r="AG409" s="657"/>
    </row>
    <row r="410" spans="1:33" ht="10.5" customHeight="1" x14ac:dyDescent="0.2">
      <c r="A410" s="657"/>
      <c r="B410" s="657"/>
      <c r="C410" s="657"/>
      <c r="D410" s="657"/>
      <c r="E410" s="657"/>
      <c r="F410" s="657"/>
      <c r="G410" s="657"/>
      <c r="H410" s="657"/>
      <c r="I410" s="657"/>
      <c r="L410" s="657"/>
      <c r="AA410" s="659"/>
      <c r="AB410" s="659"/>
      <c r="AC410" s="659"/>
      <c r="AD410" s="659"/>
      <c r="AE410" s="659"/>
      <c r="AF410" s="659"/>
      <c r="AG410" s="657"/>
    </row>
    <row r="411" spans="1:33" ht="10.5" customHeight="1" x14ac:dyDescent="0.2">
      <c r="A411" s="657"/>
      <c r="B411" s="657"/>
      <c r="C411" s="657"/>
      <c r="D411" s="657"/>
      <c r="E411" s="657"/>
      <c r="F411" s="657"/>
      <c r="G411" s="657"/>
      <c r="H411" s="657"/>
      <c r="I411" s="657"/>
      <c r="L411" s="657"/>
      <c r="AA411" s="659"/>
      <c r="AB411" s="659"/>
      <c r="AC411" s="659"/>
      <c r="AD411" s="659"/>
      <c r="AE411" s="659"/>
      <c r="AF411" s="659"/>
      <c r="AG411" s="657"/>
    </row>
    <row r="412" spans="1:33" ht="10.5" customHeight="1" x14ac:dyDescent="0.2">
      <c r="A412" s="657"/>
      <c r="B412" s="657"/>
      <c r="C412" s="657"/>
      <c r="D412" s="657"/>
      <c r="E412" s="657"/>
      <c r="F412" s="657"/>
      <c r="G412" s="657"/>
      <c r="H412" s="657"/>
      <c r="I412" s="657"/>
      <c r="L412" s="657"/>
      <c r="AA412" s="659"/>
      <c r="AB412" s="659"/>
      <c r="AC412" s="659"/>
      <c r="AD412" s="659"/>
      <c r="AE412" s="659"/>
      <c r="AF412" s="659"/>
      <c r="AG412" s="657"/>
    </row>
    <row r="413" spans="1:33" ht="10.5" customHeight="1" x14ac:dyDescent="0.2">
      <c r="A413" s="657"/>
      <c r="B413" s="657"/>
      <c r="C413" s="657"/>
      <c r="D413" s="657"/>
      <c r="E413" s="657"/>
      <c r="F413" s="657"/>
      <c r="G413" s="657"/>
      <c r="H413" s="657"/>
      <c r="I413" s="657"/>
      <c r="L413" s="657"/>
      <c r="AA413" s="659"/>
      <c r="AB413" s="659"/>
      <c r="AC413" s="659"/>
      <c r="AD413" s="659"/>
      <c r="AE413" s="659"/>
      <c r="AF413" s="659"/>
      <c r="AG413" s="657"/>
    </row>
    <row r="414" spans="1:33" ht="10.5" customHeight="1" x14ac:dyDescent="0.2">
      <c r="A414" s="657"/>
      <c r="B414" s="657"/>
      <c r="C414" s="657"/>
      <c r="D414" s="657"/>
      <c r="E414" s="657"/>
      <c r="F414" s="657"/>
      <c r="G414" s="657"/>
      <c r="H414" s="657"/>
      <c r="I414" s="657"/>
      <c r="L414" s="657"/>
      <c r="AA414" s="659"/>
      <c r="AB414" s="659"/>
      <c r="AC414" s="659"/>
      <c r="AD414" s="659"/>
      <c r="AE414" s="659"/>
      <c r="AF414" s="659"/>
      <c r="AG414" s="657"/>
    </row>
    <row r="415" spans="1:33" ht="10.5" customHeight="1" x14ac:dyDescent="0.2">
      <c r="A415" s="657"/>
      <c r="B415" s="657"/>
      <c r="C415" s="657"/>
      <c r="D415" s="657"/>
      <c r="E415" s="657"/>
      <c r="F415" s="657"/>
      <c r="G415" s="657"/>
      <c r="H415" s="657"/>
      <c r="I415" s="657"/>
      <c r="L415" s="657"/>
      <c r="AA415" s="659"/>
      <c r="AB415" s="659"/>
      <c r="AC415" s="659"/>
      <c r="AD415" s="659"/>
      <c r="AE415" s="659"/>
      <c r="AF415" s="659"/>
      <c r="AG415" s="657"/>
    </row>
    <row r="416" spans="1:33" ht="10.5" customHeight="1" x14ac:dyDescent="0.2">
      <c r="A416" s="657"/>
      <c r="B416" s="657"/>
      <c r="C416" s="657"/>
      <c r="D416" s="657"/>
      <c r="E416" s="657"/>
      <c r="F416" s="657"/>
      <c r="G416" s="657"/>
      <c r="H416" s="657"/>
      <c r="I416" s="657"/>
      <c r="L416" s="657"/>
      <c r="AA416" s="659"/>
      <c r="AB416" s="659"/>
      <c r="AC416" s="659"/>
      <c r="AD416" s="659"/>
      <c r="AE416" s="659"/>
      <c r="AF416" s="659"/>
      <c r="AG416" s="657"/>
    </row>
    <row r="417" spans="1:33" ht="10.5" customHeight="1" x14ac:dyDescent="0.2">
      <c r="A417" s="657"/>
      <c r="B417" s="657"/>
      <c r="C417" s="657"/>
      <c r="D417" s="657"/>
      <c r="E417" s="657"/>
      <c r="F417" s="657"/>
      <c r="G417" s="657"/>
      <c r="H417" s="657"/>
      <c r="I417" s="657"/>
      <c r="L417" s="657"/>
      <c r="AA417" s="659"/>
      <c r="AB417" s="659"/>
      <c r="AC417" s="659"/>
      <c r="AD417" s="659"/>
      <c r="AE417" s="659"/>
      <c r="AF417" s="659"/>
      <c r="AG417" s="657"/>
    </row>
    <row r="418" spans="1:33" ht="10.5" customHeight="1" x14ac:dyDescent="0.2">
      <c r="A418" s="657"/>
      <c r="B418" s="657"/>
      <c r="C418" s="657"/>
      <c r="D418" s="657"/>
      <c r="E418" s="657"/>
      <c r="F418" s="657"/>
      <c r="G418" s="657"/>
      <c r="H418" s="657"/>
      <c r="I418" s="657"/>
      <c r="L418" s="657"/>
      <c r="AA418" s="659"/>
      <c r="AB418" s="659"/>
      <c r="AC418" s="659"/>
      <c r="AD418" s="659"/>
      <c r="AE418" s="659"/>
      <c r="AF418" s="659"/>
      <c r="AG418" s="657"/>
    </row>
    <row r="419" spans="1:33" ht="10.5" customHeight="1" x14ac:dyDescent="0.2">
      <c r="A419" s="657"/>
      <c r="B419" s="657"/>
      <c r="C419" s="657"/>
      <c r="D419" s="657"/>
      <c r="E419" s="657"/>
      <c r="F419" s="657"/>
      <c r="G419" s="657"/>
      <c r="H419" s="657"/>
      <c r="I419" s="657"/>
      <c r="L419" s="657"/>
      <c r="AA419" s="659"/>
      <c r="AB419" s="659"/>
      <c r="AC419" s="659"/>
      <c r="AD419" s="659"/>
      <c r="AE419" s="659"/>
      <c r="AF419" s="659"/>
      <c r="AG419" s="657"/>
    </row>
    <row r="420" spans="1:33" ht="10.5" customHeight="1" x14ac:dyDescent="0.2">
      <c r="A420" s="657"/>
      <c r="B420" s="657"/>
      <c r="C420" s="657"/>
      <c r="D420" s="657"/>
      <c r="E420" s="657"/>
      <c r="F420" s="657"/>
      <c r="G420" s="657"/>
      <c r="H420" s="657"/>
      <c r="I420" s="657"/>
      <c r="L420" s="657"/>
      <c r="AA420" s="659"/>
      <c r="AB420" s="659"/>
      <c r="AC420" s="659"/>
      <c r="AD420" s="659"/>
      <c r="AE420" s="659"/>
      <c r="AF420" s="659"/>
      <c r="AG420" s="657"/>
    </row>
    <row r="421" spans="1:33" ht="10.5" customHeight="1" x14ac:dyDescent="0.2">
      <c r="A421" s="657"/>
      <c r="B421" s="657"/>
      <c r="C421" s="657"/>
      <c r="D421" s="657"/>
      <c r="E421" s="657"/>
      <c r="F421" s="657"/>
      <c r="G421" s="657"/>
      <c r="H421" s="657"/>
      <c r="I421" s="657"/>
      <c r="L421" s="657"/>
      <c r="AA421" s="659"/>
      <c r="AB421" s="659"/>
      <c r="AC421" s="659"/>
      <c r="AD421" s="659"/>
      <c r="AE421" s="659"/>
      <c r="AF421" s="659"/>
      <c r="AG421" s="657"/>
    </row>
    <row r="422" spans="1:33" ht="10.5" customHeight="1" x14ac:dyDescent="0.2">
      <c r="A422" s="657"/>
      <c r="B422" s="657"/>
      <c r="C422" s="657"/>
      <c r="D422" s="657"/>
      <c r="E422" s="657"/>
      <c r="F422" s="657"/>
      <c r="G422" s="657"/>
      <c r="H422" s="657"/>
      <c r="I422" s="657"/>
      <c r="L422" s="657"/>
      <c r="AA422" s="659"/>
      <c r="AB422" s="659"/>
      <c r="AC422" s="659"/>
      <c r="AD422" s="659"/>
      <c r="AE422" s="659"/>
      <c r="AF422" s="659"/>
      <c r="AG422" s="657"/>
    </row>
    <row r="423" spans="1:33" ht="10.5" customHeight="1" x14ac:dyDescent="0.2">
      <c r="A423" s="657"/>
      <c r="B423" s="657"/>
      <c r="C423" s="657"/>
      <c r="D423" s="657"/>
      <c r="E423" s="657"/>
      <c r="F423" s="657"/>
      <c r="G423" s="657"/>
      <c r="H423" s="657"/>
      <c r="I423" s="657"/>
      <c r="L423" s="657"/>
      <c r="AA423" s="659"/>
      <c r="AB423" s="659"/>
      <c r="AC423" s="659"/>
      <c r="AD423" s="659"/>
      <c r="AE423" s="659"/>
      <c r="AF423" s="659"/>
      <c r="AG423" s="657"/>
    </row>
    <row r="424" spans="1:33" ht="10.5" customHeight="1" x14ac:dyDescent="0.2">
      <c r="A424" s="657"/>
      <c r="B424" s="657"/>
      <c r="C424" s="657"/>
      <c r="D424" s="657"/>
      <c r="E424" s="657"/>
      <c r="F424" s="657"/>
      <c r="G424" s="657"/>
      <c r="H424" s="657"/>
      <c r="I424" s="657"/>
      <c r="L424" s="657"/>
      <c r="AA424" s="659"/>
      <c r="AB424" s="659"/>
      <c r="AC424" s="659"/>
      <c r="AD424" s="659"/>
      <c r="AE424" s="659"/>
      <c r="AF424" s="659"/>
      <c r="AG424" s="657"/>
    </row>
    <row r="425" spans="1:33" ht="10.5" customHeight="1" x14ac:dyDescent="0.2">
      <c r="A425" s="657"/>
      <c r="B425" s="657"/>
      <c r="C425" s="657"/>
      <c r="D425" s="657"/>
      <c r="E425" s="657"/>
      <c r="F425" s="657"/>
      <c r="G425" s="657"/>
      <c r="H425" s="657"/>
      <c r="I425" s="657"/>
      <c r="L425" s="657"/>
      <c r="AA425" s="659"/>
      <c r="AB425" s="659"/>
      <c r="AC425" s="659"/>
      <c r="AD425" s="659"/>
      <c r="AE425" s="659"/>
      <c r="AF425" s="659"/>
      <c r="AG425" s="657"/>
    </row>
    <row r="426" spans="1:33" ht="10.5" customHeight="1" x14ac:dyDescent="0.2">
      <c r="A426" s="657"/>
      <c r="B426" s="657"/>
      <c r="C426" s="657"/>
      <c r="D426" s="657"/>
      <c r="E426" s="657"/>
      <c r="F426" s="657"/>
      <c r="G426" s="657"/>
      <c r="H426" s="657"/>
      <c r="I426" s="657"/>
      <c r="L426" s="657"/>
      <c r="AA426" s="659"/>
      <c r="AB426" s="659"/>
      <c r="AC426" s="659"/>
      <c r="AD426" s="659"/>
      <c r="AE426" s="659"/>
      <c r="AF426" s="659"/>
      <c r="AG426" s="657"/>
    </row>
    <row r="427" spans="1:33" ht="10.5" customHeight="1" x14ac:dyDescent="0.2">
      <c r="A427" s="657"/>
      <c r="B427" s="657"/>
      <c r="C427" s="657"/>
      <c r="D427" s="657"/>
      <c r="E427" s="657"/>
      <c r="F427" s="657"/>
      <c r="G427" s="657"/>
      <c r="H427" s="657"/>
      <c r="I427" s="657"/>
      <c r="L427" s="657"/>
      <c r="AA427" s="659"/>
      <c r="AB427" s="659"/>
      <c r="AC427" s="659"/>
      <c r="AD427" s="659"/>
      <c r="AE427" s="659"/>
      <c r="AF427" s="659"/>
      <c r="AG427" s="657"/>
    </row>
    <row r="428" spans="1:33" ht="10.5" customHeight="1" x14ac:dyDescent="0.2">
      <c r="A428" s="657"/>
      <c r="B428" s="657"/>
      <c r="C428" s="657"/>
      <c r="D428" s="657"/>
      <c r="E428" s="657"/>
      <c r="F428" s="657"/>
      <c r="G428" s="657"/>
      <c r="H428" s="657"/>
      <c r="I428" s="657"/>
      <c r="L428" s="657"/>
      <c r="AA428" s="659"/>
      <c r="AB428" s="659"/>
      <c r="AC428" s="659"/>
      <c r="AD428" s="659"/>
      <c r="AE428" s="659"/>
      <c r="AF428" s="659"/>
      <c r="AG428" s="657"/>
    </row>
    <row r="429" spans="1:33" ht="10.5" customHeight="1" x14ac:dyDescent="0.2">
      <c r="A429" s="657"/>
      <c r="B429" s="657"/>
      <c r="C429" s="657"/>
      <c r="D429" s="657"/>
      <c r="E429" s="657"/>
      <c r="F429" s="657"/>
      <c r="G429" s="657"/>
      <c r="H429" s="657"/>
      <c r="I429" s="657"/>
      <c r="L429" s="657"/>
      <c r="AA429" s="659"/>
      <c r="AB429" s="659"/>
      <c r="AC429" s="659"/>
      <c r="AD429" s="659"/>
      <c r="AE429" s="659"/>
      <c r="AF429" s="659"/>
      <c r="AG429" s="657"/>
    </row>
    <row r="430" spans="1:33" ht="10.5" customHeight="1" x14ac:dyDescent="0.2">
      <c r="A430" s="657"/>
      <c r="B430" s="657"/>
      <c r="C430" s="657"/>
      <c r="D430" s="657"/>
      <c r="E430" s="657"/>
      <c r="F430" s="657"/>
      <c r="G430" s="657"/>
      <c r="H430" s="657"/>
      <c r="I430" s="657"/>
      <c r="L430" s="657"/>
      <c r="AA430" s="659"/>
      <c r="AB430" s="659"/>
      <c r="AC430" s="659"/>
      <c r="AD430" s="659"/>
      <c r="AE430" s="659"/>
      <c r="AF430" s="659"/>
      <c r="AG430" s="657"/>
    </row>
    <row r="431" spans="1:33" ht="10.5" customHeight="1" x14ac:dyDescent="0.2">
      <c r="A431" s="657"/>
      <c r="B431" s="657"/>
      <c r="C431" s="657"/>
      <c r="D431" s="657"/>
      <c r="E431" s="657"/>
      <c r="F431" s="657"/>
      <c r="G431" s="657"/>
      <c r="H431" s="657"/>
      <c r="I431" s="657"/>
      <c r="L431" s="657"/>
      <c r="AA431" s="659"/>
      <c r="AB431" s="659"/>
      <c r="AC431" s="659"/>
      <c r="AD431" s="659"/>
      <c r="AE431" s="659"/>
      <c r="AF431" s="659"/>
      <c r="AG431" s="657"/>
    </row>
    <row r="432" spans="1:33" ht="10.5" customHeight="1" x14ac:dyDescent="0.2">
      <c r="A432" s="657"/>
      <c r="B432" s="657"/>
      <c r="C432" s="657"/>
      <c r="D432" s="657"/>
      <c r="E432" s="657"/>
      <c r="F432" s="657"/>
      <c r="G432" s="657"/>
      <c r="H432" s="657"/>
      <c r="I432" s="657"/>
      <c r="L432" s="657"/>
      <c r="AA432" s="659"/>
      <c r="AB432" s="659"/>
      <c r="AC432" s="659"/>
      <c r="AD432" s="659"/>
      <c r="AE432" s="659"/>
      <c r="AF432" s="659"/>
      <c r="AG432" s="657"/>
    </row>
    <row r="433" spans="1:33" ht="10.5" customHeight="1" x14ac:dyDescent="0.2">
      <c r="A433" s="657"/>
      <c r="B433" s="657"/>
      <c r="C433" s="657"/>
      <c r="D433" s="657"/>
      <c r="E433" s="657"/>
      <c r="F433" s="657"/>
      <c r="G433" s="657"/>
      <c r="H433" s="657"/>
      <c r="I433" s="657"/>
      <c r="L433" s="657"/>
      <c r="AA433" s="659"/>
      <c r="AB433" s="659"/>
      <c r="AC433" s="659"/>
      <c r="AD433" s="659"/>
      <c r="AE433" s="659"/>
      <c r="AF433" s="659"/>
      <c r="AG433" s="657"/>
    </row>
    <row r="434" spans="1:33" ht="10.5" customHeight="1" x14ac:dyDescent="0.2">
      <c r="A434" s="657"/>
      <c r="B434" s="657"/>
      <c r="C434" s="657"/>
      <c r="D434" s="657"/>
      <c r="E434" s="657"/>
      <c r="F434" s="657"/>
      <c r="G434" s="657"/>
      <c r="H434" s="657"/>
      <c r="I434" s="657"/>
      <c r="L434" s="657"/>
      <c r="AA434" s="659"/>
      <c r="AB434" s="659"/>
      <c r="AC434" s="659"/>
      <c r="AD434" s="659"/>
      <c r="AE434" s="659"/>
      <c r="AF434" s="659"/>
      <c r="AG434" s="657"/>
    </row>
    <row r="435" spans="1:33" ht="10.5" customHeight="1" x14ac:dyDescent="0.2">
      <c r="A435" s="657"/>
      <c r="B435" s="657"/>
      <c r="C435" s="657"/>
      <c r="D435" s="657"/>
      <c r="E435" s="657"/>
      <c r="F435" s="657"/>
      <c r="G435" s="657"/>
      <c r="H435" s="657"/>
      <c r="I435" s="657"/>
      <c r="L435" s="657"/>
      <c r="AA435" s="659"/>
      <c r="AB435" s="659"/>
      <c r="AC435" s="659"/>
      <c r="AD435" s="659"/>
      <c r="AE435" s="659"/>
      <c r="AF435" s="659"/>
      <c r="AG435" s="657"/>
    </row>
    <row r="436" spans="1:33" ht="10.5" customHeight="1" x14ac:dyDescent="0.2">
      <c r="A436" s="657"/>
      <c r="B436" s="657"/>
      <c r="C436" s="657"/>
      <c r="D436" s="657"/>
      <c r="E436" s="657"/>
      <c r="F436" s="657"/>
      <c r="G436" s="657"/>
      <c r="H436" s="657"/>
      <c r="I436" s="657"/>
      <c r="L436" s="657"/>
      <c r="AA436" s="659"/>
      <c r="AB436" s="659"/>
      <c r="AC436" s="659"/>
      <c r="AD436" s="659"/>
      <c r="AE436" s="659"/>
      <c r="AF436" s="659"/>
      <c r="AG436" s="657"/>
    </row>
    <row r="437" spans="1:33" ht="10.5" customHeight="1" x14ac:dyDescent="0.2">
      <c r="A437" s="657"/>
      <c r="B437" s="657"/>
      <c r="C437" s="657"/>
      <c r="D437" s="657"/>
      <c r="E437" s="657"/>
      <c r="F437" s="657"/>
      <c r="G437" s="657"/>
      <c r="H437" s="657"/>
      <c r="I437" s="657"/>
      <c r="L437" s="657"/>
      <c r="AA437" s="659"/>
      <c r="AB437" s="659"/>
      <c r="AC437" s="659"/>
      <c r="AD437" s="659"/>
      <c r="AE437" s="659"/>
      <c r="AF437" s="659"/>
      <c r="AG437" s="657"/>
    </row>
    <row r="438" spans="1:33" ht="10.5" customHeight="1" x14ac:dyDescent="0.2">
      <c r="A438" s="657"/>
      <c r="B438" s="657"/>
      <c r="C438" s="657"/>
      <c r="D438" s="657"/>
      <c r="E438" s="657"/>
      <c r="F438" s="657"/>
      <c r="G438" s="657"/>
      <c r="H438" s="657"/>
      <c r="I438" s="657"/>
      <c r="L438" s="657"/>
      <c r="AA438" s="659"/>
      <c r="AB438" s="659"/>
      <c r="AC438" s="659"/>
      <c r="AD438" s="659"/>
      <c r="AE438" s="659"/>
      <c r="AF438" s="659"/>
      <c r="AG438" s="657"/>
    </row>
    <row r="439" spans="1:33" ht="10.5" customHeight="1" x14ac:dyDescent="0.2">
      <c r="A439" s="657"/>
      <c r="B439" s="657"/>
      <c r="C439" s="657"/>
      <c r="D439" s="657"/>
      <c r="E439" s="657"/>
      <c r="F439" s="657"/>
      <c r="G439" s="657"/>
      <c r="H439" s="657"/>
      <c r="I439" s="657"/>
      <c r="L439" s="657"/>
      <c r="AA439" s="659"/>
      <c r="AB439" s="659"/>
      <c r="AC439" s="659"/>
      <c r="AD439" s="659"/>
      <c r="AE439" s="659"/>
      <c r="AF439" s="659"/>
      <c r="AG439" s="657"/>
    </row>
    <row r="440" spans="1:33" ht="10.5" customHeight="1" x14ac:dyDescent="0.2">
      <c r="A440" s="657"/>
      <c r="B440" s="657"/>
      <c r="C440" s="657"/>
      <c r="D440" s="657"/>
      <c r="E440" s="657"/>
      <c r="F440" s="657"/>
      <c r="G440" s="657"/>
      <c r="H440" s="657"/>
      <c r="I440" s="657"/>
      <c r="L440" s="657"/>
      <c r="AA440" s="659"/>
      <c r="AB440" s="659"/>
      <c r="AC440" s="659"/>
      <c r="AD440" s="659"/>
      <c r="AE440" s="659"/>
      <c r="AF440" s="659"/>
      <c r="AG440" s="657"/>
    </row>
    <row r="441" spans="1:33" ht="10.5" customHeight="1" x14ac:dyDescent="0.2">
      <c r="A441" s="657"/>
      <c r="B441" s="657"/>
      <c r="C441" s="657"/>
      <c r="D441" s="657"/>
      <c r="E441" s="657"/>
      <c r="F441" s="657"/>
      <c r="G441" s="657"/>
      <c r="H441" s="657"/>
      <c r="I441" s="657"/>
      <c r="L441" s="657"/>
      <c r="AA441" s="659"/>
      <c r="AB441" s="659"/>
      <c r="AC441" s="659"/>
      <c r="AD441" s="659"/>
      <c r="AE441" s="659"/>
      <c r="AF441" s="659"/>
      <c r="AG441" s="657"/>
    </row>
    <row r="442" spans="1:33" ht="10.5" customHeight="1" x14ac:dyDescent="0.2">
      <c r="A442" s="657"/>
      <c r="B442" s="657"/>
      <c r="C442" s="657"/>
      <c r="D442" s="657"/>
      <c r="E442" s="657"/>
      <c r="F442" s="657"/>
      <c r="G442" s="657"/>
      <c r="H442" s="657"/>
      <c r="I442" s="657"/>
      <c r="L442" s="657"/>
      <c r="AA442" s="659"/>
      <c r="AB442" s="659"/>
      <c r="AC442" s="659"/>
      <c r="AD442" s="659"/>
      <c r="AE442" s="659"/>
      <c r="AF442" s="659"/>
      <c r="AG442" s="657"/>
    </row>
    <row r="443" spans="1:33" ht="10.5" customHeight="1" x14ac:dyDescent="0.2">
      <c r="A443" s="657"/>
      <c r="B443" s="657"/>
      <c r="C443" s="657"/>
      <c r="D443" s="657"/>
      <c r="E443" s="657"/>
      <c r="F443" s="657"/>
      <c r="G443" s="657"/>
      <c r="H443" s="657"/>
      <c r="I443" s="657"/>
      <c r="L443" s="657"/>
      <c r="AA443" s="659"/>
      <c r="AB443" s="659"/>
      <c r="AC443" s="659"/>
      <c r="AD443" s="659"/>
      <c r="AE443" s="659"/>
      <c r="AF443" s="659"/>
      <c r="AG443" s="657"/>
    </row>
    <row r="444" spans="1:33" ht="10.5" customHeight="1" x14ac:dyDescent="0.2">
      <c r="A444" s="657"/>
      <c r="B444" s="657"/>
      <c r="C444" s="657"/>
      <c r="D444" s="657"/>
      <c r="E444" s="657"/>
      <c r="F444" s="657"/>
      <c r="G444" s="657"/>
      <c r="H444" s="657"/>
      <c r="I444" s="657"/>
      <c r="L444" s="657"/>
      <c r="AA444" s="659"/>
      <c r="AB444" s="659"/>
      <c r="AC444" s="659"/>
      <c r="AD444" s="659"/>
      <c r="AE444" s="659"/>
      <c r="AF444" s="659"/>
      <c r="AG444" s="657"/>
    </row>
    <row r="445" spans="1:33" ht="10.5" customHeight="1" x14ac:dyDescent="0.2">
      <c r="A445" s="657"/>
      <c r="B445" s="657"/>
      <c r="C445" s="657"/>
      <c r="D445" s="657"/>
      <c r="E445" s="657"/>
      <c r="F445" s="657"/>
      <c r="G445" s="657"/>
      <c r="H445" s="657"/>
      <c r="I445" s="657"/>
      <c r="L445" s="657"/>
      <c r="AA445" s="659"/>
      <c r="AB445" s="659"/>
      <c r="AC445" s="659"/>
      <c r="AD445" s="659"/>
      <c r="AE445" s="659"/>
      <c r="AF445" s="659"/>
      <c r="AG445" s="657"/>
    </row>
    <row r="446" spans="1:33" ht="10.5" customHeight="1" x14ac:dyDescent="0.2">
      <c r="A446" s="657"/>
      <c r="B446" s="657"/>
      <c r="C446" s="657"/>
      <c r="D446" s="657"/>
      <c r="E446" s="657"/>
      <c r="F446" s="657"/>
      <c r="G446" s="657"/>
      <c r="H446" s="657"/>
      <c r="I446" s="657"/>
      <c r="L446" s="657"/>
      <c r="AA446" s="659"/>
      <c r="AB446" s="659"/>
      <c r="AC446" s="659"/>
      <c r="AD446" s="659"/>
      <c r="AE446" s="659"/>
      <c r="AF446" s="659"/>
      <c r="AG446" s="657"/>
    </row>
    <row r="447" spans="1:33" ht="10.5" customHeight="1" x14ac:dyDescent="0.2">
      <c r="A447" s="657"/>
      <c r="B447" s="657"/>
      <c r="C447" s="657"/>
      <c r="D447" s="657"/>
      <c r="E447" s="657"/>
      <c r="F447" s="657"/>
      <c r="G447" s="657"/>
      <c r="H447" s="657"/>
      <c r="I447" s="657"/>
      <c r="L447" s="657"/>
      <c r="AA447" s="659"/>
      <c r="AB447" s="659"/>
      <c r="AC447" s="659"/>
      <c r="AD447" s="659"/>
      <c r="AE447" s="659"/>
      <c r="AF447" s="659"/>
      <c r="AG447" s="657"/>
    </row>
    <row r="448" spans="1:33" ht="10.5" customHeight="1" x14ac:dyDescent="0.2">
      <c r="A448" s="657"/>
      <c r="B448" s="657"/>
      <c r="C448" s="657"/>
      <c r="D448" s="657"/>
      <c r="E448" s="657"/>
      <c r="F448" s="657"/>
      <c r="G448" s="657"/>
      <c r="H448" s="657"/>
      <c r="I448" s="657"/>
      <c r="L448" s="657"/>
      <c r="AA448" s="659"/>
      <c r="AB448" s="659"/>
      <c r="AC448" s="659"/>
      <c r="AD448" s="659"/>
      <c r="AE448" s="659"/>
      <c r="AF448" s="659"/>
      <c r="AG448" s="657"/>
    </row>
    <row r="449" spans="1:33" ht="10.5" customHeight="1" x14ac:dyDescent="0.2">
      <c r="A449" s="657"/>
      <c r="B449" s="657"/>
      <c r="C449" s="657"/>
      <c r="D449" s="657"/>
      <c r="E449" s="657"/>
      <c r="F449" s="657"/>
      <c r="G449" s="657"/>
      <c r="H449" s="657"/>
      <c r="I449" s="657"/>
      <c r="L449" s="657"/>
      <c r="AA449" s="659"/>
      <c r="AB449" s="659"/>
      <c r="AC449" s="659"/>
      <c r="AD449" s="659"/>
      <c r="AE449" s="659"/>
      <c r="AF449" s="659"/>
      <c r="AG449" s="657"/>
    </row>
    <row r="450" spans="1:33" ht="10.5" customHeight="1" x14ac:dyDescent="0.2">
      <c r="A450" s="657"/>
      <c r="B450" s="657"/>
      <c r="C450" s="657"/>
      <c r="D450" s="657"/>
      <c r="E450" s="657"/>
      <c r="F450" s="657"/>
      <c r="G450" s="657"/>
      <c r="H450" s="657"/>
      <c r="I450" s="657"/>
      <c r="L450" s="657"/>
      <c r="AA450" s="659"/>
      <c r="AB450" s="659"/>
      <c r="AC450" s="659"/>
      <c r="AD450" s="659"/>
      <c r="AE450" s="659"/>
      <c r="AF450" s="659"/>
      <c r="AG450" s="657"/>
    </row>
    <row r="451" spans="1:33" ht="10.5" customHeight="1" x14ac:dyDescent="0.2">
      <c r="A451" s="657"/>
      <c r="B451" s="657"/>
      <c r="C451" s="657"/>
      <c r="D451" s="657"/>
      <c r="E451" s="657"/>
      <c r="F451" s="657"/>
      <c r="G451" s="657"/>
      <c r="H451" s="657"/>
      <c r="I451" s="657"/>
      <c r="L451" s="657"/>
      <c r="AA451" s="659"/>
      <c r="AB451" s="659"/>
      <c r="AC451" s="659"/>
      <c r="AD451" s="659"/>
      <c r="AE451" s="659"/>
      <c r="AF451" s="659"/>
      <c r="AG451" s="657"/>
    </row>
    <row r="452" spans="1:33" ht="10.5" customHeight="1" x14ac:dyDescent="0.2">
      <c r="A452" s="657"/>
      <c r="B452" s="657"/>
      <c r="C452" s="657"/>
      <c r="D452" s="657"/>
      <c r="E452" s="657"/>
      <c r="F452" s="657"/>
      <c r="G452" s="657"/>
      <c r="H452" s="657"/>
      <c r="I452" s="657"/>
      <c r="L452" s="657"/>
      <c r="AA452" s="659"/>
      <c r="AB452" s="659"/>
      <c r="AC452" s="659"/>
      <c r="AD452" s="659"/>
      <c r="AE452" s="659"/>
      <c r="AF452" s="659"/>
      <c r="AG452" s="657"/>
    </row>
    <row r="453" spans="1:33" ht="10.5" customHeight="1" x14ac:dyDescent="0.2">
      <c r="A453" s="657"/>
      <c r="B453" s="657"/>
      <c r="C453" s="657"/>
      <c r="D453" s="657"/>
      <c r="E453" s="657"/>
      <c r="F453" s="657"/>
      <c r="G453" s="657"/>
      <c r="H453" s="657"/>
      <c r="I453" s="657"/>
      <c r="L453" s="657"/>
      <c r="AA453" s="659"/>
      <c r="AB453" s="659"/>
      <c r="AC453" s="659"/>
      <c r="AD453" s="659"/>
      <c r="AE453" s="659"/>
      <c r="AF453" s="659"/>
      <c r="AG453" s="657"/>
    </row>
    <row r="454" spans="1:33" ht="10.5" customHeight="1" x14ac:dyDescent="0.2">
      <c r="A454" s="657"/>
      <c r="B454" s="657"/>
      <c r="C454" s="657"/>
      <c r="D454" s="657"/>
      <c r="E454" s="657"/>
      <c r="F454" s="657"/>
      <c r="G454" s="657"/>
      <c r="H454" s="657"/>
      <c r="I454" s="657"/>
      <c r="L454" s="657"/>
      <c r="AA454" s="659"/>
      <c r="AB454" s="659"/>
      <c r="AC454" s="659"/>
      <c r="AD454" s="659"/>
      <c r="AE454" s="659"/>
      <c r="AF454" s="659"/>
      <c r="AG454" s="657"/>
    </row>
    <row r="455" spans="1:33" ht="10.5" customHeight="1" x14ac:dyDescent="0.2">
      <c r="A455" s="657"/>
      <c r="B455" s="657"/>
      <c r="C455" s="657"/>
      <c r="D455" s="657"/>
      <c r="E455" s="657"/>
      <c r="F455" s="657"/>
      <c r="G455" s="657"/>
      <c r="H455" s="657"/>
      <c r="I455" s="657"/>
      <c r="L455" s="657"/>
      <c r="AA455" s="659"/>
      <c r="AB455" s="659"/>
      <c r="AC455" s="659"/>
      <c r="AD455" s="659"/>
      <c r="AE455" s="659"/>
      <c r="AF455" s="659"/>
      <c r="AG455" s="657"/>
    </row>
    <row r="456" spans="1:33" ht="10.5" customHeight="1" x14ac:dyDescent="0.2">
      <c r="A456" s="657"/>
      <c r="B456" s="657"/>
      <c r="C456" s="657"/>
      <c r="D456" s="657"/>
      <c r="E456" s="657"/>
      <c r="F456" s="657"/>
      <c r="G456" s="657"/>
      <c r="H456" s="657"/>
      <c r="I456" s="657"/>
      <c r="L456" s="657"/>
      <c r="AA456" s="659"/>
      <c r="AB456" s="659"/>
      <c r="AC456" s="659"/>
      <c r="AD456" s="659"/>
      <c r="AE456" s="659"/>
      <c r="AF456" s="659"/>
      <c r="AG456" s="657"/>
    </row>
    <row r="457" spans="1:33" ht="10.5" customHeight="1" x14ac:dyDescent="0.2">
      <c r="A457" s="657"/>
      <c r="B457" s="657"/>
      <c r="C457" s="657"/>
      <c r="D457" s="657"/>
      <c r="E457" s="657"/>
      <c r="F457" s="657"/>
      <c r="G457" s="657"/>
      <c r="H457" s="657"/>
      <c r="I457" s="657"/>
      <c r="L457" s="657"/>
      <c r="AA457" s="659"/>
      <c r="AB457" s="659"/>
      <c r="AC457" s="659"/>
      <c r="AD457" s="659"/>
      <c r="AE457" s="659"/>
      <c r="AF457" s="659"/>
      <c r="AG457" s="657"/>
    </row>
    <row r="458" spans="1:33" ht="10.5" customHeight="1" x14ac:dyDescent="0.2">
      <c r="A458" s="657"/>
      <c r="B458" s="657"/>
      <c r="C458" s="657"/>
      <c r="D458" s="657"/>
      <c r="E458" s="657"/>
      <c r="F458" s="657"/>
      <c r="G458" s="657"/>
      <c r="H458" s="657"/>
      <c r="I458" s="657"/>
      <c r="L458" s="657"/>
      <c r="AA458" s="659"/>
      <c r="AB458" s="659"/>
      <c r="AC458" s="659"/>
      <c r="AD458" s="659"/>
      <c r="AE458" s="659"/>
      <c r="AF458" s="659"/>
      <c r="AG458" s="657"/>
    </row>
    <row r="459" spans="1:33" ht="10.5" customHeight="1" x14ac:dyDescent="0.2">
      <c r="A459" s="657"/>
      <c r="B459" s="657"/>
      <c r="C459" s="657"/>
      <c r="D459" s="657"/>
      <c r="E459" s="657"/>
      <c r="F459" s="657"/>
      <c r="G459" s="657"/>
      <c r="H459" s="657"/>
      <c r="I459" s="657"/>
      <c r="L459" s="657"/>
      <c r="AA459" s="659"/>
      <c r="AB459" s="659"/>
      <c r="AC459" s="659"/>
      <c r="AD459" s="659"/>
      <c r="AE459" s="659"/>
      <c r="AF459" s="659"/>
      <c r="AG459" s="657"/>
    </row>
    <row r="460" spans="1:33" ht="10.5" customHeight="1" x14ac:dyDescent="0.2">
      <c r="A460" s="657"/>
      <c r="B460" s="657"/>
      <c r="C460" s="657"/>
      <c r="D460" s="657"/>
      <c r="E460" s="657"/>
      <c r="F460" s="657"/>
      <c r="G460" s="657"/>
      <c r="H460" s="657"/>
      <c r="I460" s="657"/>
      <c r="L460" s="657"/>
      <c r="AA460" s="659"/>
      <c r="AB460" s="659"/>
      <c r="AC460" s="659"/>
      <c r="AD460" s="659"/>
      <c r="AE460" s="659"/>
      <c r="AF460" s="659"/>
      <c r="AG460" s="657"/>
    </row>
    <row r="461" spans="1:33" ht="10.5" customHeight="1" x14ac:dyDescent="0.2">
      <c r="A461" s="657"/>
      <c r="B461" s="657"/>
      <c r="C461" s="657"/>
      <c r="D461" s="657"/>
      <c r="E461" s="657"/>
      <c r="F461" s="657"/>
      <c r="G461" s="657"/>
      <c r="H461" s="657"/>
      <c r="I461" s="657"/>
      <c r="L461" s="657"/>
      <c r="AA461" s="659"/>
      <c r="AB461" s="659"/>
      <c r="AC461" s="659"/>
      <c r="AD461" s="659"/>
      <c r="AE461" s="659"/>
      <c r="AF461" s="659"/>
      <c r="AG461" s="657"/>
    </row>
    <row r="462" spans="1:33" ht="10.5" customHeight="1" x14ac:dyDescent="0.2">
      <c r="A462" s="657"/>
      <c r="B462" s="657"/>
      <c r="C462" s="657"/>
      <c r="D462" s="657"/>
      <c r="E462" s="657"/>
      <c r="F462" s="657"/>
      <c r="G462" s="657"/>
      <c r="H462" s="657"/>
      <c r="I462" s="657"/>
      <c r="L462" s="657"/>
      <c r="AA462" s="659"/>
      <c r="AB462" s="659"/>
      <c r="AC462" s="659"/>
      <c r="AD462" s="659"/>
      <c r="AE462" s="659"/>
      <c r="AF462" s="659"/>
      <c r="AG462" s="657"/>
    </row>
    <row r="463" spans="1:33" ht="10.5" customHeight="1" x14ac:dyDescent="0.2">
      <c r="A463" s="657"/>
      <c r="B463" s="657"/>
      <c r="C463" s="657"/>
      <c r="D463" s="657"/>
      <c r="E463" s="657"/>
      <c r="F463" s="657"/>
      <c r="G463" s="657"/>
      <c r="H463" s="657"/>
      <c r="I463" s="657"/>
      <c r="L463" s="657"/>
      <c r="AA463" s="659"/>
      <c r="AB463" s="659"/>
      <c r="AC463" s="659"/>
      <c r="AD463" s="659"/>
      <c r="AE463" s="659"/>
      <c r="AF463" s="659"/>
      <c r="AG463" s="657"/>
    </row>
    <row r="464" spans="1:33" ht="10.5" customHeight="1" x14ac:dyDescent="0.2">
      <c r="A464" s="657"/>
      <c r="B464" s="657"/>
      <c r="C464" s="657"/>
      <c r="D464" s="657"/>
      <c r="E464" s="657"/>
      <c r="F464" s="657"/>
      <c r="G464" s="657"/>
      <c r="H464" s="657"/>
      <c r="I464" s="657"/>
      <c r="L464" s="657"/>
      <c r="AA464" s="659"/>
      <c r="AB464" s="659"/>
      <c r="AC464" s="659"/>
      <c r="AD464" s="659"/>
      <c r="AE464" s="659"/>
      <c r="AF464" s="659"/>
      <c r="AG464" s="657"/>
    </row>
    <row r="465" spans="1:33" ht="10.5" customHeight="1" x14ac:dyDescent="0.2">
      <c r="A465" s="657"/>
      <c r="B465" s="657"/>
      <c r="C465" s="657"/>
      <c r="D465" s="657"/>
      <c r="E465" s="657"/>
      <c r="F465" s="657"/>
      <c r="G465" s="657"/>
      <c r="H465" s="657"/>
      <c r="I465" s="657"/>
      <c r="L465" s="657"/>
      <c r="AA465" s="659"/>
      <c r="AB465" s="659"/>
      <c r="AC465" s="659"/>
      <c r="AD465" s="659"/>
      <c r="AE465" s="659"/>
      <c r="AF465" s="659"/>
      <c r="AG465" s="657"/>
    </row>
    <row r="466" spans="1:33" ht="10.5" customHeight="1" x14ac:dyDescent="0.2">
      <c r="A466" s="657"/>
      <c r="B466" s="657"/>
      <c r="C466" s="657"/>
      <c r="D466" s="657"/>
      <c r="E466" s="657"/>
      <c r="F466" s="657"/>
      <c r="G466" s="657"/>
      <c r="H466" s="657"/>
      <c r="I466" s="657"/>
      <c r="L466" s="657"/>
      <c r="AA466" s="659"/>
      <c r="AB466" s="659"/>
      <c r="AC466" s="659"/>
      <c r="AD466" s="659"/>
      <c r="AE466" s="659"/>
      <c r="AF466" s="659"/>
      <c r="AG466" s="657"/>
    </row>
    <row r="467" spans="1:33" ht="10.5" customHeight="1" x14ac:dyDescent="0.2">
      <c r="A467" s="657"/>
      <c r="B467" s="657"/>
      <c r="C467" s="657"/>
      <c r="D467" s="657"/>
      <c r="E467" s="657"/>
      <c r="F467" s="657"/>
      <c r="G467" s="657"/>
      <c r="H467" s="657"/>
      <c r="I467" s="657"/>
      <c r="L467" s="657"/>
      <c r="AA467" s="659"/>
      <c r="AB467" s="659"/>
      <c r="AC467" s="659"/>
      <c r="AD467" s="659"/>
      <c r="AE467" s="659"/>
      <c r="AF467" s="659"/>
      <c r="AG467" s="657"/>
    </row>
    <row r="468" spans="1:33" ht="10.5" customHeight="1" x14ac:dyDescent="0.2">
      <c r="A468" s="657"/>
      <c r="B468" s="657"/>
      <c r="C468" s="657"/>
      <c r="D468" s="657"/>
      <c r="E468" s="657"/>
      <c r="F468" s="657"/>
      <c r="G468" s="657"/>
      <c r="H468" s="657"/>
      <c r="I468" s="657"/>
      <c r="L468" s="657"/>
      <c r="AA468" s="659"/>
      <c r="AB468" s="659"/>
      <c r="AC468" s="659"/>
      <c r="AD468" s="659"/>
      <c r="AE468" s="659"/>
      <c r="AF468" s="659"/>
      <c r="AG468" s="657"/>
    </row>
    <row r="469" spans="1:33" ht="10.5" customHeight="1" x14ac:dyDescent="0.2">
      <c r="A469" s="657"/>
      <c r="B469" s="657"/>
      <c r="C469" s="657"/>
      <c r="D469" s="657"/>
      <c r="E469" s="657"/>
      <c r="F469" s="657"/>
      <c r="G469" s="657"/>
      <c r="H469" s="657"/>
      <c r="I469" s="657"/>
      <c r="L469" s="657"/>
      <c r="AA469" s="659"/>
      <c r="AB469" s="659"/>
      <c r="AC469" s="659"/>
      <c r="AD469" s="659"/>
      <c r="AE469" s="659"/>
      <c r="AF469" s="659"/>
      <c r="AG469" s="657"/>
    </row>
    <row r="470" spans="1:33" ht="10.5" customHeight="1" x14ac:dyDescent="0.2">
      <c r="A470" s="657"/>
      <c r="B470" s="657"/>
      <c r="C470" s="657"/>
      <c r="D470" s="657"/>
      <c r="E470" s="657"/>
      <c r="F470" s="657"/>
      <c r="G470" s="657"/>
      <c r="H470" s="657"/>
      <c r="I470" s="657"/>
      <c r="L470" s="657"/>
      <c r="AA470" s="659"/>
      <c r="AB470" s="659"/>
      <c r="AC470" s="659"/>
      <c r="AD470" s="659"/>
      <c r="AE470" s="659"/>
      <c r="AF470" s="659"/>
      <c r="AG470" s="657"/>
    </row>
    <row r="471" spans="1:33" ht="10.5" customHeight="1" x14ac:dyDescent="0.2">
      <c r="A471" s="657"/>
      <c r="B471" s="657"/>
      <c r="C471" s="657"/>
      <c r="D471" s="657"/>
      <c r="E471" s="657"/>
      <c r="F471" s="657"/>
      <c r="G471" s="657"/>
      <c r="H471" s="657"/>
      <c r="I471" s="657"/>
      <c r="L471" s="657"/>
      <c r="AA471" s="659"/>
      <c r="AB471" s="659"/>
      <c r="AC471" s="659"/>
      <c r="AD471" s="659"/>
      <c r="AE471" s="659"/>
      <c r="AF471" s="659"/>
      <c r="AG471" s="657"/>
    </row>
    <row r="472" spans="1:33" ht="10.5" customHeight="1" x14ac:dyDescent="0.2">
      <c r="A472" s="657"/>
      <c r="B472" s="657"/>
      <c r="C472" s="657"/>
      <c r="D472" s="657"/>
      <c r="E472" s="657"/>
      <c r="F472" s="657"/>
      <c r="G472" s="657"/>
      <c r="H472" s="657"/>
      <c r="I472" s="657"/>
      <c r="L472" s="657"/>
      <c r="AA472" s="659"/>
      <c r="AB472" s="659"/>
      <c r="AC472" s="659"/>
      <c r="AD472" s="659"/>
      <c r="AE472" s="659"/>
      <c r="AF472" s="659"/>
      <c r="AG472" s="657"/>
    </row>
    <row r="473" spans="1:33" ht="10.5" customHeight="1" x14ac:dyDescent="0.2">
      <c r="A473" s="657"/>
      <c r="B473" s="657"/>
      <c r="C473" s="657"/>
      <c r="D473" s="657"/>
      <c r="E473" s="657"/>
      <c r="F473" s="657"/>
      <c r="G473" s="657"/>
      <c r="H473" s="657"/>
      <c r="I473" s="657"/>
      <c r="L473" s="657"/>
      <c r="AA473" s="659"/>
      <c r="AB473" s="659"/>
      <c r="AC473" s="659"/>
      <c r="AD473" s="659"/>
      <c r="AE473" s="659"/>
      <c r="AF473" s="659"/>
      <c r="AG473" s="657"/>
    </row>
    <row r="474" spans="1:33" ht="10.5" customHeight="1" x14ac:dyDescent="0.2">
      <c r="A474" s="657"/>
      <c r="B474" s="657"/>
      <c r="C474" s="657"/>
      <c r="D474" s="657"/>
      <c r="E474" s="657"/>
      <c r="F474" s="657"/>
      <c r="G474" s="657"/>
      <c r="H474" s="657"/>
      <c r="I474" s="657"/>
      <c r="L474" s="657"/>
      <c r="AA474" s="659"/>
      <c r="AB474" s="659"/>
      <c r="AC474" s="659"/>
      <c r="AD474" s="659"/>
      <c r="AE474" s="659"/>
      <c r="AF474" s="659"/>
      <c r="AG474" s="657"/>
    </row>
    <row r="475" spans="1:33" ht="10.5" customHeight="1" x14ac:dyDescent="0.2">
      <c r="A475" s="657"/>
      <c r="B475" s="657"/>
      <c r="C475" s="657"/>
      <c r="D475" s="657"/>
      <c r="E475" s="657"/>
      <c r="F475" s="657"/>
      <c r="G475" s="657"/>
      <c r="H475" s="657"/>
      <c r="I475" s="657"/>
      <c r="L475" s="657"/>
      <c r="AA475" s="659"/>
      <c r="AB475" s="659"/>
      <c r="AC475" s="659"/>
      <c r="AD475" s="659"/>
      <c r="AE475" s="659"/>
      <c r="AF475" s="659"/>
      <c r="AG475" s="657"/>
    </row>
    <row r="476" spans="1:33" ht="10.5" customHeight="1" x14ac:dyDescent="0.2">
      <c r="A476" s="657"/>
      <c r="B476" s="657"/>
      <c r="C476" s="657"/>
      <c r="D476" s="657"/>
      <c r="E476" s="657"/>
      <c r="F476" s="657"/>
      <c r="G476" s="657"/>
      <c r="H476" s="657"/>
      <c r="I476" s="657"/>
      <c r="L476" s="657"/>
      <c r="AA476" s="659"/>
      <c r="AB476" s="659"/>
      <c r="AC476" s="659"/>
      <c r="AD476" s="659"/>
      <c r="AE476" s="659"/>
      <c r="AF476" s="659"/>
      <c r="AG476" s="657"/>
    </row>
    <row r="477" spans="1:33" ht="10.5" customHeight="1" x14ac:dyDescent="0.2">
      <c r="A477" s="657"/>
      <c r="B477" s="657"/>
      <c r="C477" s="657"/>
      <c r="D477" s="657"/>
      <c r="E477" s="657"/>
      <c r="F477" s="657"/>
      <c r="G477" s="657"/>
      <c r="H477" s="657"/>
      <c r="I477" s="657"/>
      <c r="L477" s="657"/>
      <c r="AA477" s="659"/>
      <c r="AB477" s="659"/>
      <c r="AC477" s="659"/>
      <c r="AD477" s="659"/>
      <c r="AE477" s="659"/>
      <c r="AF477" s="659"/>
      <c r="AG477" s="657"/>
    </row>
    <row r="478" spans="1:33" ht="10.5" customHeight="1" x14ac:dyDescent="0.2">
      <c r="A478" s="657"/>
      <c r="B478" s="657"/>
      <c r="C478" s="657"/>
      <c r="D478" s="657"/>
      <c r="E478" s="657"/>
      <c r="F478" s="657"/>
      <c r="G478" s="657"/>
      <c r="H478" s="657"/>
      <c r="I478" s="657"/>
      <c r="L478" s="657"/>
      <c r="AA478" s="659"/>
      <c r="AB478" s="659"/>
      <c r="AC478" s="659"/>
      <c r="AD478" s="659"/>
      <c r="AE478" s="659"/>
      <c r="AF478" s="659"/>
      <c r="AG478" s="657"/>
    </row>
    <row r="479" spans="1:33" ht="10.5" customHeight="1" x14ac:dyDescent="0.2">
      <c r="A479" s="657"/>
      <c r="B479" s="657"/>
      <c r="C479" s="657"/>
      <c r="D479" s="657"/>
      <c r="E479" s="657"/>
      <c r="F479" s="657"/>
      <c r="G479" s="657"/>
      <c r="H479" s="657"/>
      <c r="I479" s="657"/>
      <c r="L479" s="657"/>
      <c r="AA479" s="659"/>
      <c r="AB479" s="659"/>
      <c r="AC479" s="659"/>
      <c r="AD479" s="659"/>
      <c r="AE479" s="659"/>
      <c r="AF479" s="659"/>
      <c r="AG479" s="657"/>
    </row>
    <row r="480" spans="1:33" ht="10.5" customHeight="1" x14ac:dyDescent="0.2">
      <c r="A480" s="657"/>
      <c r="B480" s="657"/>
      <c r="C480" s="657"/>
      <c r="D480" s="657"/>
      <c r="E480" s="657"/>
      <c r="F480" s="657"/>
      <c r="G480" s="657"/>
      <c r="H480" s="657"/>
      <c r="I480" s="657"/>
      <c r="L480" s="657"/>
      <c r="AA480" s="659"/>
      <c r="AB480" s="659"/>
      <c r="AC480" s="659"/>
      <c r="AD480" s="659"/>
      <c r="AE480" s="659"/>
      <c r="AF480" s="659"/>
      <c r="AG480" s="657"/>
    </row>
    <row r="481" spans="1:33" ht="10.5" customHeight="1" x14ac:dyDescent="0.2">
      <c r="A481" s="657"/>
      <c r="B481" s="657"/>
      <c r="C481" s="657"/>
      <c r="D481" s="657"/>
      <c r="E481" s="657"/>
      <c r="F481" s="657"/>
      <c r="G481" s="657"/>
      <c r="H481" s="657"/>
      <c r="I481" s="657"/>
      <c r="L481" s="657"/>
      <c r="AA481" s="659"/>
      <c r="AB481" s="659"/>
      <c r="AC481" s="659"/>
      <c r="AD481" s="659"/>
      <c r="AE481" s="659"/>
      <c r="AF481" s="659"/>
      <c r="AG481" s="657"/>
    </row>
    <row r="482" spans="1:33" ht="10.5" customHeight="1" x14ac:dyDescent="0.2">
      <c r="A482" s="657"/>
      <c r="B482" s="657"/>
      <c r="C482" s="657"/>
      <c r="D482" s="657"/>
      <c r="E482" s="657"/>
      <c r="F482" s="657"/>
      <c r="G482" s="657"/>
      <c r="H482" s="657"/>
      <c r="I482" s="657"/>
      <c r="L482" s="657"/>
      <c r="AA482" s="659"/>
      <c r="AB482" s="659"/>
      <c r="AC482" s="659"/>
      <c r="AD482" s="659"/>
      <c r="AE482" s="659"/>
      <c r="AF482" s="659"/>
      <c r="AG482" s="657"/>
    </row>
    <row r="483" spans="1:33" ht="10.5" customHeight="1" x14ac:dyDescent="0.2">
      <c r="A483" s="657"/>
      <c r="B483" s="657"/>
      <c r="C483" s="657"/>
      <c r="D483" s="657"/>
      <c r="E483" s="657"/>
      <c r="F483" s="657"/>
      <c r="G483" s="657"/>
      <c r="H483" s="657"/>
      <c r="I483" s="657"/>
      <c r="L483" s="657"/>
      <c r="AA483" s="659"/>
      <c r="AB483" s="659"/>
      <c r="AC483" s="659"/>
      <c r="AD483" s="659"/>
      <c r="AE483" s="659"/>
      <c r="AF483" s="659"/>
      <c r="AG483" s="657"/>
    </row>
    <row r="484" spans="1:33" ht="10.5" customHeight="1" x14ac:dyDescent="0.2">
      <c r="A484" s="657"/>
      <c r="B484" s="657"/>
      <c r="C484" s="657"/>
      <c r="D484" s="657"/>
      <c r="E484" s="657"/>
      <c r="F484" s="657"/>
      <c r="G484" s="657"/>
      <c r="H484" s="657"/>
      <c r="I484" s="657"/>
      <c r="L484" s="657"/>
      <c r="AA484" s="659"/>
      <c r="AB484" s="659"/>
      <c r="AC484" s="659"/>
      <c r="AD484" s="659"/>
      <c r="AE484" s="659"/>
      <c r="AF484" s="659"/>
      <c r="AG484" s="657"/>
    </row>
    <row r="485" spans="1:33" ht="10.5" customHeight="1" x14ac:dyDescent="0.2">
      <c r="A485" s="657"/>
      <c r="B485" s="657"/>
      <c r="C485" s="657"/>
      <c r="D485" s="657"/>
      <c r="E485" s="657"/>
      <c r="F485" s="657"/>
      <c r="G485" s="657"/>
      <c r="H485" s="657"/>
      <c r="I485" s="657"/>
      <c r="L485" s="657"/>
      <c r="AA485" s="659"/>
      <c r="AB485" s="659"/>
      <c r="AC485" s="659"/>
      <c r="AD485" s="659"/>
      <c r="AE485" s="659"/>
      <c r="AF485" s="659"/>
      <c r="AG485" s="657"/>
    </row>
    <row r="486" spans="1:33" ht="10.5" customHeight="1" x14ac:dyDescent="0.2">
      <c r="A486" s="657"/>
      <c r="B486" s="657"/>
      <c r="C486" s="657"/>
      <c r="D486" s="657"/>
      <c r="E486" s="657"/>
      <c r="F486" s="657"/>
      <c r="G486" s="657"/>
      <c r="H486" s="657"/>
      <c r="I486" s="657"/>
      <c r="L486" s="657"/>
      <c r="AA486" s="659"/>
      <c r="AB486" s="659"/>
      <c r="AC486" s="659"/>
      <c r="AD486" s="659"/>
      <c r="AE486" s="659"/>
      <c r="AF486" s="659"/>
      <c r="AG486" s="657"/>
    </row>
    <row r="487" spans="1:33" ht="10.5" customHeight="1" x14ac:dyDescent="0.2">
      <c r="A487" s="657"/>
      <c r="B487" s="657"/>
      <c r="C487" s="657"/>
      <c r="D487" s="657"/>
      <c r="E487" s="657"/>
      <c r="F487" s="657"/>
      <c r="G487" s="657"/>
      <c r="H487" s="657"/>
      <c r="I487" s="657"/>
      <c r="L487" s="657"/>
      <c r="AA487" s="659"/>
      <c r="AB487" s="659"/>
      <c r="AC487" s="659"/>
      <c r="AD487" s="659"/>
      <c r="AE487" s="659"/>
      <c r="AF487" s="659"/>
      <c r="AG487" s="657"/>
    </row>
    <row r="488" spans="1:33" ht="10.5" customHeight="1" x14ac:dyDescent="0.2">
      <c r="A488" s="657"/>
      <c r="B488" s="657"/>
      <c r="C488" s="657"/>
      <c r="D488" s="657"/>
      <c r="E488" s="657"/>
      <c r="F488" s="657"/>
      <c r="G488" s="657"/>
      <c r="H488" s="657"/>
      <c r="I488" s="657"/>
      <c r="L488" s="657"/>
      <c r="AA488" s="659"/>
      <c r="AB488" s="659"/>
      <c r="AC488" s="659"/>
      <c r="AD488" s="659"/>
      <c r="AE488" s="659"/>
      <c r="AF488" s="659"/>
      <c r="AG488" s="657"/>
    </row>
    <row r="489" spans="1:33" ht="10.5" customHeight="1" x14ac:dyDescent="0.2">
      <c r="A489" s="657"/>
      <c r="B489" s="657"/>
      <c r="C489" s="657"/>
      <c r="D489" s="657"/>
      <c r="E489" s="657"/>
      <c r="F489" s="657"/>
      <c r="G489" s="657"/>
      <c r="H489" s="657"/>
      <c r="I489" s="657"/>
      <c r="L489" s="657"/>
      <c r="AA489" s="659"/>
      <c r="AB489" s="659"/>
      <c r="AC489" s="659"/>
      <c r="AD489" s="659"/>
      <c r="AE489" s="659"/>
      <c r="AF489" s="659"/>
      <c r="AG489" s="657"/>
    </row>
    <row r="490" spans="1:33" ht="10.5" customHeight="1" x14ac:dyDescent="0.2">
      <c r="A490" s="657"/>
      <c r="B490" s="657"/>
      <c r="C490" s="657"/>
      <c r="D490" s="657"/>
      <c r="E490" s="657"/>
      <c r="F490" s="657"/>
      <c r="G490" s="657"/>
      <c r="H490" s="657"/>
      <c r="I490" s="657"/>
      <c r="L490" s="657"/>
      <c r="AA490" s="659"/>
      <c r="AB490" s="659"/>
      <c r="AC490" s="659"/>
      <c r="AD490" s="659"/>
      <c r="AE490" s="659"/>
      <c r="AF490" s="659"/>
      <c r="AG490" s="657"/>
    </row>
    <row r="491" spans="1:33" ht="10.5" customHeight="1" x14ac:dyDescent="0.2">
      <c r="A491" s="657"/>
      <c r="B491" s="657"/>
      <c r="C491" s="657"/>
      <c r="D491" s="657"/>
      <c r="E491" s="657"/>
      <c r="F491" s="657"/>
      <c r="G491" s="657"/>
      <c r="H491" s="657"/>
      <c r="I491" s="657"/>
      <c r="L491" s="657"/>
      <c r="AA491" s="659"/>
      <c r="AB491" s="659"/>
      <c r="AC491" s="659"/>
      <c r="AD491" s="659"/>
      <c r="AE491" s="659"/>
      <c r="AF491" s="659"/>
      <c r="AG491" s="657"/>
    </row>
    <row r="492" spans="1:33" ht="10.5" customHeight="1" x14ac:dyDescent="0.2">
      <c r="A492" s="657"/>
      <c r="B492" s="657"/>
      <c r="C492" s="657"/>
      <c r="D492" s="657"/>
      <c r="E492" s="657"/>
      <c r="F492" s="657"/>
      <c r="G492" s="657"/>
      <c r="H492" s="657"/>
      <c r="I492" s="657"/>
      <c r="L492" s="657"/>
      <c r="AA492" s="659"/>
      <c r="AB492" s="659"/>
      <c r="AC492" s="659"/>
      <c r="AD492" s="659"/>
      <c r="AE492" s="659"/>
      <c r="AF492" s="659"/>
      <c r="AG492" s="657"/>
    </row>
    <row r="493" spans="1:33" ht="10.5" customHeight="1" x14ac:dyDescent="0.2">
      <c r="A493" s="657"/>
      <c r="B493" s="657"/>
      <c r="C493" s="657"/>
      <c r="D493" s="657"/>
      <c r="E493" s="657"/>
      <c r="F493" s="657"/>
      <c r="G493" s="657"/>
      <c r="H493" s="657"/>
      <c r="I493" s="657"/>
      <c r="L493" s="657"/>
      <c r="AA493" s="659"/>
      <c r="AB493" s="659"/>
      <c r="AC493" s="659"/>
      <c r="AD493" s="659"/>
      <c r="AE493" s="659"/>
      <c r="AF493" s="659"/>
      <c r="AG493" s="657"/>
    </row>
    <row r="494" spans="1:33" ht="10.5" customHeight="1" x14ac:dyDescent="0.2">
      <c r="A494" s="657"/>
      <c r="B494" s="657"/>
      <c r="C494" s="657"/>
      <c r="D494" s="657"/>
      <c r="E494" s="657"/>
      <c r="F494" s="657"/>
      <c r="G494" s="657"/>
      <c r="H494" s="657"/>
      <c r="I494" s="657"/>
      <c r="L494" s="657"/>
      <c r="AA494" s="659"/>
      <c r="AB494" s="659"/>
      <c r="AC494" s="659"/>
      <c r="AD494" s="659"/>
      <c r="AE494" s="659"/>
      <c r="AF494" s="659"/>
      <c r="AG494" s="657"/>
    </row>
    <row r="495" spans="1:33" ht="10.5" customHeight="1" x14ac:dyDescent="0.2">
      <c r="A495" s="657"/>
      <c r="B495" s="657"/>
      <c r="C495" s="657"/>
      <c r="D495" s="657"/>
      <c r="E495" s="657"/>
      <c r="F495" s="657"/>
      <c r="G495" s="657"/>
      <c r="H495" s="657"/>
      <c r="I495" s="657"/>
      <c r="L495" s="657"/>
      <c r="AA495" s="659"/>
      <c r="AB495" s="659"/>
      <c r="AC495" s="659"/>
      <c r="AD495" s="659"/>
      <c r="AE495" s="659"/>
      <c r="AF495" s="659"/>
      <c r="AG495" s="657"/>
    </row>
    <row r="496" spans="1:33" ht="10.5" customHeight="1" x14ac:dyDescent="0.2">
      <c r="A496" s="657"/>
      <c r="B496" s="657"/>
      <c r="C496" s="657"/>
      <c r="D496" s="657"/>
      <c r="E496" s="657"/>
      <c r="F496" s="657"/>
      <c r="G496" s="657"/>
      <c r="H496" s="657"/>
      <c r="I496" s="657"/>
      <c r="L496" s="657"/>
      <c r="AA496" s="659"/>
      <c r="AB496" s="659"/>
      <c r="AC496" s="659"/>
      <c r="AD496" s="659"/>
      <c r="AE496" s="659"/>
      <c r="AF496" s="659"/>
      <c r="AG496" s="657"/>
    </row>
    <row r="497" spans="1:33" ht="10.5" customHeight="1" x14ac:dyDescent="0.2">
      <c r="A497" s="657"/>
      <c r="B497" s="657"/>
      <c r="C497" s="657"/>
      <c r="D497" s="657"/>
      <c r="E497" s="657"/>
      <c r="F497" s="657"/>
      <c r="G497" s="657"/>
      <c r="H497" s="657"/>
      <c r="I497" s="657"/>
      <c r="L497" s="657"/>
      <c r="AA497" s="659"/>
      <c r="AB497" s="659"/>
      <c r="AC497" s="659"/>
      <c r="AD497" s="659"/>
      <c r="AE497" s="659"/>
      <c r="AF497" s="659"/>
      <c r="AG497" s="657"/>
    </row>
    <row r="498" spans="1:33" ht="10.5" customHeight="1" x14ac:dyDescent="0.2">
      <c r="A498" s="657"/>
      <c r="B498" s="657"/>
      <c r="C498" s="657"/>
      <c r="D498" s="657"/>
      <c r="E498" s="657"/>
      <c r="F498" s="657"/>
      <c r="G498" s="657"/>
      <c r="H498" s="657"/>
      <c r="I498" s="657"/>
      <c r="L498" s="657"/>
      <c r="AA498" s="659"/>
      <c r="AB498" s="659"/>
      <c r="AC498" s="659"/>
      <c r="AD498" s="659"/>
      <c r="AE498" s="659"/>
      <c r="AF498" s="659"/>
      <c r="AG498" s="657"/>
    </row>
    <row r="499" spans="1:33" ht="10.5" customHeight="1" x14ac:dyDescent="0.2">
      <c r="A499" s="657"/>
      <c r="B499" s="657"/>
      <c r="C499" s="657"/>
      <c r="D499" s="657"/>
      <c r="E499" s="657"/>
      <c r="F499" s="657"/>
      <c r="G499" s="657"/>
      <c r="H499" s="657"/>
      <c r="I499" s="657"/>
      <c r="L499" s="657"/>
      <c r="AA499" s="659"/>
      <c r="AB499" s="659"/>
      <c r="AC499" s="659"/>
      <c r="AD499" s="659"/>
      <c r="AE499" s="659"/>
      <c r="AF499" s="659"/>
      <c r="AG499" s="657"/>
    </row>
    <row r="500" spans="1:33" ht="10.5" customHeight="1" x14ac:dyDescent="0.2">
      <c r="A500" s="657"/>
      <c r="B500" s="657"/>
      <c r="C500" s="657"/>
      <c r="D500" s="657"/>
      <c r="E500" s="657"/>
      <c r="F500" s="657"/>
      <c r="G500" s="657"/>
      <c r="H500" s="657"/>
      <c r="I500" s="657"/>
      <c r="L500" s="657"/>
      <c r="AA500" s="659"/>
      <c r="AB500" s="659"/>
      <c r="AC500" s="659"/>
      <c r="AD500" s="659"/>
      <c r="AE500" s="659"/>
      <c r="AF500" s="659"/>
      <c r="AG500" s="657"/>
    </row>
    <row r="501" spans="1:33" ht="10.5" customHeight="1" x14ac:dyDescent="0.2">
      <c r="A501" s="657"/>
      <c r="B501" s="657"/>
      <c r="C501" s="657"/>
      <c r="D501" s="657"/>
      <c r="E501" s="657"/>
      <c r="F501" s="657"/>
      <c r="G501" s="657"/>
      <c r="H501" s="657"/>
      <c r="I501" s="657"/>
      <c r="L501" s="657"/>
      <c r="AA501" s="659"/>
      <c r="AB501" s="659"/>
      <c r="AC501" s="659"/>
      <c r="AD501" s="659"/>
      <c r="AE501" s="659"/>
      <c r="AF501" s="659"/>
      <c r="AG501" s="657"/>
    </row>
    <row r="502" spans="1:33" ht="10.5" customHeight="1" x14ac:dyDescent="0.2">
      <c r="A502" s="657"/>
      <c r="B502" s="657"/>
      <c r="C502" s="657"/>
      <c r="D502" s="657"/>
      <c r="E502" s="657"/>
      <c r="F502" s="657"/>
      <c r="G502" s="657"/>
      <c r="H502" s="657"/>
      <c r="I502" s="657"/>
      <c r="L502" s="657"/>
      <c r="AA502" s="659"/>
      <c r="AB502" s="659"/>
      <c r="AC502" s="659"/>
      <c r="AD502" s="659"/>
      <c r="AE502" s="659"/>
      <c r="AF502" s="659"/>
      <c r="AG502" s="657"/>
    </row>
    <row r="503" spans="1:33" ht="10.5" customHeight="1" x14ac:dyDescent="0.2">
      <c r="A503" s="657"/>
      <c r="B503" s="657"/>
      <c r="C503" s="657"/>
      <c r="D503" s="657"/>
      <c r="E503" s="657"/>
      <c r="F503" s="657"/>
      <c r="G503" s="657"/>
      <c r="H503" s="657"/>
      <c r="I503" s="657"/>
      <c r="L503" s="657"/>
      <c r="AA503" s="659"/>
      <c r="AB503" s="659"/>
      <c r="AC503" s="659"/>
      <c r="AD503" s="659"/>
      <c r="AE503" s="659"/>
      <c r="AF503" s="659"/>
      <c r="AG503" s="657"/>
    </row>
    <row r="504" spans="1:33" ht="10.5" customHeight="1" x14ac:dyDescent="0.2">
      <c r="A504" s="657"/>
      <c r="B504" s="657"/>
      <c r="C504" s="657"/>
      <c r="D504" s="657"/>
      <c r="E504" s="657"/>
      <c r="F504" s="657"/>
      <c r="G504" s="657"/>
      <c r="H504" s="657"/>
      <c r="I504" s="657"/>
      <c r="L504" s="657"/>
      <c r="AA504" s="659"/>
      <c r="AB504" s="659"/>
      <c r="AC504" s="659"/>
      <c r="AD504" s="659"/>
      <c r="AE504" s="659"/>
      <c r="AF504" s="659"/>
      <c r="AG504" s="657"/>
    </row>
    <row r="505" spans="1:33" ht="10.5" customHeight="1" x14ac:dyDescent="0.2">
      <c r="A505" s="657"/>
      <c r="B505" s="657"/>
      <c r="C505" s="657"/>
      <c r="D505" s="657"/>
      <c r="E505" s="657"/>
      <c r="F505" s="657"/>
      <c r="G505" s="657"/>
      <c r="H505" s="657"/>
      <c r="I505" s="657"/>
      <c r="L505" s="657"/>
      <c r="AA505" s="659"/>
      <c r="AB505" s="659"/>
      <c r="AC505" s="659"/>
      <c r="AD505" s="659"/>
      <c r="AE505" s="659"/>
      <c r="AF505" s="659"/>
      <c r="AG505" s="657"/>
    </row>
    <row r="506" spans="1:33" ht="10.5" customHeight="1" x14ac:dyDescent="0.2">
      <c r="A506" s="657"/>
      <c r="B506" s="657"/>
      <c r="C506" s="657"/>
      <c r="D506" s="657"/>
      <c r="E506" s="657"/>
      <c r="F506" s="657"/>
      <c r="G506" s="657"/>
      <c r="H506" s="657"/>
      <c r="I506" s="657"/>
      <c r="L506" s="657"/>
      <c r="AA506" s="659"/>
      <c r="AB506" s="659"/>
      <c r="AC506" s="659"/>
      <c r="AD506" s="659"/>
      <c r="AE506" s="659"/>
      <c r="AF506" s="659"/>
      <c r="AG506" s="657"/>
    </row>
    <row r="507" spans="1:33" ht="10.5" customHeight="1" x14ac:dyDescent="0.2">
      <c r="A507" s="657"/>
      <c r="B507" s="657"/>
      <c r="C507" s="657"/>
      <c r="D507" s="657"/>
      <c r="E507" s="657"/>
      <c r="F507" s="657"/>
      <c r="G507" s="657"/>
      <c r="H507" s="657"/>
      <c r="I507" s="657"/>
      <c r="L507" s="657"/>
      <c r="AA507" s="659"/>
      <c r="AB507" s="659"/>
      <c r="AC507" s="659"/>
      <c r="AD507" s="659"/>
      <c r="AE507" s="659"/>
      <c r="AF507" s="659"/>
      <c r="AG507" s="657"/>
    </row>
    <row r="508" spans="1:33" ht="10.5" customHeight="1" x14ac:dyDescent="0.2">
      <c r="A508" s="657"/>
      <c r="B508" s="657"/>
      <c r="C508" s="657"/>
      <c r="D508" s="657"/>
      <c r="E508" s="657"/>
      <c r="F508" s="657"/>
      <c r="G508" s="657"/>
      <c r="H508" s="657"/>
      <c r="I508" s="657"/>
      <c r="L508" s="657"/>
      <c r="AA508" s="659"/>
      <c r="AB508" s="659"/>
      <c r="AC508" s="659"/>
      <c r="AD508" s="659"/>
      <c r="AE508" s="659"/>
      <c r="AF508" s="659"/>
      <c r="AG508" s="657"/>
    </row>
    <row r="509" spans="1:33" ht="10.5" customHeight="1" x14ac:dyDescent="0.2">
      <c r="A509" s="657"/>
      <c r="B509" s="657"/>
      <c r="C509" s="657"/>
      <c r="D509" s="657"/>
      <c r="E509" s="657"/>
      <c r="F509" s="657"/>
      <c r="G509" s="657"/>
      <c r="H509" s="657"/>
      <c r="I509" s="657"/>
      <c r="L509" s="657"/>
      <c r="AA509" s="659"/>
      <c r="AB509" s="659"/>
      <c r="AC509" s="659"/>
      <c r="AD509" s="659"/>
      <c r="AE509" s="659"/>
      <c r="AF509" s="659"/>
      <c r="AG509" s="657"/>
    </row>
    <row r="510" spans="1:33" ht="10.5" customHeight="1" x14ac:dyDescent="0.2">
      <c r="A510" s="657"/>
      <c r="B510" s="657"/>
      <c r="C510" s="657"/>
      <c r="D510" s="657"/>
      <c r="E510" s="657"/>
      <c r="F510" s="657"/>
      <c r="G510" s="657"/>
      <c r="H510" s="657"/>
      <c r="I510" s="657"/>
      <c r="L510" s="657"/>
      <c r="AA510" s="659"/>
      <c r="AB510" s="659"/>
      <c r="AC510" s="659"/>
      <c r="AD510" s="659"/>
      <c r="AE510" s="659"/>
      <c r="AF510" s="659"/>
      <c r="AG510" s="657"/>
    </row>
    <row r="511" spans="1:33" ht="10.5" customHeight="1" x14ac:dyDescent="0.2">
      <c r="A511" s="657"/>
      <c r="B511" s="657"/>
      <c r="C511" s="657"/>
      <c r="D511" s="657"/>
      <c r="E511" s="657"/>
      <c r="F511" s="657"/>
      <c r="G511" s="657"/>
      <c r="H511" s="657"/>
      <c r="I511" s="657"/>
      <c r="L511" s="657"/>
      <c r="AA511" s="659"/>
      <c r="AB511" s="659"/>
      <c r="AC511" s="659"/>
      <c r="AD511" s="659"/>
      <c r="AE511" s="659"/>
      <c r="AF511" s="659"/>
      <c r="AG511" s="657"/>
    </row>
    <row r="512" spans="1:33" ht="10.5" customHeight="1" x14ac:dyDescent="0.2">
      <c r="A512" s="657"/>
      <c r="B512" s="657"/>
      <c r="C512" s="657"/>
      <c r="D512" s="657"/>
      <c r="E512" s="657"/>
      <c r="F512" s="657"/>
      <c r="G512" s="657"/>
      <c r="H512" s="657"/>
      <c r="I512" s="657"/>
      <c r="L512" s="657"/>
      <c r="AA512" s="659"/>
      <c r="AB512" s="659"/>
      <c r="AC512" s="659"/>
      <c r="AD512" s="659"/>
      <c r="AE512" s="659"/>
      <c r="AF512" s="659"/>
      <c r="AG512" s="657"/>
    </row>
    <row r="513" spans="1:33" ht="10.5" customHeight="1" x14ac:dyDescent="0.2">
      <c r="A513" s="657"/>
      <c r="B513" s="657"/>
      <c r="C513" s="657"/>
      <c r="D513" s="657"/>
      <c r="E513" s="657"/>
      <c r="F513" s="657"/>
      <c r="G513" s="657"/>
      <c r="H513" s="657"/>
      <c r="I513" s="657"/>
      <c r="L513" s="657"/>
      <c r="AA513" s="659"/>
      <c r="AB513" s="659"/>
      <c r="AC513" s="659"/>
      <c r="AD513" s="659"/>
      <c r="AE513" s="659"/>
      <c r="AF513" s="659"/>
      <c r="AG513" s="657"/>
    </row>
    <row r="514" spans="1:33" ht="10.5" customHeight="1" x14ac:dyDescent="0.2">
      <c r="A514" s="657"/>
      <c r="B514" s="657"/>
      <c r="C514" s="657"/>
      <c r="D514" s="657"/>
      <c r="E514" s="657"/>
      <c r="F514" s="657"/>
      <c r="G514" s="657"/>
      <c r="H514" s="657"/>
      <c r="I514" s="657"/>
      <c r="L514" s="657"/>
      <c r="AA514" s="659"/>
      <c r="AB514" s="659"/>
      <c r="AC514" s="659"/>
      <c r="AD514" s="659"/>
      <c r="AE514" s="659"/>
      <c r="AF514" s="659"/>
      <c r="AG514" s="657"/>
    </row>
    <row r="515" spans="1:33" ht="10.5" customHeight="1" x14ac:dyDescent="0.2">
      <c r="A515" s="657"/>
      <c r="B515" s="657"/>
      <c r="C515" s="657"/>
      <c r="D515" s="657"/>
      <c r="E515" s="657"/>
      <c r="F515" s="657"/>
      <c r="G515" s="657"/>
      <c r="H515" s="657"/>
      <c r="I515" s="657"/>
      <c r="L515" s="657"/>
      <c r="AA515" s="659"/>
      <c r="AB515" s="659"/>
      <c r="AC515" s="659"/>
      <c r="AD515" s="659"/>
      <c r="AE515" s="659"/>
      <c r="AF515" s="659"/>
      <c r="AG515" s="657"/>
    </row>
    <row r="516" spans="1:33" ht="10.5" customHeight="1" x14ac:dyDescent="0.2">
      <c r="A516" s="657"/>
      <c r="B516" s="657"/>
      <c r="C516" s="657"/>
      <c r="D516" s="657"/>
      <c r="E516" s="657"/>
      <c r="F516" s="657"/>
      <c r="G516" s="657"/>
      <c r="H516" s="657"/>
      <c r="I516" s="657"/>
      <c r="L516" s="657"/>
      <c r="AA516" s="659"/>
      <c r="AB516" s="659"/>
      <c r="AC516" s="659"/>
      <c r="AD516" s="659"/>
      <c r="AE516" s="659"/>
      <c r="AF516" s="659"/>
      <c r="AG516" s="657"/>
    </row>
    <row r="517" spans="1:33" ht="10.5" customHeight="1" x14ac:dyDescent="0.2">
      <c r="A517" s="657"/>
      <c r="B517" s="657"/>
      <c r="C517" s="657"/>
      <c r="D517" s="657"/>
      <c r="E517" s="657"/>
      <c r="F517" s="657"/>
      <c r="G517" s="657"/>
      <c r="H517" s="657"/>
      <c r="I517" s="657"/>
      <c r="L517" s="657"/>
      <c r="AA517" s="659"/>
      <c r="AB517" s="659"/>
      <c r="AC517" s="659"/>
      <c r="AD517" s="659"/>
      <c r="AE517" s="659"/>
      <c r="AF517" s="659"/>
      <c r="AG517" s="657"/>
    </row>
    <row r="518" spans="1:33" ht="10.5" customHeight="1" x14ac:dyDescent="0.2">
      <c r="A518" s="657"/>
      <c r="B518" s="657"/>
      <c r="C518" s="657"/>
      <c r="D518" s="657"/>
      <c r="E518" s="657"/>
      <c r="F518" s="657"/>
      <c r="G518" s="657"/>
      <c r="H518" s="657"/>
      <c r="I518" s="657"/>
      <c r="L518" s="657"/>
      <c r="AA518" s="659"/>
      <c r="AB518" s="659"/>
      <c r="AC518" s="659"/>
      <c r="AD518" s="659"/>
      <c r="AE518" s="659"/>
      <c r="AF518" s="659"/>
      <c r="AG518" s="657"/>
    </row>
    <row r="519" spans="1:33" ht="10.5" customHeight="1" x14ac:dyDescent="0.2">
      <c r="A519" s="657"/>
      <c r="B519" s="657"/>
      <c r="C519" s="657"/>
      <c r="D519" s="657"/>
      <c r="E519" s="657"/>
      <c r="F519" s="657"/>
      <c r="G519" s="657"/>
      <c r="H519" s="657"/>
      <c r="I519" s="657"/>
      <c r="L519" s="657"/>
      <c r="AA519" s="659"/>
      <c r="AB519" s="659"/>
      <c r="AC519" s="659"/>
      <c r="AD519" s="659"/>
      <c r="AE519" s="659"/>
      <c r="AF519" s="659"/>
      <c r="AG519" s="657"/>
    </row>
    <row r="520" spans="1:33" ht="10.5" customHeight="1" x14ac:dyDescent="0.2">
      <c r="A520" s="657"/>
      <c r="B520" s="657"/>
      <c r="C520" s="657"/>
      <c r="D520" s="657"/>
      <c r="E520" s="657"/>
      <c r="F520" s="657"/>
      <c r="G520" s="657"/>
      <c r="H520" s="657"/>
      <c r="I520" s="657"/>
      <c r="L520" s="657"/>
      <c r="AA520" s="659"/>
      <c r="AB520" s="659"/>
      <c r="AC520" s="659"/>
      <c r="AD520" s="659"/>
      <c r="AE520" s="659"/>
      <c r="AF520" s="659"/>
      <c r="AG520" s="657"/>
    </row>
    <row r="521" spans="1:33" ht="10.5" customHeight="1" x14ac:dyDescent="0.2">
      <c r="A521" s="657"/>
      <c r="B521" s="657"/>
      <c r="C521" s="657"/>
      <c r="D521" s="657"/>
      <c r="E521" s="657"/>
      <c r="F521" s="657"/>
      <c r="G521" s="657"/>
      <c r="H521" s="657"/>
      <c r="I521" s="657"/>
      <c r="L521" s="657"/>
      <c r="AA521" s="659"/>
      <c r="AB521" s="659"/>
      <c r="AC521" s="659"/>
      <c r="AD521" s="659"/>
      <c r="AE521" s="659"/>
      <c r="AF521" s="659"/>
      <c r="AG521" s="657"/>
    </row>
    <row r="522" spans="1:33" ht="10.5" customHeight="1" x14ac:dyDescent="0.2">
      <c r="A522" s="657"/>
      <c r="B522" s="657"/>
      <c r="C522" s="657"/>
      <c r="D522" s="657"/>
      <c r="E522" s="657"/>
      <c r="F522" s="657"/>
      <c r="G522" s="657"/>
      <c r="H522" s="657"/>
      <c r="I522" s="657"/>
      <c r="L522" s="657"/>
      <c r="AA522" s="659"/>
      <c r="AB522" s="659"/>
      <c r="AC522" s="659"/>
      <c r="AD522" s="659"/>
      <c r="AE522" s="659"/>
      <c r="AF522" s="659"/>
      <c r="AG522" s="657"/>
    </row>
    <row r="523" spans="1:33" ht="10.5" customHeight="1" x14ac:dyDescent="0.2">
      <c r="A523" s="657"/>
      <c r="B523" s="657"/>
      <c r="C523" s="657"/>
      <c r="D523" s="657"/>
      <c r="E523" s="657"/>
      <c r="F523" s="657"/>
      <c r="G523" s="657"/>
      <c r="H523" s="657"/>
      <c r="I523" s="657"/>
      <c r="L523" s="657"/>
      <c r="AA523" s="659"/>
      <c r="AB523" s="659"/>
      <c r="AC523" s="659"/>
      <c r="AD523" s="659"/>
      <c r="AE523" s="659"/>
      <c r="AF523" s="659"/>
      <c r="AG523" s="657"/>
    </row>
    <row r="524" spans="1:33" ht="10.5" customHeight="1" x14ac:dyDescent="0.2">
      <c r="A524" s="657"/>
      <c r="B524" s="657"/>
      <c r="C524" s="657"/>
      <c r="D524" s="657"/>
      <c r="E524" s="657"/>
      <c r="F524" s="657"/>
      <c r="G524" s="657"/>
      <c r="H524" s="657"/>
      <c r="I524" s="657"/>
      <c r="L524" s="657"/>
      <c r="AA524" s="659"/>
      <c r="AB524" s="659"/>
      <c r="AC524" s="659"/>
      <c r="AD524" s="659"/>
      <c r="AE524" s="659"/>
      <c r="AF524" s="659"/>
      <c r="AG524" s="657"/>
    </row>
    <row r="525" spans="1:33" ht="10.5" customHeight="1" x14ac:dyDescent="0.2">
      <c r="A525" s="657"/>
      <c r="B525" s="657"/>
      <c r="C525" s="657"/>
      <c r="D525" s="657"/>
      <c r="E525" s="657"/>
      <c r="F525" s="657"/>
      <c r="G525" s="657"/>
      <c r="H525" s="657"/>
      <c r="I525" s="657"/>
      <c r="L525" s="657"/>
      <c r="AA525" s="659"/>
      <c r="AB525" s="659"/>
      <c r="AC525" s="659"/>
      <c r="AD525" s="659"/>
      <c r="AE525" s="659"/>
      <c r="AF525" s="659"/>
      <c r="AG525" s="657"/>
    </row>
    <row r="526" spans="1:33" ht="10.5" customHeight="1" x14ac:dyDescent="0.2">
      <c r="A526" s="657"/>
      <c r="B526" s="657"/>
      <c r="C526" s="657"/>
      <c r="D526" s="657"/>
      <c r="E526" s="657"/>
      <c r="F526" s="657"/>
      <c r="G526" s="657"/>
      <c r="H526" s="657"/>
      <c r="I526" s="657"/>
      <c r="L526" s="657"/>
      <c r="AA526" s="659"/>
      <c r="AB526" s="659"/>
      <c r="AC526" s="659"/>
      <c r="AD526" s="659"/>
      <c r="AE526" s="659"/>
      <c r="AF526" s="659"/>
      <c r="AG526" s="657"/>
    </row>
    <row r="527" spans="1:33" ht="10.5" customHeight="1" x14ac:dyDescent="0.2">
      <c r="A527" s="657"/>
      <c r="B527" s="657"/>
      <c r="C527" s="657"/>
      <c r="D527" s="657"/>
      <c r="E527" s="657"/>
      <c r="F527" s="657"/>
      <c r="G527" s="657"/>
      <c r="H527" s="657"/>
      <c r="I527" s="657"/>
      <c r="L527" s="657"/>
      <c r="AA527" s="659"/>
      <c r="AB527" s="659"/>
      <c r="AC527" s="659"/>
      <c r="AD527" s="659"/>
      <c r="AE527" s="659"/>
      <c r="AF527" s="659"/>
      <c r="AG527" s="657"/>
    </row>
    <row r="528" spans="1:33" ht="10.5" customHeight="1" x14ac:dyDescent="0.2">
      <c r="A528" s="657"/>
      <c r="B528" s="657"/>
      <c r="C528" s="657"/>
      <c r="D528" s="657"/>
      <c r="E528" s="657"/>
      <c r="F528" s="657"/>
      <c r="G528" s="657"/>
      <c r="H528" s="657"/>
      <c r="I528" s="657"/>
      <c r="L528" s="657"/>
      <c r="AA528" s="659"/>
      <c r="AB528" s="659"/>
      <c r="AC528" s="659"/>
      <c r="AD528" s="659"/>
      <c r="AE528" s="659"/>
      <c r="AF528" s="659"/>
      <c r="AG528" s="657"/>
    </row>
    <row r="529" spans="1:33" ht="10.5" customHeight="1" x14ac:dyDescent="0.2">
      <c r="A529" s="657"/>
      <c r="B529" s="657"/>
      <c r="C529" s="657"/>
      <c r="D529" s="657"/>
      <c r="E529" s="657"/>
      <c r="F529" s="657"/>
      <c r="G529" s="657"/>
      <c r="H529" s="657"/>
      <c r="I529" s="657"/>
      <c r="L529" s="657"/>
      <c r="AA529" s="659"/>
      <c r="AB529" s="659"/>
      <c r="AC529" s="659"/>
      <c r="AD529" s="659"/>
      <c r="AE529" s="659"/>
      <c r="AF529" s="659"/>
      <c r="AG529" s="657"/>
    </row>
    <row r="530" spans="1:33" ht="10.5" customHeight="1" x14ac:dyDescent="0.2">
      <c r="A530" s="657"/>
      <c r="B530" s="657"/>
      <c r="C530" s="657"/>
      <c r="D530" s="657"/>
      <c r="E530" s="657"/>
      <c r="F530" s="657"/>
      <c r="G530" s="657"/>
      <c r="H530" s="657"/>
      <c r="I530" s="657"/>
      <c r="L530" s="657"/>
      <c r="AA530" s="659"/>
      <c r="AB530" s="659"/>
      <c r="AC530" s="659"/>
      <c r="AD530" s="659"/>
      <c r="AE530" s="659"/>
      <c r="AF530" s="659"/>
      <c r="AG530" s="657"/>
    </row>
    <row r="531" spans="1:33" ht="10.5" customHeight="1" x14ac:dyDescent="0.2">
      <c r="A531" s="657"/>
      <c r="B531" s="657"/>
      <c r="C531" s="657"/>
      <c r="D531" s="657"/>
      <c r="E531" s="657"/>
      <c r="F531" s="657"/>
      <c r="G531" s="657"/>
      <c r="H531" s="657"/>
      <c r="I531" s="657"/>
      <c r="L531" s="657"/>
      <c r="AA531" s="659"/>
      <c r="AB531" s="659"/>
      <c r="AC531" s="659"/>
      <c r="AD531" s="659"/>
      <c r="AE531" s="659"/>
      <c r="AF531" s="659"/>
      <c r="AG531" s="657"/>
    </row>
    <row r="532" spans="1:33" ht="10.5" customHeight="1" x14ac:dyDescent="0.2">
      <c r="A532" s="657"/>
      <c r="B532" s="657"/>
      <c r="C532" s="657"/>
      <c r="D532" s="657"/>
      <c r="E532" s="657"/>
      <c r="F532" s="657"/>
      <c r="G532" s="657"/>
      <c r="H532" s="657"/>
      <c r="I532" s="657"/>
      <c r="L532" s="657"/>
      <c r="AA532" s="659"/>
      <c r="AB532" s="659"/>
      <c r="AC532" s="659"/>
      <c r="AD532" s="659"/>
      <c r="AE532" s="659"/>
      <c r="AF532" s="659"/>
      <c r="AG532" s="657"/>
    </row>
    <row r="533" spans="1:33" ht="10.5" customHeight="1" x14ac:dyDescent="0.2">
      <c r="A533" s="657"/>
      <c r="B533" s="657"/>
      <c r="C533" s="657"/>
      <c r="D533" s="657"/>
      <c r="E533" s="657"/>
      <c r="F533" s="657"/>
      <c r="G533" s="657"/>
      <c r="H533" s="657"/>
      <c r="I533" s="657"/>
      <c r="L533" s="657"/>
      <c r="AA533" s="659"/>
      <c r="AB533" s="659"/>
      <c r="AC533" s="659"/>
      <c r="AD533" s="659"/>
      <c r="AE533" s="659"/>
      <c r="AF533" s="659"/>
      <c r="AG533" s="657"/>
    </row>
    <row r="534" spans="1:33" ht="10.5" customHeight="1" x14ac:dyDescent="0.2">
      <c r="A534" s="657"/>
      <c r="B534" s="657"/>
      <c r="C534" s="657"/>
      <c r="D534" s="657"/>
      <c r="E534" s="657"/>
      <c r="F534" s="657"/>
      <c r="G534" s="657"/>
      <c r="H534" s="657"/>
      <c r="I534" s="657"/>
      <c r="L534" s="657"/>
      <c r="AA534" s="659"/>
      <c r="AB534" s="659"/>
      <c r="AC534" s="659"/>
      <c r="AD534" s="659"/>
      <c r="AE534" s="659"/>
      <c r="AF534" s="659"/>
      <c r="AG534" s="657"/>
    </row>
    <row r="535" spans="1:33" ht="10.5" customHeight="1" x14ac:dyDescent="0.2">
      <c r="A535" s="657"/>
      <c r="B535" s="657"/>
      <c r="C535" s="657"/>
      <c r="D535" s="657"/>
      <c r="E535" s="657"/>
      <c r="F535" s="657"/>
      <c r="G535" s="657"/>
      <c r="H535" s="657"/>
      <c r="I535" s="657"/>
      <c r="L535" s="657"/>
      <c r="AA535" s="659"/>
      <c r="AB535" s="659"/>
      <c r="AC535" s="659"/>
      <c r="AD535" s="659"/>
      <c r="AE535" s="659"/>
      <c r="AF535" s="659"/>
      <c r="AG535" s="657"/>
    </row>
    <row r="536" spans="1:33" ht="10.5" customHeight="1" x14ac:dyDescent="0.2">
      <c r="A536" s="657"/>
      <c r="B536" s="657"/>
      <c r="C536" s="657"/>
      <c r="D536" s="657"/>
      <c r="E536" s="657"/>
      <c r="F536" s="657"/>
      <c r="G536" s="657"/>
      <c r="H536" s="657"/>
      <c r="I536" s="657"/>
      <c r="L536" s="657"/>
      <c r="AA536" s="659"/>
      <c r="AB536" s="659"/>
      <c r="AC536" s="659"/>
      <c r="AD536" s="659"/>
      <c r="AE536" s="659"/>
      <c r="AF536" s="659"/>
      <c r="AG536" s="657"/>
    </row>
    <row r="537" spans="1:33" ht="10.5" customHeight="1" x14ac:dyDescent="0.2">
      <c r="A537" s="657"/>
      <c r="B537" s="657"/>
      <c r="C537" s="657"/>
      <c r="D537" s="657"/>
      <c r="E537" s="657"/>
      <c r="F537" s="657"/>
      <c r="G537" s="657"/>
      <c r="H537" s="657"/>
      <c r="I537" s="657"/>
      <c r="L537" s="657"/>
      <c r="AA537" s="659"/>
      <c r="AB537" s="659"/>
      <c r="AC537" s="659"/>
      <c r="AD537" s="659"/>
      <c r="AE537" s="659"/>
      <c r="AF537" s="659"/>
      <c r="AG537" s="657"/>
    </row>
    <row r="538" spans="1:33" ht="10.5" customHeight="1" x14ac:dyDescent="0.2">
      <c r="A538" s="657"/>
      <c r="B538" s="657"/>
      <c r="C538" s="657"/>
      <c r="D538" s="657"/>
      <c r="E538" s="657"/>
      <c r="F538" s="657"/>
      <c r="G538" s="657"/>
      <c r="H538" s="657"/>
      <c r="I538" s="657"/>
      <c r="L538" s="657"/>
      <c r="AA538" s="659"/>
      <c r="AB538" s="659"/>
      <c r="AC538" s="659"/>
      <c r="AD538" s="659"/>
      <c r="AE538" s="659"/>
      <c r="AF538" s="659"/>
      <c r="AG538" s="657"/>
    </row>
    <row r="539" spans="1:33" ht="10.5" customHeight="1" x14ac:dyDescent="0.2">
      <c r="A539" s="657"/>
      <c r="B539" s="657"/>
      <c r="C539" s="657"/>
      <c r="D539" s="657"/>
      <c r="E539" s="657"/>
      <c r="F539" s="657"/>
      <c r="G539" s="657"/>
      <c r="H539" s="657"/>
      <c r="I539" s="657"/>
      <c r="L539" s="657"/>
      <c r="AA539" s="659"/>
      <c r="AB539" s="659"/>
      <c r="AC539" s="659"/>
      <c r="AD539" s="659"/>
      <c r="AE539" s="659"/>
      <c r="AF539" s="659"/>
      <c r="AG539" s="657"/>
    </row>
    <row r="540" spans="1:33" ht="10.5" customHeight="1" x14ac:dyDescent="0.2">
      <c r="A540" s="657"/>
      <c r="B540" s="657"/>
      <c r="C540" s="657"/>
      <c r="D540" s="657"/>
      <c r="E540" s="657"/>
      <c r="F540" s="657"/>
      <c r="G540" s="657"/>
      <c r="H540" s="657"/>
      <c r="I540" s="657"/>
      <c r="L540" s="657"/>
      <c r="AA540" s="659"/>
      <c r="AB540" s="659"/>
      <c r="AC540" s="659"/>
      <c r="AD540" s="659"/>
      <c r="AE540" s="659"/>
      <c r="AF540" s="659"/>
      <c r="AG540" s="657"/>
    </row>
    <row r="541" spans="1:33" ht="10.5" customHeight="1" x14ac:dyDescent="0.2">
      <c r="A541" s="657"/>
      <c r="B541" s="657"/>
      <c r="C541" s="657"/>
      <c r="D541" s="657"/>
      <c r="E541" s="657"/>
      <c r="F541" s="657"/>
      <c r="G541" s="657"/>
      <c r="H541" s="657"/>
      <c r="I541" s="657"/>
      <c r="L541" s="657"/>
      <c r="AA541" s="659"/>
      <c r="AB541" s="659"/>
      <c r="AC541" s="659"/>
      <c r="AD541" s="659"/>
      <c r="AE541" s="659"/>
      <c r="AF541" s="659"/>
      <c r="AG541" s="657"/>
    </row>
    <row r="542" spans="1:33" ht="10.5" customHeight="1" x14ac:dyDescent="0.2">
      <c r="A542" s="657"/>
      <c r="B542" s="657"/>
      <c r="C542" s="657"/>
      <c r="D542" s="657"/>
      <c r="E542" s="657"/>
      <c r="F542" s="657"/>
      <c r="G542" s="657"/>
      <c r="H542" s="657"/>
      <c r="I542" s="657"/>
      <c r="L542" s="657"/>
      <c r="AA542" s="659"/>
      <c r="AB542" s="659"/>
      <c r="AC542" s="659"/>
      <c r="AD542" s="659"/>
      <c r="AE542" s="659"/>
      <c r="AF542" s="659"/>
      <c r="AG542" s="657"/>
    </row>
    <row r="543" spans="1:33" ht="10.5" customHeight="1" x14ac:dyDescent="0.2">
      <c r="A543" s="657"/>
      <c r="B543" s="657"/>
      <c r="C543" s="657"/>
      <c r="D543" s="657"/>
      <c r="E543" s="657"/>
      <c r="F543" s="657"/>
      <c r="G543" s="657"/>
      <c r="H543" s="657"/>
      <c r="I543" s="657"/>
      <c r="L543" s="657"/>
      <c r="AA543" s="659"/>
      <c r="AB543" s="659"/>
      <c r="AC543" s="659"/>
      <c r="AD543" s="659"/>
      <c r="AE543" s="659"/>
      <c r="AF543" s="659"/>
      <c r="AG543" s="657"/>
    </row>
    <row r="544" spans="1:33" ht="10.5" customHeight="1" x14ac:dyDescent="0.2">
      <c r="A544" s="657"/>
      <c r="B544" s="657"/>
      <c r="C544" s="657"/>
      <c r="D544" s="657"/>
      <c r="E544" s="657"/>
      <c r="F544" s="657"/>
      <c r="G544" s="657"/>
      <c r="H544" s="657"/>
      <c r="I544" s="657"/>
      <c r="L544" s="657"/>
      <c r="AA544" s="659"/>
      <c r="AB544" s="659"/>
      <c r="AC544" s="659"/>
      <c r="AD544" s="659"/>
      <c r="AE544" s="659"/>
      <c r="AF544" s="659"/>
      <c r="AG544" s="657"/>
    </row>
    <row r="545" spans="1:33" ht="10.5" customHeight="1" x14ac:dyDescent="0.2">
      <c r="A545" s="657"/>
      <c r="B545" s="657"/>
      <c r="C545" s="657"/>
      <c r="D545" s="657"/>
      <c r="E545" s="657"/>
      <c r="F545" s="657"/>
      <c r="G545" s="657"/>
      <c r="H545" s="657"/>
      <c r="I545" s="657"/>
      <c r="L545" s="657"/>
      <c r="AA545" s="659"/>
      <c r="AB545" s="659"/>
      <c r="AC545" s="659"/>
      <c r="AD545" s="659"/>
      <c r="AE545" s="659"/>
      <c r="AF545" s="659"/>
      <c r="AG545" s="657"/>
    </row>
    <row r="546" spans="1:33" ht="10.5" customHeight="1" x14ac:dyDescent="0.2">
      <c r="A546" s="657"/>
      <c r="B546" s="657"/>
      <c r="C546" s="657"/>
      <c r="D546" s="657"/>
      <c r="E546" s="657"/>
      <c r="F546" s="657"/>
      <c r="G546" s="657"/>
      <c r="H546" s="657"/>
      <c r="I546" s="657"/>
      <c r="L546" s="657"/>
      <c r="AA546" s="659"/>
      <c r="AB546" s="659"/>
      <c r="AC546" s="659"/>
      <c r="AD546" s="659"/>
      <c r="AE546" s="659"/>
      <c r="AF546" s="659"/>
      <c r="AG546" s="657"/>
    </row>
    <row r="547" spans="1:33" ht="10.5" customHeight="1" x14ac:dyDescent="0.2">
      <c r="A547" s="657"/>
      <c r="B547" s="657"/>
      <c r="C547" s="657"/>
      <c r="D547" s="657"/>
      <c r="E547" s="657"/>
      <c r="F547" s="657"/>
      <c r="G547" s="657"/>
      <c r="H547" s="657"/>
      <c r="I547" s="657"/>
      <c r="L547" s="657"/>
      <c r="AA547" s="659"/>
      <c r="AB547" s="659"/>
      <c r="AC547" s="659"/>
      <c r="AD547" s="659"/>
      <c r="AE547" s="659"/>
      <c r="AF547" s="659"/>
      <c r="AG547" s="657"/>
    </row>
    <row r="548" spans="1:33" ht="10.5" customHeight="1" x14ac:dyDescent="0.2">
      <c r="A548" s="657"/>
      <c r="B548" s="657"/>
      <c r="C548" s="657"/>
      <c r="D548" s="657"/>
      <c r="E548" s="657"/>
      <c r="F548" s="657"/>
      <c r="G548" s="657"/>
      <c r="H548" s="657"/>
      <c r="I548" s="657"/>
      <c r="L548" s="657"/>
      <c r="AA548" s="659"/>
      <c r="AB548" s="659"/>
      <c r="AC548" s="659"/>
      <c r="AD548" s="659"/>
      <c r="AE548" s="659"/>
      <c r="AF548" s="659"/>
      <c r="AG548" s="657"/>
    </row>
    <row r="549" spans="1:33" ht="10.5" customHeight="1" x14ac:dyDescent="0.2">
      <c r="A549" s="657"/>
      <c r="B549" s="657"/>
      <c r="C549" s="657"/>
      <c r="D549" s="657"/>
      <c r="E549" s="657"/>
      <c r="F549" s="657"/>
      <c r="G549" s="657"/>
      <c r="H549" s="657"/>
      <c r="I549" s="657"/>
      <c r="L549" s="657"/>
      <c r="AA549" s="659"/>
      <c r="AB549" s="659"/>
      <c r="AC549" s="659"/>
      <c r="AD549" s="659"/>
      <c r="AE549" s="659"/>
      <c r="AF549" s="659"/>
      <c r="AG549" s="657"/>
    </row>
    <row r="550" spans="1:33" ht="10.5" customHeight="1" x14ac:dyDescent="0.2">
      <c r="A550" s="657"/>
      <c r="B550" s="657"/>
      <c r="C550" s="657"/>
      <c r="D550" s="657"/>
      <c r="E550" s="657"/>
      <c r="F550" s="657"/>
      <c r="G550" s="657"/>
      <c r="H550" s="657"/>
      <c r="I550" s="657"/>
      <c r="L550" s="657"/>
      <c r="AA550" s="659"/>
      <c r="AB550" s="659"/>
      <c r="AC550" s="659"/>
      <c r="AD550" s="659"/>
      <c r="AE550" s="659"/>
      <c r="AF550" s="659"/>
      <c r="AG550" s="657"/>
    </row>
    <row r="551" spans="1:33" ht="10.5" customHeight="1" x14ac:dyDescent="0.2">
      <c r="A551" s="657"/>
      <c r="B551" s="657"/>
      <c r="C551" s="657"/>
      <c r="D551" s="657"/>
      <c r="E551" s="657"/>
      <c r="F551" s="657"/>
      <c r="G551" s="657"/>
      <c r="H551" s="657"/>
      <c r="I551" s="657"/>
      <c r="L551" s="657"/>
      <c r="AA551" s="659"/>
      <c r="AB551" s="659"/>
      <c r="AC551" s="659"/>
      <c r="AD551" s="659"/>
      <c r="AE551" s="659"/>
      <c r="AF551" s="659"/>
      <c r="AG551" s="657"/>
    </row>
    <row r="552" spans="1:33" ht="10.5" customHeight="1" x14ac:dyDescent="0.2">
      <c r="A552" s="657"/>
      <c r="B552" s="657"/>
      <c r="C552" s="657"/>
      <c r="D552" s="657"/>
      <c r="E552" s="657"/>
      <c r="F552" s="657"/>
      <c r="G552" s="657"/>
      <c r="H552" s="657"/>
      <c r="I552" s="657"/>
      <c r="L552" s="657"/>
      <c r="AA552" s="659"/>
      <c r="AB552" s="659"/>
      <c r="AC552" s="659"/>
      <c r="AD552" s="659"/>
      <c r="AE552" s="659"/>
      <c r="AF552" s="659"/>
      <c r="AG552" s="657"/>
    </row>
    <row r="553" spans="1:33" ht="10.5" customHeight="1" x14ac:dyDescent="0.2">
      <c r="A553" s="657"/>
      <c r="B553" s="657"/>
      <c r="C553" s="657"/>
      <c r="D553" s="657"/>
      <c r="E553" s="657"/>
      <c r="F553" s="657"/>
      <c r="G553" s="657"/>
      <c r="H553" s="657"/>
      <c r="I553" s="657"/>
      <c r="L553" s="657"/>
      <c r="AA553" s="659"/>
      <c r="AB553" s="659"/>
      <c r="AC553" s="659"/>
      <c r="AD553" s="659"/>
      <c r="AE553" s="659"/>
      <c r="AF553" s="659"/>
      <c r="AG553" s="657"/>
    </row>
    <row r="554" spans="1:33" ht="10.5" customHeight="1" x14ac:dyDescent="0.2">
      <c r="A554" s="657"/>
      <c r="B554" s="657"/>
      <c r="C554" s="657"/>
      <c r="D554" s="657"/>
      <c r="E554" s="657"/>
      <c r="F554" s="657"/>
      <c r="G554" s="657"/>
      <c r="H554" s="657"/>
      <c r="I554" s="657"/>
      <c r="L554" s="657"/>
      <c r="AA554" s="659"/>
      <c r="AB554" s="659"/>
      <c r="AC554" s="659"/>
      <c r="AD554" s="659"/>
      <c r="AE554" s="659"/>
      <c r="AF554" s="659"/>
      <c r="AG554" s="657"/>
    </row>
    <row r="555" spans="1:33" ht="10.5" customHeight="1" x14ac:dyDescent="0.2">
      <c r="A555" s="657"/>
      <c r="B555" s="657"/>
      <c r="C555" s="657"/>
      <c r="D555" s="657"/>
      <c r="E555" s="657"/>
      <c r="F555" s="657"/>
      <c r="G555" s="657"/>
      <c r="H555" s="657"/>
      <c r="I555" s="657"/>
      <c r="L555" s="657"/>
      <c r="AA555" s="659"/>
      <c r="AB555" s="659"/>
      <c r="AC555" s="659"/>
      <c r="AD555" s="659"/>
      <c r="AE555" s="659"/>
      <c r="AF555" s="659"/>
      <c r="AG555" s="657"/>
    </row>
    <row r="556" spans="1:33" ht="10.5" customHeight="1" x14ac:dyDescent="0.2">
      <c r="A556" s="657"/>
      <c r="B556" s="657"/>
      <c r="C556" s="657"/>
      <c r="D556" s="657"/>
      <c r="E556" s="657"/>
      <c r="F556" s="657"/>
      <c r="G556" s="657"/>
      <c r="H556" s="657"/>
      <c r="I556" s="657"/>
      <c r="L556" s="657"/>
      <c r="AA556" s="659"/>
      <c r="AB556" s="659"/>
      <c r="AC556" s="659"/>
      <c r="AD556" s="659"/>
      <c r="AE556" s="659"/>
      <c r="AF556" s="659"/>
      <c r="AG556" s="657"/>
    </row>
    <row r="557" spans="1:33" ht="10.5" customHeight="1" x14ac:dyDescent="0.2">
      <c r="A557" s="657"/>
      <c r="B557" s="657"/>
      <c r="C557" s="657"/>
      <c r="D557" s="657"/>
      <c r="E557" s="657"/>
      <c r="F557" s="657"/>
      <c r="G557" s="657"/>
      <c r="H557" s="657"/>
      <c r="I557" s="657"/>
      <c r="L557" s="657"/>
      <c r="AA557" s="659"/>
      <c r="AB557" s="659"/>
      <c r="AC557" s="659"/>
      <c r="AD557" s="659"/>
      <c r="AE557" s="659"/>
      <c r="AF557" s="659"/>
      <c r="AG557" s="657"/>
    </row>
    <row r="558" spans="1:33" ht="10.5" customHeight="1" x14ac:dyDescent="0.2">
      <c r="A558" s="657"/>
      <c r="B558" s="657"/>
      <c r="C558" s="657"/>
      <c r="D558" s="657"/>
      <c r="E558" s="657"/>
      <c r="F558" s="657"/>
      <c r="G558" s="657"/>
      <c r="H558" s="657"/>
      <c r="I558" s="657"/>
      <c r="L558" s="657"/>
      <c r="AA558" s="659"/>
      <c r="AB558" s="659"/>
      <c r="AC558" s="659"/>
      <c r="AD558" s="659"/>
      <c r="AE558" s="659"/>
      <c r="AF558" s="659"/>
      <c r="AG558" s="657"/>
    </row>
    <row r="559" spans="1:33" ht="10.5" customHeight="1" x14ac:dyDescent="0.2">
      <c r="A559" s="657"/>
      <c r="B559" s="657"/>
      <c r="C559" s="657"/>
      <c r="D559" s="657"/>
      <c r="E559" s="657"/>
      <c r="F559" s="657"/>
      <c r="G559" s="657"/>
      <c r="H559" s="657"/>
      <c r="I559" s="657"/>
      <c r="L559" s="657"/>
      <c r="AA559" s="659"/>
      <c r="AB559" s="659"/>
      <c r="AC559" s="659"/>
      <c r="AD559" s="659"/>
      <c r="AE559" s="659"/>
      <c r="AF559" s="659"/>
      <c r="AG559" s="657"/>
    </row>
    <row r="560" spans="1:33" ht="10.5" customHeight="1" x14ac:dyDescent="0.2">
      <c r="A560" s="657"/>
      <c r="B560" s="657"/>
      <c r="C560" s="657"/>
      <c r="D560" s="657"/>
      <c r="E560" s="657"/>
      <c r="F560" s="657"/>
      <c r="G560" s="657"/>
      <c r="H560" s="657"/>
      <c r="I560" s="657"/>
      <c r="L560" s="657"/>
      <c r="AA560" s="659"/>
      <c r="AB560" s="659"/>
      <c r="AC560" s="659"/>
      <c r="AD560" s="659"/>
      <c r="AE560" s="659"/>
      <c r="AF560" s="659"/>
      <c r="AG560" s="657"/>
    </row>
    <row r="561" spans="1:33" ht="10.5" customHeight="1" x14ac:dyDescent="0.2">
      <c r="A561" s="657"/>
      <c r="B561" s="657"/>
      <c r="C561" s="657"/>
      <c r="D561" s="657"/>
      <c r="E561" s="657"/>
      <c r="F561" s="657"/>
      <c r="G561" s="657"/>
      <c r="H561" s="657"/>
      <c r="I561" s="657"/>
      <c r="L561" s="657"/>
      <c r="AA561" s="659"/>
      <c r="AB561" s="659"/>
      <c r="AC561" s="659"/>
      <c r="AD561" s="659"/>
      <c r="AE561" s="659"/>
      <c r="AF561" s="659"/>
      <c r="AG561" s="657"/>
    </row>
    <row r="562" spans="1:33" ht="10.5" customHeight="1" x14ac:dyDescent="0.2">
      <c r="A562" s="657"/>
      <c r="B562" s="657"/>
      <c r="C562" s="657"/>
      <c r="D562" s="657"/>
      <c r="E562" s="657"/>
      <c r="F562" s="657"/>
      <c r="G562" s="657"/>
      <c r="H562" s="657"/>
      <c r="I562" s="657"/>
      <c r="L562" s="657"/>
      <c r="AA562" s="659"/>
      <c r="AB562" s="659"/>
      <c r="AC562" s="659"/>
      <c r="AD562" s="659"/>
      <c r="AE562" s="659"/>
      <c r="AF562" s="659"/>
      <c r="AG562" s="657"/>
    </row>
    <row r="563" spans="1:33" ht="10.5" customHeight="1" x14ac:dyDescent="0.2">
      <c r="A563" s="657"/>
      <c r="B563" s="657"/>
      <c r="C563" s="657"/>
      <c r="D563" s="657"/>
      <c r="E563" s="657"/>
      <c r="F563" s="657"/>
      <c r="G563" s="657"/>
      <c r="H563" s="657"/>
      <c r="I563" s="657"/>
      <c r="L563" s="657"/>
      <c r="AA563" s="659"/>
      <c r="AB563" s="659"/>
      <c r="AC563" s="659"/>
      <c r="AD563" s="659"/>
      <c r="AE563" s="659"/>
      <c r="AF563" s="659"/>
      <c r="AG563" s="657"/>
    </row>
    <row r="564" spans="1:33" ht="10.5" customHeight="1" x14ac:dyDescent="0.2">
      <c r="A564" s="657"/>
      <c r="B564" s="657"/>
      <c r="C564" s="657"/>
      <c r="D564" s="657"/>
      <c r="E564" s="657"/>
      <c r="F564" s="657"/>
      <c r="G564" s="657"/>
      <c r="H564" s="657"/>
      <c r="I564" s="657"/>
      <c r="L564" s="657"/>
      <c r="AA564" s="659"/>
      <c r="AB564" s="659"/>
      <c r="AC564" s="659"/>
      <c r="AD564" s="659"/>
      <c r="AE564" s="659"/>
      <c r="AF564" s="659"/>
      <c r="AG564" s="657"/>
    </row>
    <row r="565" spans="1:33" ht="10.5" customHeight="1" x14ac:dyDescent="0.2">
      <c r="A565" s="657"/>
      <c r="B565" s="657"/>
      <c r="C565" s="657"/>
      <c r="D565" s="657"/>
      <c r="E565" s="657"/>
      <c r="F565" s="657"/>
      <c r="G565" s="657"/>
      <c r="H565" s="657"/>
      <c r="I565" s="657"/>
      <c r="L565" s="657"/>
      <c r="AA565" s="659"/>
      <c r="AB565" s="659"/>
      <c r="AC565" s="659"/>
      <c r="AD565" s="659"/>
      <c r="AE565" s="659"/>
      <c r="AF565" s="659"/>
      <c r="AG565" s="657"/>
    </row>
    <row r="566" spans="1:33" ht="10.5" customHeight="1" x14ac:dyDescent="0.2">
      <c r="A566" s="657"/>
      <c r="B566" s="657"/>
      <c r="C566" s="657"/>
      <c r="D566" s="657"/>
      <c r="E566" s="657"/>
      <c r="F566" s="657"/>
      <c r="G566" s="657"/>
      <c r="H566" s="657"/>
      <c r="I566" s="657"/>
      <c r="L566" s="657"/>
      <c r="AA566" s="659"/>
      <c r="AB566" s="659"/>
      <c r="AC566" s="659"/>
      <c r="AD566" s="659"/>
      <c r="AE566" s="659"/>
      <c r="AF566" s="659"/>
      <c r="AG566" s="657"/>
    </row>
    <row r="567" spans="1:33" ht="10.5" customHeight="1" x14ac:dyDescent="0.2">
      <c r="A567" s="657"/>
      <c r="B567" s="657"/>
      <c r="C567" s="657"/>
      <c r="D567" s="657"/>
      <c r="E567" s="657"/>
      <c r="F567" s="657"/>
      <c r="G567" s="657"/>
      <c r="H567" s="657"/>
      <c r="I567" s="657"/>
      <c r="L567" s="657"/>
      <c r="AA567" s="659"/>
      <c r="AB567" s="659"/>
      <c r="AC567" s="659"/>
      <c r="AD567" s="659"/>
      <c r="AE567" s="659"/>
      <c r="AF567" s="659"/>
      <c r="AG567" s="657"/>
    </row>
    <row r="568" spans="1:33" ht="10.5" customHeight="1" x14ac:dyDescent="0.2">
      <c r="A568" s="657"/>
      <c r="B568" s="657"/>
      <c r="C568" s="657"/>
      <c r="D568" s="657"/>
      <c r="E568" s="657"/>
      <c r="F568" s="657"/>
      <c r="G568" s="657"/>
      <c r="H568" s="657"/>
      <c r="I568" s="657"/>
      <c r="L568" s="657"/>
      <c r="AA568" s="659"/>
      <c r="AB568" s="659"/>
      <c r="AC568" s="659"/>
      <c r="AD568" s="659"/>
      <c r="AE568" s="659"/>
      <c r="AF568" s="659"/>
      <c r="AG568" s="657"/>
    </row>
    <row r="569" spans="1:33" ht="10.5" customHeight="1" x14ac:dyDescent="0.2">
      <c r="A569" s="657"/>
      <c r="B569" s="657"/>
      <c r="C569" s="657"/>
      <c r="D569" s="657"/>
      <c r="E569" s="657"/>
      <c r="F569" s="657"/>
      <c r="G569" s="657"/>
      <c r="H569" s="657"/>
      <c r="I569" s="657"/>
      <c r="L569" s="657"/>
      <c r="AA569" s="659"/>
      <c r="AB569" s="659"/>
      <c r="AC569" s="659"/>
      <c r="AD569" s="659"/>
      <c r="AE569" s="659"/>
      <c r="AF569" s="659"/>
      <c r="AG569" s="657"/>
    </row>
    <row r="570" spans="1:33" ht="10.5" customHeight="1" x14ac:dyDescent="0.2">
      <c r="A570" s="657"/>
      <c r="B570" s="657"/>
      <c r="C570" s="657"/>
      <c r="D570" s="657"/>
      <c r="E570" s="657"/>
      <c r="F570" s="657"/>
      <c r="G570" s="657"/>
      <c r="H570" s="657"/>
      <c r="I570" s="657"/>
      <c r="L570" s="657"/>
      <c r="AA570" s="659"/>
      <c r="AB570" s="659"/>
      <c r="AC570" s="659"/>
      <c r="AD570" s="659"/>
      <c r="AE570" s="659"/>
      <c r="AF570" s="659"/>
      <c r="AG570" s="657"/>
    </row>
    <row r="571" spans="1:33" ht="10.5" customHeight="1" x14ac:dyDescent="0.2">
      <c r="A571" s="657"/>
      <c r="B571" s="657"/>
      <c r="C571" s="657"/>
      <c r="D571" s="657"/>
      <c r="E571" s="657"/>
      <c r="F571" s="657"/>
      <c r="G571" s="657"/>
      <c r="H571" s="657"/>
      <c r="I571" s="657"/>
      <c r="L571" s="657"/>
      <c r="AA571" s="659"/>
      <c r="AB571" s="659"/>
      <c r="AC571" s="659"/>
      <c r="AD571" s="659"/>
      <c r="AE571" s="659"/>
      <c r="AF571" s="659"/>
      <c r="AG571" s="657"/>
    </row>
    <row r="572" spans="1:33" ht="10.5" customHeight="1" x14ac:dyDescent="0.2">
      <c r="A572" s="657"/>
      <c r="B572" s="657"/>
      <c r="C572" s="657"/>
      <c r="D572" s="657"/>
      <c r="E572" s="657"/>
      <c r="F572" s="657"/>
      <c r="G572" s="657"/>
      <c r="H572" s="657"/>
      <c r="I572" s="657"/>
      <c r="L572" s="657"/>
      <c r="AA572" s="659"/>
      <c r="AB572" s="659"/>
      <c r="AC572" s="659"/>
      <c r="AD572" s="659"/>
      <c r="AE572" s="659"/>
      <c r="AF572" s="659"/>
      <c r="AG572" s="657"/>
    </row>
    <row r="573" spans="1:33" ht="10.5" customHeight="1" x14ac:dyDescent="0.2">
      <c r="A573" s="657"/>
      <c r="B573" s="657"/>
      <c r="C573" s="657"/>
      <c r="D573" s="657"/>
      <c r="E573" s="657"/>
      <c r="F573" s="657"/>
      <c r="G573" s="657"/>
      <c r="H573" s="657"/>
      <c r="I573" s="657"/>
      <c r="L573" s="657"/>
      <c r="AA573" s="659"/>
      <c r="AB573" s="659"/>
      <c r="AC573" s="659"/>
      <c r="AD573" s="659"/>
      <c r="AE573" s="659"/>
      <c r="AF573" s="659"/>
      <c r="AG573" s="657"/>
    </row>
    <row r="574" spans="1:33" ht="10.5" customHeight="1" x14ac:dyDescent="0.2">
      <c r="A574" s="657"/>
      <c r="B574" s="657"/>
      <c r="C574" s="657"/>
      <c r="D574" s="657"/>
      <c r="E574" s="657"/>
      <c r="F574" s="657"/>
      <c r="G574" s="657"/>
      <c r="H574" s="657"/>
      <c r="I574" s="657"/>
      <c r="L574" s="657"/>
      <c r="AA574" s="659"/>
      <c r="AB574" s="659"/>
      <c r="AC574" s="659"/>
      <c r="AD574" s="659"/>
      <c r="AE574" s="659"/>
      <c r="AF574" s="659"/>
      <c r="AG574" s="657"/>
    </row>
    <row r="575" spans="1:33" ht="10.5" customHeight="1" x14ac:dyDescent="0.2">
      <c r="A575" s="657"/>
      <c r="B575" s="657"/>
      <c r="C575" s="657"/>
      <c r="D575" s="657"/>
      <c r="E575" s="657"/>
      <c r="F575" s="657"/>
      <c r="G575" s="657"/>
      <c r="H575" s="657"/>
      <c r="I575" s="657"/>
      <c r="L575" s="657"/>
      <c r="AA575" s="659"/>
      <c r="AB575" s="659"/>
      <c r="AC575" s="659"/>
      <c r="AD575" s="659"/>
      <c r="AE575" s="659"/>
      <c r="AF575" s="659"/>
      <c r="AG575" s="657"/>
    </row>
    <row r="576" spans="1:33" ht="10.5" customHeight="1" x14ac:dyDescent="0.2">
      <c r="A576" s="657"/>
      <c r="B576" s="657"/>
      <c r="C576" s="657"/>
      <c r="D576" s="657"/>
      <c r="E576" s="657"/>
      <c r="F576" s="657"/>
      <c r="G576" s="657"/>
      <c r="H576" s="657"/>
      <c r="I576" s="657"/>
      <c r="L576" s="657"/>
      <c r="AA576" s="659"/>
      <c r="AB576" s="659"/>
      <c r="AC576" s="659"/>
      <c r="AD576" s="659"/>
      <c r="AE576" s="659"/>
      <c r="AF576" s="659"/>
      <c r="AG576" s="657"/>
    </row>
    <row r="577" spans="1:33" ht="10.5" customHeight="1" x14ac:dyDescent="0.2">
      <c r="A577" s="657"/>
      <c r="B577" s="657"/>
      <c r="C577" s="657"/>
      <c r="D577" s="657"/>
      <c r="E577" s="657"/>
      <c r="F577" s="657"/>
      <c r="G577" s="657"/>
      <c r="H577" s="657"/>
      <c r="I577" s="657"/>
      <c r="L577" s="657"/>
      <c r="AA577" s="659"/>
      <c r="AB577" s="659"/>
      <c r="AC577" s="659"/>
      <c r="AD577" s="659"/>
      <c r="AE577" s="659"/>
      <c r="AF577" s="659"/>
      <c r="AG577" s="657"/>
    </row>
    <row r="578" spans="1:33" ht="10.5" customHeight="1" x14ac:dyDescent="0.2">
      <c r="A578" s="657"/>
      <c r="B578" s="657"/>
      <c r="C578" s="657"/>
      <c r="D578" s="657"/>
      <c r="E578" s="657"/>
      <c r="F578" s="657"/>
      <c r="G578" s="657"/>
      <c r="H578" s="657"/>
      <c r="I578" s="657"/>
      <c r="L578" s="657"/>
      <c r="AA578" s="659"/>
      <c r="AB578" s="659"/>
      <c r="AC578" s="659"/>
      <c r="AD578" s="659"/>
      <c r="AE578" s="659"/>
      <c r="AF578" s="659"/>
      <c r="AG578" s="657"/>
    </row>
    <row r="579" spans="1:33" ht="10.5" customHeight="1" x14ac:dyDescent="0.2">
      <c r="A579" s="657"/>
      <c r="B579" s="657"/>
      <c r="C579" s="657"/>
      <c r="D579" s="657"/>
      <c r="E579" s="657"/>
      <c r="F579" s="657"/>
      <c r="G579" s="657"/>
      <c r="H579" s="657"/>
      <c r="I579" s="657"/>
      <c r="L579" s="657"/>
      <c r="AA579" s="659"/>
      <c r="AB579" s="659"/>
      <c r="AC579" s="659"/>
      <c r="AD579" s="659"/>
      <c r="AE579" s="659"/>
      <c r="AF579" s="659"/>
      <c r="AG579" s="657"/>
    </row>
    <row r="580" spans="1:33" ht="10.5" customHeight="1" x14ac:dyDescent="0.2">
      <c r="A580" s="657"/>
      <c r="B580" s="657"/>
      <c r="C580" s="657"/>
      <c r="D580" s="657"/>
      <c r="E580" s="657"/>
      <c r="F580" s="657"/>
      <c r="G580" s="657"/>
      <c r="H580" s="657"/>
      <c r="I580" s="657"/>
      <c r="L580" s="657"/>
      <c r="AA580" s="659"/>
      <c r="AB580" s="659"/>
      <c r="AC580" s="659"/>
      <c r="AD580" s="659"/>
      <c r="AE580" s="659"/>
      <c r="AF580" s="659"/>
      <c r="AG580" s="657"/>
    </row>
    <row r="581" spans="1:33" ht="10.5" customHeight="1" x14ac:dyDescent="0.2">
      <c r="A581" s="657"/>
      <c r="B581" s="657"/>
      <c r="C581" s="657"/>
      <c r="D581" s="657"/>
      <c r="E581" s="657"/>
      <c r="F581" s="657"/>
      <c r="G581" s="657"/>
      <c r="H581" s="657"/>
      <c r="I581" s="657"/>
      <c r="L581" s="657"/>
      <c r="AA581" s="659"/>
      <c r="AB581" s="659"/>
      <c r="AC581" s="659"/>
      <c r="AD581" s="659"/>
      <c r="AE581" s="659"/>
      <c r="AF581" s="659"/>
      <c r="AG581" s="657"/>
    </row>
    <row r="582" spans="1:33" ht="10.5" customHeight="1" x14ac:dyDescent="0.2">
      <c r="A582" s="657"/>
      <c r="B582" s="657"/>
      <c r="C582" s="657"/>
      <c r="D582" s="657"/>
      <c r="E582" s="657"/>
      <c r="F582" s="657"/>
      <c r="G582" s="657"/>
      <c r="H582" s="657"/>
      <c r="I582" s="657"/>
      <c r="L582" s="657"/>
      <c r="AA582" s="659"/>
      <c r="AB582" s="659"/>
      <c r="AC582" s="659"/>
      <c r="AD582" s="659"/>
      <c r="AE582" s="659"/>
      <c r="AF582" s="659"/>
      <c r="AG582" s="657"/>
    </row>
    <row r="583" spans="1:33" ht="10.5" customHeight="1" x14ac:dyDescent="0.2">
      <c r="A583" s="657"/>
      <c r="B583" s="657"/>
      <c r="C583" s="657"/>
      <c r="D583" s="657"/>
      <c r="E583" s="657"/>
      <c r="F583" s="657"/>
      <c r="G583" s="657"/>
      <c r="H583" s="657"/>
      <c r="I583" s="657"/>
      <c r="L583" s="657"/>
      <c r="AA583" s="659"/>
      <c r="AB583" s="659"/>
      <c r="AC583" s="659"/>
      <c r="AD583" s="659"/>
      <c r="AE583" s="659"/>
      <c r="AF583" s="659"/>
      <c r="AG583" s="657"/>
    </row>
    <row r="584" spans="1:33" ht="10.5" customHeight="1" x14ac:dyDescent="0.2">
      <c r="A584" s="657"/>
      <c r="B584" s="657"/>
      <c r="C584" s="657"/>
      <c r="D584" s="657"/>
      <c r="E584" s="657"/>
      <c r="F584" s="657"/>
      <c r="G584" s="657"/>
      <c r="H584" s="657"/>
      <c r="I584" s="657"/>
      <c r="L584" s="657"/>
      <c r="AA584" s="659"/>
      <c r="AB584" s="659"/>
      <c r="AC584" s="659"/>
      <c r="AD584" s="659"/>
      <c r="AE584" s="659"/>
      <c r="AF584" s="659"/>
      <c r="AG584" s="657"/>
    </row>
    <row r="585" spans="1:33" ht="10.5" customHeight="1" x14ac:dyDescent="0.2">
      <c r="A585" s="657"/>
      <c r="B585" s="657"/>
      <c r="C585" s="657"/>
      <c r="D585" s="657"/>
      <c r="E585" s="657"/>
      <c r="F585" s="657"/>
      <c r="G585" s="657"/>
      <c r="H585" s="657"/>
      <c r="I585" s="657"/>
      <c r="L585" s="657"/>
      <c r="AA585" s="659"/>
      <c r="AB585" s="659"/>
      <c r="AC585" s="659"/>
      <c r="AD585" s="659"/>
      <c r="AE585" s="659"/>
      <c r="AF585" s="659"/>
      <c r="AG585" s="657"/>
    </row>
    <row r="586" spans="1:33" ht="10.5" customHeight="1" x14ac:dyDescent="0.2">
      <c r="A586" s="657"/>
      <c r="B586" s="657"/>
      <c r="C586" s="657"/>
      <c r="D586" s="657"/>
      <c r="E586" s="657"/>
      <c r="F586" s="657"/>
      <c r="G586" s="657"/>
      <c r="H586" s="657"/>
      <c r="I586" s="657"/>
      <c r="L586" s="657"/>
      <c r="AA586" s="659"/>
      <c r="AB586" s="659"/>
      <c r="AC586" s="659"/>
      <c r="AD586" s="659"/>
      <c r="AE586" s="659"/>
      <c r="AF586" s="659"/>
      <c r="AG586" s="657"/>
    </row>
    <row r="587" spans="1:33" ht="10.5" customHeight="1" x14ac:dyDescent="0.2">
      <c r="A587" s="657"/>
      <c r="B587" s="657"/>
      <c r="C587" s="657"/>
      <c r="D587" s="657"/>
      <c r="E587" s="657"/>
      <c r="F587" s="657"/>
      <c r="G587" s="657"/>
      <c r="H587" s="657"/>
      <c r="I587" s="657"/>
      <c r="L587" s="657"/>
      <c r="AA587" s="659"/>
      <c r="AB587" s="659"/>
      <c r="AC587" s="659"/>
      <c r="AD587" s="659"/>
      <c r="AE587" s="659"/>
      <c r="AF587" s="659"/>
      <c r="AG587" s="657"/>
    </row>
    <row r="588" spans="1:33" ht="10.5" customHeight="1" x14ac:dyDescent="0.2">
      <c r="A588" s="657"/>
      <c r="B588" s="657"/>
      <c r="C588" s="657"/>
      <c r="D588" s="657"/>
      <c r="E588" s="657"/>
      <c r="F588" s="657"/>
      <c r="G588" s="657"/>
      <c r="H588" s="657"/>
      <c r="I588" s="657"/>
      <c r="L588" s="657"/>
      <c r="AA588" s="659"/>
      <c r="AB588" s="659"/>
      <c r="AC588" s="659"/>
      <c r="AD588" s="659"/>
      <c r="AE588" s="659"/>
      <c r="AF588" s="659"/>
      <c r="AG588" s="657"/>
    </row>
    <row r="589" spans="1:33" ht="10.5" customHeight="1" x14ac:dyDescent="0.2">
      <c r="A589" s="657"/>
      <c r="B589" s="657"/>
      <c r="C589" s="657"/>
      <c r="D589" s="657"/>
      <c r="E589" s="657"/>
      <c r="F589" s="657"/>
      <c r="G589" s="657"/>
      <c r="H589" s="657"/>
      <c r="I589" s="657"/>
      <c r="L589" s="657"/>
      <c r="AA589" s="659"/>
      <c r="AB589" s="659"/>
      <c r="AC589" s="659"/>
      <c r="AD589" s="659"/>
      <c r="AE589" s="659"/>
      <c r="AF589" s="659"/>
      <c r="AG589" s="657"/>
    </row>
    <row r="590" spans="1:33" ht="10.5" customHeight="1" x14ac:dyDescent="0.2">
      <c r="A590" s="657"/>
      <c r="B590" s="657"/>
      <c r="C590" s="657"/>
      <c r="D590" s="657"/>
      <c r="E590" s="657"/>
      <c r="F590" s="657"/>
      <c r="G590" s="657"/>
      <c r="H590" s="657"/>
      <c r="I590" s="657"/>
      <c r="L590" s="657"/>
      <c r="AA590" s="659"/>
      <c r="AB590" s="659"/>
      <c r="AC590" s="659"/>
      <c r="AD590" s="659"/>
      <c r="AE590" s="659"/>
      <c r="AF590" s="659"/>
      <c r="AG590" s="657"/>
    </row>
    <row r="591" spans="1:33" ht="10.5" customHeight="1" x14ac:dyDescent="0.2">
      <c r="A591" s="657"/>
      <c r="B591" s="657"/>
      <c r="C591" s="657"/>
      <c r="D591" s="657"/>
      <c r="E591" s="657"/>
      <c r="F591" s="657"/>
      <c r="G591" s="657"/>
      <c r="H591" s="657"/>
      <c r="I591" s="657"/>
      <c r="L591" s="657"/>
      <c r="AA591" s="659"/>
      <c r="AB591" s="659"/>
      <c r="AC591" s="659"/>
      <c r="AD591" s="659"/>
      <c r="AE591" s="659"/>
      <c r="AF591" s="659"/>
      <c r="AG591" s="657"/>
    </row>
    <row r="592" spans="1:33" ht="10.5" customHeight="1" x14ac:dyDescent="0.2">
      <c r="A592" s="657"/>
      <c r="B592" s="657"/>
      <c r="C592" s="657"/>
      <c r="D592" s="657"/>
      <c r="E592" s="657"/>
      <c r="F592" s="657"/>
      <c r="G592" s="657"/>
      <c r="H592" s="657"/>
      <c r="I592" s="657"/>
      <c r="L592" s="657"/>
      <c r="AA592" s="659"/>
      <c r="AB592" s="659"/>
      <c r="AC592" s="659"/>
      <c r="AD592" s="659"/>
      <c r="AE592" s="659"/>
      <c r="AF592" s="659"/>
      <c r="AG592" s="657"/>
    </row>
    <row r="593" spans="1:33" ht="10.5" customHeight="1" x14ac:dyDescent="0.2">
      <c r="A593" s="657"/>
      <c r="B593" s="657"/>
      <c r="C593" s="657"/>
      <c r="D593" s="657"/>
      <c r="E593" s="657"/>
      <c r="F593" s="657"/>
      <c r="G593" s="657"/>
      <c r="H593" s="657"/>
      <c r="I593" s="657"/>
      <c r="L593" s="657"/>
      <c r="AA593" s="659"/>
      <c r="AB593" s="659"/>
      <c r="AC593" s="659"/>
      <c r="AD593" s="659"/>
      <c r="AE593" s="659"/>
      <c r="AF593" s="659"/>
      <c r="AG593" s="657"/>
    </row>
    <row r="594" spans="1:33" ht="10.5" customHeight="1" x14ac:dyDescent="0.2">
      <c r="A594" s="657"/>
      <c r="B594" s="657"/>
      <c r="C594" s="657"/>
      <c r="D594" s="657"/>
      <c r="E594" s="657"/>
      <c r="F594" s="657"/>
      <c r="G594" s="657"/>
      <c r="H594" s="657"/>
      <c r="I594" s="657"/>
      <c r="L594" s="657"/>
      <c r="AA594" s="659"/>
      <c r="AB594" s="659"/>
      <c r="AC594" s="659"/>
      <c r="AD594" s="659"/>
      <c r="AE594" s="659"/>
      <c r="AF594" s="659"/>
      <c r="AG594" s="657"/>
    </row>
    <row r="595" spans="1:33" ht="10.5" customHeight="1" x14ac:dyDescent="0.2">
      <c r="A595" s="657"/>
      <c r="B595" s="657"/>
      <c r="C595" s="657"/>
      <c r="D595" s="657"/>
      <c r="E595" s="657"/>
      <c r="F595" s="657"/>
      <c r="G595" s="657"/>
      <c r="H595" s="657"/>
      <c r="I595" s="657"/>
      <c r="L595" s="657"/>
      <c r="AA595" s="659"/>
      <c r="AB595" s="659"/>
      <c r="AC595" s="659"/>
      <c r="AD595" s="659"/>
      <c r="AE595" s="659"/>
      <c r="AF595" s="659"/>
      <c r="AG595" s="657"/>
    </row>
    <row r="596" spans="1:33" ht="10.5" customHeight="1" x14ac:dyDescent="0.2">
      <c r="A596" s="657"/>
      <c r="B596" s="657"/>
      <c r="C596" s="657"/>
      <c r="D596" s="657"/>
      <c r="E596" s="657"/>
      <c r="F596" s="657"/>
      <c r="G596" s="657"/>
      <c r="H596" s="657"/>
      <c r="I596" s="657"/>
      <c r="L596" s="657"/>
      <c r="AA596" s="659"/>
      <c r="AB596" s="659"/>
      <c r="AC596" s="659"/>
      <c r="AD596" s="659"/>
      <c r="AE596" s="659"/>
      <c r="AF596" s="659"/>
      <c r="AG596" s="657"/>
    </row>
    <row r="597" spans="1:33" ht="10.5" customHeight="1" x14ac:dyDescent="0.2">
      <c r="A597" s="657"/>
      <c r="B597" s="657"/>
      <c r="C597" s="657"/>
      <c r="D597" s="657"/>
      <c r="E597" s="657"/>
      <c r="F597" s="657"/>
      <c r="G597" s="657"/>
      <c r="H597" s="657"/>
      <c r="I597" s="657"/>
      <c r="L597" s="657"/>
      <c r="AA597" s="659"/>
      <c r="AB597" s="659"/>
      <c r="AC597" s="659"/>
      <c r="AD597" s="659"/>
      <c r="AE597" s="659"/>
      <c r="AF597" s="659"/>
      <c r="AG597" s="657"/>
    </row>
    <row r="598" spans="1:33" ht="10.5" customHeight="1" x14ac:dyDescent="0.2">
      <c r="A598" s="657"/>
      <c r="B598" s="657"/>
      <c r="C598" s="657"/>
      <c r="D598" s="657"/>
      <c r="E598" s="657"/>
      <c r="F598" s="657"/>
      <c r="G598" s="657"/>
      <c r="H598" s="657"/>
      <c r="I598" s="657"/>
      <c r="L598" s="657"/>
      <c r="AA598" s="659"/>
      <c r="AB598" s="659"/>
      <c r="AC598" s="659"/>
      <c r="AD598" s="659"/>
      <c r="AE598" s="659"/>
      <c r="AF598" s="659"/>
      <c r="AG598" s="657"/>
    </row>
    <row r="599" spans="1:33" ht="10.5" customHeight="1" x14ac:dyDescent="0.2">
      <c r="A599" s="657"/>
      <c r="B599" s="657"/>
      <c r="C599" s="657"/>
      <c r="D599" s="657"/>
      <c r="E599" s="657"/>
      <c r="F599" s="657"/>
      <c r="G599" s="657"/>
      <c r="H599" s="657"/>
      <c r="I599" s="657"/>
      <c r="L599" s="657"/>
      <c r="AA599" s="659"/>
      <c r="AB599" s="659"/>
      <c r="AC599" s="659"/>
      <c r="AD599" s="659"/>
      <c r="AE599" s="659"/>
      <c r="AF599" s="659"/>
      <c r="AG599" s="657"/>
    </row>
    <row r="600" spans="1:33" ht="10.5" customHeight="1" x14ac:dyDescent="0.2">
      <c r="A600" s="657"/>
      <c r="B600" s="657"/>
      <c r="C600" s="657"/>
      <c r="D600" s="657"/>
      <c r="E600" s="657"/>
      <c r="F600" s="657"/>
      <c r="G600" s="657"/>
      <c r="H600" s="657"/>
      <c r="I600" s="657"/>
      <c r="L600" s="657"/>
      <c r="AA600" s="659"/>
      <c r="AB600" s="659"/>
      <c r="AC600" s="659"/>
      <c r="AD600" s="659"/>
      <c r="AE600" s="659"/>
      <c r="AF600" s="659"/>
      <c r="AG600" s="657"/>
    </row>
    <row r="601" spans="1:33" ht="10.5" customHeight="1" x14ac:dyDescent="0.2">
      <c r="A601" s="657"/>
      <c r="B601" s="657"/>
      <c r="C601" s="657"/>
      <c r="D601" s="657"/>
      <c r="E601" s="657"/>
      <c r="F601" s="657"/>
      <c r="G601" s="657"/>
      <c r="H601" s="657"/>
      <c r="I601" s="657"/>
      <c r="L601" s="657"/>
      <c r="AA601" s="659"/>
      <c r="AB601" s="659"/>
      <c r="AC601" s="659"/>
      <c r="AD601" s="659"/>
      <c r="AE601" s="659"/>
      <c r="AF601" s="659"/>
      <c r="AG601" s="657"/>
    </row>
    <row r="602" spans="1:33" ht="10.5" customHeight="1" x14ac:dyDescent="0.2">
      <c r="A602" s="657"/>
      <c r="B602" s="657"/>
      <c r="C602" s="657"/>
      <c r="D602" s="657"/>
      <c r="E602" s="657"/>
      <c r="F602" s="657"/>
      <c r="G602" s="657"/>
      <c r="H602" s="657"/>
      <c r="I602" s="657"/>
      <c r="L602" s="657"/>
      <c r="AA602" s="659"/>
      <c r="AB602" s="659"/>
      <c r="AC602" s="659"/>
      <c r="AD602" s="659"/>
      <c r="AE602" s="659"/>
      <c r="AF602" s="659"/>
      <c r="AG602" s="657"/>
    </row>
    <row r="603" spans="1:33" ht="10.5" customHeight="1" x14ac:dyDescent="0.2">
      <c r="A603" s="657"/>
      <c r="B603" s="657"/>
      <c r="C603" s="657"/>
      <c r="D603" s="657"/>
      <c r="E603" s="657"/>
      <c r="F603" s="657"/>
      <c r="G603" s="657"/>
      <c r="H603" s="657"/>
      <c r="I603" s="657"/>
      <c r="L603" s="657"/>
      <c r="AA603" s="659"/>
      <c r="AB603" s="659"/>
      <c r="AC603" s="659"/>
      <c r="AD603" s="659"/>
      <c r="AE603" s="659"/>
      <c r="AF603" s="659"/>
      <c r="AG603" s="657"/>
    </row>
    <row r="604" spans="1:33" ht="10.5" customHeight="1" x14ac:dyDescent="0.2">
      <c r="A604" s="657"/>
      <c r="B604" s="657"/>
      <c r="C604" s="657"/>
      <c r="D604" s="657"/>
      <c r="E604" s="657"/>
      <c r="F604" s="657"/>
      <c r="G604" s="657"/>
      <c r="H604" s="657"/>
      <c r="I604" s="657"/>
      <c r="L604" s="657"/>
      <c r="AA604" s="659"/>
      <c r="AB604" s="659"/>
      <c r="AC604" s="659"/>
      <c r="AD604" s="659"/>
      <c r="AE604" s="659"/>
      <c r="AF604" s="659"/>
      <c r="AG604" s="657"/>
    </row>
    <row r="605" spans="1:33" ht="10.5" customHeight="1" x14ac:dyDescent="0.2">
      <c r="A605" s="657"/>
      <c r="B605" s="657"/>
      <c r="C605" s="657"/>
      <c r="D605" s="657"/>
      <c r="E605" s="657"/>
      <c r="F605" s="657"/>
      <c r="G605" s="657"/>
      <c r="H605" s="657"/>
      <c r="I605" s="657"/>
      <c r="L605" s="657"/>
      <c r="AA605" s="659"/>
      <c r="AB605" s="659"/>
      <c r="AC605" s="659"/>
      <c r="AD605" s="659"/>
      <c r="AE605" s="659"/>
      <c r="AF605" s="659"/>
      <c r="AG605" s="657"/>
    </row>
    <row r="606" spans="1:33" ht="10.5" customHeight="1" x14ac:dyDescent="0.2">
      <c r="A606" s="657"/>
      <c r="B606" s="657"/>
      <c r="C606" s="657"/>
      <c r="D606" s="657"/>
      <c r="E606" s="657"/>
      <c r="F606" s="657"/>
      <c r="G606" s="657"/>
      <c r="H606" s="657"/>
      <c r="I606" s="657"/>
      <c r="L606" s="657"/>
      <c r="AA606" s="659"/>
      <c r="AB606" s="659"/>
      <c r="AC606" s="659"/>
      <c r="AD606" s="659"/>
      <c r="AE606" s="659"/>
      <c r="AF606" s="659"/>
      <c r="AG606" s="657"/>
    </row>
    <row r="607" spans="1:33" ht="10.5" customHeight="1" x14ac:dyDescent="0.2">
      <c r="A607" s="657"/>
      <c r="B607" s="657"/>
      <c r="C607" s="657"/>
      <c r="D607" s="657"/>
      <c r="E607" s="657"/>
      <c r="F607" s="657"/>
      <c r="G607" s="657"/>
      <c r="H607" s="657"/>
      <c r="I607" s="657"/>
      <c r="L607" s="657"/>
      <c r="AA607" s="659"/>
      <c r="AB607" s="659"/>
      <c r="AC607" s="659"/>
      <c r="AD607" s="659"/>
      <c r="AE607" s="659"/>
      <c r="AF607" s="659"/>
      <c r="AG607" s="657"/>
    </row>
    <row r="608" spans="1:33" ht="10.5" customHeight="1" x14ac:dyDescent="0.2">
      <c r="A608" s="657"/>
      <c r="B608" s="657"/>
      <c r="C608" s="657"/>
      <c r="D608" s="657"/>
      <c r="E608" s="657"/>
      <c r="F608" s="657"/>
      <c r="G608" s="657"/>
      <c r="H608" s="657"/>
      <c r="I608" s="657"/>
      <c r="L608" s="657"/>
      <c r="AA608" s="659"/>
      <c r="AB608" s="659"/>
      <c r="AC608" s="659"/>
      <c r="AD608" s="659"/>
      <c r="AE608" s="659"/>
      <c r="AF608" s="659"/>
      <c r="AG608" s="657"/>
    </row>
    <row r="609" spans="1:33" ht="10.5" customHeight="1" x14ac:dyDescent="0.2">
      <c r="A609" s="657"/>
      <c r="B609" s="657"/>
      <c r="C609" s="657"/>
      <c r="D609" s="657"/>
      <c r="E609" s="657"/>
      <c r="F609" s="657"/>
      <c r="G609" s="657"/>
      <c r="H609" s="657"/>
      <c r="I609" s="657"/>
      <c r="L609" s="657"/>
      <c r="AA609" s="659"/>
      <c r="AB609" s="659"/>
      <c r="AC609" s="659"/>
      <c r="AD609" s="659"/>
      <c r="AE609" s="659"/>
      <c r="AF609" s="659"/>
      <c r="AG609" s="657"/>
    </row>
    <row r="610" spans="1:33" ht="10.5" customHeight="1" x14ac:dyDescent="0.2">
      <c r="A610" s="657"/>
      <c r="B610" s="657"/>
      <c r="C610" s="657"/>
      <c r="D610" s="657"/>
      <c r="E610" s="657"/>
      <c r="F610" s="657"/>
      <c r="G610" s="657"/>
      <c r="H610" s="657"/>
      <c r="I610" s="657"/>
      <c r="L610" s="657"/>
      <c r="AA610" s="659"/>
      <c r="AB610" s="659"/>
      <c r="AC610" s="659"/>
      <c r="AD610" s="659"/>
      <c r="AE610" s="659"/>
      <c r="AF610" s="659"/>
      <c r="AG610" s="657"/>
    </row>
    <row r="611" spans="1:33" ht="10.5" customHeight="1" x14ac:dyDescent="0.2">
      <c r="A611" s="657"/>
      <c r="B611" s="657"/>
      <c r="C611" s="657"/>
      <c r="D611" s="657"/>
      <c r="E611" s="657"/>
      <c r="F611" s="657"/>
      <c r="G611" s="657"/>
      <c r="H611" s="657"/>
      <c r="I611" s="657"/>
      <c r="L611" s="657"/>
      <c r="AA611" s="659"/>
      <c r="AB611" s="659"/>
      <c r="AC611" s="659"/>
      <c r="AD611" s="659"/>
      <c r="AE611" s="659"/>
      <c r="AF611" s="659"/>
      <c r="AG611" s="657"/>
    </row>
    <row r="612" spans="1:33" ht="10.5" customHeight="1" x14ac:dyDescent="0.2">
      <c r="A612" s="657"/>
      <c r="B612" s="657"/>
      <c r="C612" s="657"/>
      <c r="D612" s="657"/>
      <c r="E612" s="657"/>
      <c r="F612" s="657"/>
      <c r="G612" s="657"/>
      <c r="H612" s="657"/>
      <c r="I612" s="657"/>
      <c r="L612" s="657"/>
      <c r="AA612" s="659"/>
      <c r="AB612" s="659"/>
      <c r="AC612" s="659"/>
      <c r="AD612" s="659"/>
      <c r="AE612" s="659"/>
      <c r="AF612" s="659"/>
      <c r="AG612" s="657"/>
    </row>
    <row r="613" spans="1:33" ht="10.5" customHeight="1" x14ac:dyDescent="0.2">
      <c r="A613" s="657"/>
      <c r="B613" s="657"/>
      <c r="C613" s="657"/>
      <c r="D613" s="657"/>
      <c r="E613" s="657"/>
      <c r="F613" s="657"/>
      <c r="G613" s="657"/>
      <c r="H613" s="657"/>
      <c r="I613" s="657"/>
      <c r="L613" s="657"/>
      <c r="AA613" s="659"/>
      <c r="AB613" s="659"/>
      <c r="AC613" s="659"/>
      <c r="AD613" s="659"/>
      <c r="AE613" s="659"/>
      <c r="AF613" s="659"/>
      <c r="AG613" s="657"/>
    </row>
    <row r="614" spans="1:33" ht="10.5" customHeight="1" x14ac:dyDescent="0.2">
      <c r="A614" s="657"/>
      <c r="B614" s="657"/>
      <c r="C614" s="657"/>
      <c r="D614" s="657"/>
      <c r="E614" s="657"/>
      <c r="F614" s="657"/>
      <c r="G614" s="657"/>
      <c r="H614" s="657"/>
      <c r="I614" s="657"/>
      <c r="L614" s="657"/>
      <c r="AA614" s="659"/>
      <c r="AB614" s="659"/>
      <c r="AC614" s="659"/>
      <c r="AD614" s="659"/>
      <c r="AE614" s="659"/>
      <c r="AF614" s="659"/>
      <c r="AG614" s="657"/>
    </row>
    <row r="615" spans="1:33" ht="10.5" customHeight="1" x14ac:dyDescent="0.2">
      <c r="A615" s="657"/>
      <c r="B615" s="657"/>
      <c r="C615" s="657"/>
      <c r="D615" s="657"/>
      <c r="E615" s="657"/>
      <c r="F615" s="657"/>
      <c r="G615" s="657"/>
      <c r="H615" s="657"/>
      <c r="I615" s="657"/>
      <c r="L615" s="657"/>
      <c r="AA615" s="659"/>
      <c r="AB615" s="659"/>
      <c r="AC615" s="659"/>
      <c r="AD615" s="659"/>
      <c r="AE615" s="659"/>
      <c r="AF615" s="659"/>
      <c r="AG615" s="657"/>
    </row>
    <row r="616" spans="1:33" ht="10.5" customHeight="1" x14ac:dyDescent="0.2">
      <c r="A616" s="657"/>
      <c r="B616" s="657"/>
      <c r="C616" s="657"/>
      <c r="D616" s="657"/>
      <c r="E616" s="657"/>
      <c r="F616" s="657"/>
      <c r="G616" s="657"/>
      <c r="H616" s="657"/>
      <c r="I616" s="657"/>
      <c r="L616" s="657"/>
      <c r="AA616" s="659"/>
      <c r="AB616" s="659"/>
      <c r="AC616" s="659"/>
      <c r="AD616" s="659"/>
      <c r="AE616" s="659"/>
      <c r="AF616" s="659"/>
      <c r="AG616" s="657"/>
    </row>
    <row r="617" spans="1:33" ht="10.5" customHeight="1" x14ac:dyDescent="0.2">
      <c r="A617" s="657"/>
      <c r="B617" s="657"/>
      <c r="C617" s="657"/>
      <c r="D617" s="657"/>
      <c r="E617" s="657"/>
      <c r="F617" s="657"/>
      <c r="G617" s="657"/>
      <c r="H617" s="657"/>
      <c r="I617" s="657"/>
      <c r="L617" s="657"/>
      <c r="AA617" s="659"/>
      <c r="AB617" s="659"/>
      <c r="AC617" s="659"/>
      <c r="AD617" s="659"/>
      <c r="AE617" s="659"/>
      <c r="AF617" s="659"/>
      <c r="AG617" s="657"/>
    </row>
    <row r="618" spans="1:33" ht="10.5" customHeight="1" x14ac:dyDescent="0.2">
      <c r="A618" s="657"/>
      <c r="B618" s="657"/>
      <c r="C618" s="657"/>
      <c r="D618" s="657"/>
      <c r="E618" s="657"/>
      <c r="F618" s="657"/>
      <c r="G618" s="657"/>
      <c r="H618" s="657"/>
      <c r="I618" s="657"/>
      <c r="L618" s="657"/>
      <c r="AA618" s="659"/>
      <c r="AB618" s="659"/>
      <c r="AC618" s="659"/>
      <c r="AD618" s="659"/>
      <c r="AE618" s="659"/>
      <c r="AF618" s="659"/>
      <c r="AG618" s="657"/>
    </row>
    <row r="619" spans="1:33" ht="10.5" customHeight="1" x14ac:dyDescent="0.2">
      <c r="A619" s="657"/>
      <c r="B619" s="657"/>
      <c r="C619" s="657"/>
      <c r="D619" s="657"/>
      <c r="E619" s="657"/>
      <c r="F619" s="657"/>
      <c r="G619" s="657"/>
      <c r="H619" s="657"/>
      <c r="I619" s="657"/>
      <c r="L619" s="657"/>
      <c r="AA619" s="659"/>
      <c r="AB619" s="659"/>
      <c r="AC619" s="659"/>
      <c r="AD619" s="659"/>
      <c r="AE619" s="659"/>
      <c r="AF619" s="659"/>
      <c r="AG619" s="657"/>
    </row>
    <row r="620" spans="1:33" ht="10.5" customHeight="1" x14ac:dyDescent="0.2">
      <c r="A620" s="657"/>
      <c r="B620" s="657"/>
      <c r="C620" s="657"/>
      <c r="D620" s="657"/>
      <c r="E620" s="657"/>
      <c r="F620" s="657"/>
      <c r="G620" s="657"/>
      <c r="H620" s="657"/>
      <c r="I620" s="657"/>
      <c r="L620" s="657"/>
      <c r="AA620" s="659"/>
      <c r="AB620" s="659"/>
      <c r="AC620" s="659"/>
      <c r="AD620" s="659"/>
      <c r="AE620" s="659"/>
      <c r="AF620" s="659"/>
      <c r="AG620" s="657"/>
    </row>
    <row r="621" spans="1:33" ht="10.5" customHeight="1" x14ac:dyDescent="0.2">
      <c r="A621" s="657"/>
      <c r="B621" s="657"/>
      <c r="C621" s="657"/>
      <c r="D621" s="657"/>
      <c r="E621" s="657"/>
      <c r="F621" s="657"/>
      <c r="G621" s="657"/>
      <c r="H621" s="657"/>
      <c r="I621" s="657"/>
      <c r="L621" s="657"/>
      <c r="AA621" s="659"/>
      <c r="AB621" s="659"/>
      <c r="AC621" s="659"/>
      <c r="AD621" s="659"/>
      <c r="AE621" s="659"/>
      <c r="AF621" s="659"/>
      <c r="AG621" s="657"/>
    </row>
    <row r="622" spans="1:33" ht="10.5" customHeight="1" x14ac:dyDescent="0.2">
      <c r="A622" s="657"/>
      <c r="B622" s="657"/>
      <c r="C622" s="657"/>
      <c r="D622" s="657"/>
      <c r="E622" s="657"/>
      <c r="F622" s="657"/>
      <c r="G622" s="657"/>
      <c r="H622" s="657"/>
      <c r="I622" s="657"/>
      <c r="L622" s="657"/>
      <c r="AA622" s="659"/>
      <c r="AB622" s="659"/>
      <c r="AC622" s="659"/>
      <c r="AD622" s="659"/>
      <c r="AE622" s="659"/>
      <c r="AF622" s="659"/>
      <c r="AG622" s="657"/>
    </row>
    <row r="623" spans="1:33" ht="10.5" customHeight="1" x14ac:dyDescent="0.2">
      <c r="A623" s="657"/>
      <c r="B623" s="657"/>
      <c r="C623" s="657"/>
      <c r="D623" s="657"/>
      <c r="E623" s="657"/>
      <c r="F623" s="657"/>
      <c r="G623" s="657"/>
      <c r="H623" s="657"/>
      <c r="I623" s="657"/>
      <c r="L623" s="657"/>
      <c r="AA623" s="659"/>
      <c r="AB623" s="659"/>
      <c r="AC623" s="659"/>
      <c r="AD623" s="659"/>
      <c r="AE623" s="659"/>
      <c r="AF623" s="659"/>
      <c r="AG623" s="657"/>
    </row>
    <row r="624" spans="1:33" ht="10.5" customHeight="1" x14ac:dyDescent="0.2">
      <c r="A624" s="657"/>
      <c r="B624" s="657"/>
      <c r="C624" s="657"/>
      <c r="D624" s="657"/>
      <c r="E624" s="657"/>
      <c r="F624" s="657"/>
      <c r="G624" s="657"/>
      <c r="H624" s="657"/>
      <c r="I624" s="657"/>
      <c r="L624" s="657"/>
      <c r="AA624" s="659"/>
      <c r="AB624" s="659"/>
      <c r="AC624" s="659"/>
      <c r="AD624" s="659"/>
      <c r="AE624" s="659"/>
      <c r="AF624" s="659"/>
      <c r="AG624" s="657"/>
    </row>
    <row r="625" spans="1:33" ht="10.5" customHeight="1" x14ac:dyDescent="0.2">
      <c r="A625" s="657"/>
      <c r="B625" s="657"/>
      <c r="C625" s="657"/>
      <c r="D625" s="657"/>
      <c r="E625" s="657"/>
      <c r="F625" s="657"/>
      <c r="G625" s="657"/>
      <c r="H625" s="657"/>
      <c r="I625" s="657"/>
      <c r="L625" s="657"/>
      <c r="AA625" s="659"/>
      <c r="AB625" s="659"/>
      <c r="AC625" s="659"/>
      <c r="AD625" s="659"/>
      <c r="AE625" s="659"/>
      <c r="AF625" s="659"/>
      <c r="AG625" s="657"/>
    </row>
    <row r="626" spans="1:33" ht="10.5" customHeight="1" x14ac:dyDescent="0.2">
      <c r="A626" s="657"/>
      <c r="B626" s="657"/>
      <c r="C626" s="657"/>
      <c r="D626" s="657"/>
      <c r="E626" s="657"/>
      <c r="F626" s="657"/>
      <c r="G626" s="657"/>
      <c r="H626" s="657"/>
      <c r="I626" s="657"/>
      <c r="L626" s="657"/>
      <c r="AA626" s="659"/>
      <c r="AB626" s="659"/>
      <c r="AC626" s="659"/>
      <c r="AD626" s="659"/>
      <c r="AE626" s="659"/>
      <c r="AF626" s="659"/>
      <c r="AG626" s="657"/>
    </row>
    <row r="627" spans="1:33" ht="10.5" customHeight="1" x14ac:dyDescent="0.2">
      <c r="A627" s="657"/>
      <c r="B627" s="657"/>
      <c r="C627" s="657"/>
      <c r="D627" s="657"/>
      <c r="E627" s="657"/>
      <c r="F627" s="657"/>
      <c r="G627" s="657"/>
      <c r="H627" s="657"/>
      <c r="I627" s="657"/>
      <c r="L627" s="657"/>
      <c r="AA627" s="659"/>
      <c r="AB627" s="659"/>
      <c r="AC627" s="659"/>
      <c r="AD627" s="659"/>
      <c r="AE627" s="659"/>
      <c r="AF627" s="659"/>
      <c r="AG627" s="657"/>
    </row>
    <row r="628" spans="1:33" ht="10.5" customHeight="1" x14ac:dyDescent="0.2">
      <c r="A628" s="657"/>
      <c r="B628" s="657"/>
      <c r="C628" s="657"/>
      <c r="D628" s="657"/>
      <c r="E628" s="657"/>
      <c r="F628" s="657"/>
      <c r="G628" s="657"/>
      <c r="H628" s="657"/>
      <c r="I628" s="657"/>
      <c r="L628" s="657"/>
      <c r="AA628" s="659"/>
      <c r="AB628" s="659"/>
      <c r="AC628" s="659"/>
      <c r="AD628" s="659"/>
      <c r="AE628" s="659"/>
      <c r="AF628" s="659"/>
      <c r="AG628" s="657"/>
    </row>
    <row r="629" spans="1:33" ht="10.5" customHeight="1" x14ac:dyDescent="0.2">
      <c r="A629" s="657"/>
      <c r="B629" s="657"/>
      <c r="C629" s="657"/>
      <c r="D629" s="657"/>
      <c r="E629" s="657"/>
      <c r="F629" s="657"/>
      <c r="G629" s="657"/>
      <c r="H629" s="657"/>
      <c r="I629" s="657"/>
      <c r="L629" s="657"/>
      <c r="AA629" s="659"/>
      <c r="AB629" s="659"/>
      <c r="AC629" s="659"/>
      <c r="AD629" s="659"/>
      <c r="AE629" s="659"/>
      <c r="AF629" s="659"/>
      <c r="AG629" s="657"/>
    </row>
    <row r="630" spans="1:33" ht="10.5" customHeight="1" x14ac:dyDescent="0.2">
      <c r="A630" s="657"/>
      <c r="B630" s="657"/>
      <c r="C630" s="657"/>
      <c r="D630" s="657"/>
      <c r="E630" s="657"/>
      <c r="F630" s="657"/>
      <c r="G630" s="657"/>
      <c r="H630" s="657"/>
      <c r="I630" s="657"/>
      <c r="L630" s="657"/>
      <c r="AA630" s="659"/>
      <c r="AB630" s="659"/>
      <c r="AC630" s="659"/>
      <c r="AD630" s="659"/>
      <c r="AE630" s="659"/>
      <c r="AF630" s="659"/>
      <c r="AG630" s="657"/>
    </row>
    <row r="631" spans="1:33" ht="10.5" customHeight="1" x14ac:dyDescent="0.2">
      <c r="A631" s="657"/>
      <c r="B631" s="657"/>
      <c r="C631" s="657"/>
      <c r="D631" s="657"/>
      <c r="E631" s="657"/>
      <c r="F631" s="657"/>
      <c r="G631" s="657"/>
      <c r="H631" s="657"/>
      <c r="I631" s="657"/>
      <c r="L631" s="657"/>
      <c r="AA631" s="659"/>
      <c r="AB631" s="659"/>
      <c r="AC631" s="659"/>
      <c r="AD631" s="659"/>
      <c r="AE631" s="659"/>
      <c r="AF631" s="659"/>
      <c r="AG631" s="657"/>
    </row>
    <row r="632" spans="1:33" ht="10.5" customHeight="1" x14ac:dyDescent="0.2">
      <c r="A632" s="657"/>
      <c r="B632" s="657"/>
      <c r="C632" s="657"/>
      <c r="D632" s="657"/>
      <c r="E632" s="657"/>
      <c r="F632" s="657"/>
      <c r="G632" s="657"/>
      <c r="H632" s="657"/>
      <c r="I632" s="657"/>
      <c r="L632" s="657"/>
      <c r="AA632" s="659"/>
      <c r="AB632" s="659"/>
      <c r="AC632" s="659"/>
      <c r="AD632" s="659"/>
      <c r="AE632" s="659"/>
      <c r="AF632" s="659"/>
      <c r="AG632" s="657"/>
    </row>
    <row r="633" spans="1:33" ht="10.5" customHeight="1" x14ac:dyDescent="0.2">
      <c r="A633" s="657"/>
      <c r="B633" s="657"/>
      <c r="C633" s="657"/>
      <c r="D633" s="657"/>
      <c r="E633" s="657"/>
      <c r="F633" s="657"/>
      <c r="G633" s="657"/>
      <c r="H633" s="657"/>
      <c r="I633" s="657"/>
      <c r="L633" s="657"/>
      <c r="AA633" s="659"/>
      <c r="AB633" s="659"/>
      <c r="AC633" s="659"/>
      <c r="AD633" s="659"/>
      <c r="AE633" s="659"/>
      <c r="AF633" s="659"/>
      <c r="AG633" s="657"/>
    </row>
    <row r="634" spans="1:33" ht="10.5" customHeight="1" x14ac:dyDescent="0.2">
      <c r="A634" s="657"/>
      <c r="B634" s="657"/>
      <c r="C634" s="657"/>
      <c r="D634" s="657"/>
      <c r="E634" s="657"/>
      <c r="F634" s="657"/>
      <c r="G634" s="657"/>
      <c r="H634" s="657"/>
      <c r="I634" s="657"/>
      <c r="L634" s="657"/>
      <c r="AA634" s="659"/>
      <c r="AB634" s="659"/>
      <c r="AC634" s="659"/>
      <c r="AD634" s="659"/>
      <c r="AE634" s="659"/>
      <c r="AF634" s="659"/>
      <c r="AG634" s="657"/>
    </row>
    <row r="635" spans="1:33" ht="10.5" customHeight="1" x14ac:dyDescent="0.2">
      <c r="A635" s="657"/>
      <c r="B635" s="657"/>
      <c r="C635" s="657"/>
      <c r="D635" s="657"/>
      <c r="E635" s="657"/>
      <c r="F635" s="657"/>
      <c r="G635" s="657"/>
      <c r="H635" s="657"/>
      <c r="I635" s="657"/>
      <c r="L635" s="657"/>
      <c r="AA635" s="659"/>
      <c r="AB635" s="659"/>
      <c r="AC635" s="659"/>
      <c r="AD635" s="659"/>
      <c r="AE635" s="659"/>
      <c r="AF635" s="659"/>
      <c r="AG635" s="657"/>
    </row>
    <row r="636" spans="1:33" ht="10.5" customHeight="1" x14ac:dyDescent="0.2">
      <c r="A636" s="657"/>
      <c r="B636" s="657"/>
      <c r="C636" s="657"/>
      <c r="D636" s="657"/>
      <c r="E636" s="657"/>
      <c r="F636" s="657"/>
      <c r="G636" s="657"/>
      <c r="H636" s="657"/>
      <c r="I636" s="657"/>
      <c r="L636" s="657"/>
      <c r="AA636" s="659"/>
      <c r="AB636" s="659"/>
      <c r="AC636" s="659"/>
      <c r="AD636" s="659"/>
      <c r="AE636" s="659"/>
      <c r="AF636" s="659"/>
      <c r="AG636" s="657"/>
    </row>
    <row r="637" spans="1:33" ht="10.5" customHeight="1" x14ac:dyDescent="0.2">
      <c r="A637" s="657"/>
      <c r="B637" s="657"/>
      <c r="C637" s="657"/>
      <c r="D637" s="657"/>
      <c r="E637" s="657"/>
      <c r="F637" s="657"/>
      <c r="G637" s="657"/>
      <c r="H637" s="657"/>
      <c r="I637" s="657"/>
      <c r="L637" s="657"/>
      <c r="AA637" s="659"/>
      <c r="AB637" s="659"/>
      <c r="AC637" s="659"/>
      <c r="AD637" s="659"/>
      <c r="AE637" s="659"/>
      <c r="AF637" s="659"/>
      <c r="AG637" s="657"/>
    </row>
    <row r="638" spans="1:33" ht="10.5" customHeight="1" x14ac:dyDescent="0.2">
      <c r="A638" s="657"/>
      <c r="B638" s="657"/>
      <c r="C638" s="657"/>
      <c r="D638" s="657"/>
      <c r="E638" s="657"/>
      <c r="F638" s="657"/>
      <c r="G638" s="657"/>
      <c r="H638" s="657"/>
      <c r="I638" s="657"/>
      <c r="L638" s="657"/>
      <c r="AA638" s="659"/>
      <c r="AB638" s="659"/>
      <c r="AC638" s="659"/>
      <c r="AD638" s="659"/>
      <c r="AE638" s="659"/>
      <c r="AF638" s="659"/>
      <c r="AG638" s="657"/>
    </row>
    <row r="639" spans="1:33" ht="10.5" customHeight="1" x14ac:dyDescent="0.2">
      <c r="A639" s="657"/>
      <c r="B639" s="657"/>
      <c r="C639" s="657"/>
      <c r="D639" s="657"/>
      <c r="E639" s="657"/>
      <c r="F639" s="657"/>
      <c r="G639" s="657"/>
      <c r="H639" s="657"/>
      <c r="I639" s="657"/>
      <c r="L639" s="657"/>
      <c r="AA639" s="659"/>
      <c r="AB639" s="659"/>
      <c r="AC639" s="659"/>
      <c r="AD639" s="659"/>
      <c r="AE639" s="659"/>
      <c r="AF639" s="659"/>
      <c r="AG639" s="657"/>
    </row>
    <row r="640" spans="1:33" ht="10.5" customHeight="1" x14ac:dyDescent="0.2">
      <c r="A640" s="657"/>
      <c r="B640" s="657"/>
      <c r="C640" s="657"/>
      <c r="D640" s="657"/>
      <c r="E640" s="657"/>
      <c r="F640" s="657"/>
      <c r="G640" s="657"/>
      <c r="H640" s="657"/>
      <c r="I640" s="657"/>
      <c r="L640" s="657"/>
      <c r="AA640" s="659"/>
      <c r="AB640" s="659"/>
      <c r="AC640" s="659"/>
      <c r="AD640" s="659"/>
      <c r="AE640" s="659"/>
      <c r="AF640" s="659"/>
      <c r="AG640" s="657"/>
    </row>
    <row r="641" spans="1:33" ht="10.5" customHeight="1" x14ac:dyDescent="0.2">
      <c r="A641" s="657"/>
      <c r="B641" s="657"/>
      <c r="C641" s="657"/>
      <c r="D641" s="657"/>
      <c r="E641" s="657"/>
      <c r="F641" s="657"/>
      <c r="G641" s="657"/>
      <c r="H641" s="657"/>
      <c r="I641" s="657"/>
      <c r="L641" s="657"/>
      <c r="AA641" s="659"/>
      <c r="AB641" s="659"/>
      <c r="AC641" s="659"/>
      <c r="AD641" s="659"/>
      <c r="AE641" s="659"/>
      <c r="AF641" s="659"/>
      <c r="AG641" s="657"/>
    </row>
    <row r="642" spans="1:33" ht="10.5" customHeight="1" x14ac:dyDescent="0.2">
      <c r="A642" s="657"/>
      <c r="B642" s="657"/>
      <c r="C642" s="657"/>
      <c r="D642" s="657"/>
      <c r="E642" s="657"/>
      <c r="F642" s="657"/>
      <c r="G642" s="657"/>
      <c r="H642" s="657"/>
      <c r="I642" s="657"/>
      <c r="L642" s="657"/>
      <c r="AA642" s="659"/>
      <c r="AB642" s="659"/>
      <c r="AC642" s="659"/>
      <c r="AD642" s="659"/>
      <c r="AE642" s="659"/>
      <c r="AF642" s="659"/>
      <c r="AG642" s="657"/>
    </row>
    <row r="643" spans="1:33" ht="10.5" customHeight="1" x14ac:dyDescent="0.2">
      <c r="A643" s="657"/>
      <c r="B643" s="657"/>
      <c r="C643" s="657"/>
      <c r="D643" s="657"/>
      <c r="E643" s="657"/>
      <c r="F643" s="657"/>
      <c r="G643" s="657"/>
      <c r="H643" s="657"/>
      <c r="I643" s="657"/>
      <c r="L643" s="657"/>
      <c r="AA643" s="659"/>
      <c r="AB643" s="659"/>
      <c r="AC643" s="659"/>
      <c r="AD643" s="659"/>
      <c r="AE643" s="659"/>
      <c r="AF643" s="659"/>
      <c r="AG643" s="657"/>
    </row>
    <row r="644" spans="1:33" ht="10.5" customHeight="1" x14ac:dyDescent="0.2">
      <c r="A644" s="657"/>
      <c r="B644" s="657"/>
      <c r="C644" s="657"/>
      <c r="D644" s="657"/>
      <c r="E644" s="657"/>
      <c r="F644" s="657"/>
      <c r="G644" s="657"/>
      <c r="H644" s="657"/>
      <c r="I644" s="657"/>
      <c r="L644" s="657"/>
      <c r="AA644" s="659"/>
      <c r="AB644" s="659"/>
      <c r="AC644" s="659"/>
      <c r="AD644" s="659"/>
      <c r="AE644" s="659"/>
      <c r="AF644" s="659"/>
      <c r="AG644" s="657"/>
    </row>
    <row r="645" spans="1:33" ht="10.5" customHeight="1" x14ac:dyDescent="0.2">
      <c r="A645" s="657"/>
      <c r="B645" s="657"/>
      <c r="C645" s="657"/>
      <c r="D645" s="657"/>
      <c r="E645" s="657"/>
      <c r="F645" s="657"/>
      <c r="G645" s="657"/>
      <c r="H645" s="657"/>
      <c r="I645" s="657"/>
      <c r="L645" s="657"/>
      <c r="AA645" s="659"/>
      <c r="AB645" s="659"/>
      <c r="AC645" s="659"/>
      <c r="AD645" s="659"/>
      <c r="AE645" s="659"/>
      <c r="AF645" s="659"/>
      <c r="AG645" s="657"/>
    </row>
    <row r="646" spans="1:33" ht="10.5" customHeight="1" x14ac:dyDescent="0.2">
      <c r="A646" s="657"/>
      <c r="B646" s="657"/>
      <c r="C646" s="657"/>
      <c r="D646" s="657"/>
      <c r="E646" s="657"/>
      <c r="F646" s="657"/>
      <c r="G646" s="657"/>
      <c r="H646" s="657"/>
      <c r="I646" s="657"/>
      <c r="L646" s="657"/>
      <c r="AA646" s="659"/>
      <c r="AB646" s="659"/>
      <c r="AC646" s="659"/>
      <c r="AD646" s="659"/>
      <c r="AE646" s="659"/>
      <c r="AF646" s="659"/>
      <c r="AG646" s="657"/>
    </row>
    <row r="647" spans="1:33" ht="10.5" customHeight="1" x14ac:dyDescent="0.2">
      <c r="A647" s="657"/>
      <c r="B647" s="657"/>
      <c r="C647" s="657"/>
      <c r="D647" s="657"/>
      <c r="E647" s="657"/>
      <c r="F647" s="657"/>
      <c r="G647" s="657"/>
      <c r="H647" s="657"/>
      <c r="I647" s="657"/>
      <c r="L647" s="657"/>
      <c r="AA647" s="659"/>
      <c r="AB647" s="659"/>
      <c r="AC647" s="659"/>
      <c r="AD647" s="659"/>
      <c r="AE647" s="659"/>
      <c r="AF647" s="659"/>
      <c r="AG647" s="657"/>
    </row>
    <row r="648" spans="1:33" ht="10.5" customHeight="1" x14ac:dyDescent="0.2">
      <c r="A648" s="657"/>
      <c r="B648" s="657"/>
      <c r="C648" s="657"/>
      <c r="D648" s="657"/>
      <c r="E648" s="657"/>
      <c r="F648" s="657"/>
      <c r="G648" s="657"/>
      <c r="H648" s="657"/>
      <c r="I648" s="657"/>
      <c r="L648" s="657"/>
      <c r="AA648" s="659"/>
      <c r="AB648" s="659"/>
      <c r="AC648" s="659"/>
      <c r="AD648" s="659"/>
      <c r="AE648" s="659"/>
      <c r="AF648" s="659"/>
      <c r="AG648" s="657"/>
    </row>
    <row r="649" spans="1:33" ht="10.5" customHeight="1" x14ac:dyDescent="0.2">
      <c r="A649" s="657"/>
      <c r="B649" s="657"/>
      <c r="C649" s="657"/>
      <c r="D649" s="657"/>
      <c r="E649" s="657"/>
      <c r="F649" s="657"/>
      <c r="G649" s="657"/>
      <c r="H649" s="657"/>
      <c r="I649" s="657"/>
      <c r="L649" s="657"/>
      <c r="AA649" s="659"/>
      <c r="AB649" s="659"/>
      <c r="AC649" s="659"/>
      <c r="AD649" s="659"/>
      <c r="AE649" s="659"/>
      <c r="AF649" s="659"/>
      <c r="AG649" s="657"/>
    </row>
    <row r="650" spans="1:33" ht="10.5" customHeight="1" x14ac:dyDescent="0.2">
      <c r="A650" s="657"/>
      <c r="B650" s="657"/>
      <c r="C650" s="657"/>
      <c r="D650" s="657"/>
      <c r="E650" s="657"/>
      <c r="F650" s="657"/>
      <c r="G650" s="657"/>
      <c r="H650" s="657"/>
      <c r="I650" s="657"/>
      <c r="L650" s="657"/>
      <c r="AA650" s="659"/>
      <c r="AB650" s="659"/>
      <c r="AC650" s="659"/>
      <c r="AD650" s="659"/>
      <c r="AE650" s="659"/>
      <c r="AF650" s="659"/>
      <c r="AG650" s="657"/>
    </row>
    <row r="651" spans="1:33" ht="10.5" customHeight="1" x14ac:dyDescent="0.2">
      <c r="A651" s="657"/>
      <c r="B651" s="657"/>
      <c r="C651" s="657"/>
      <c r="D651" s="657"/>
      <c r="E651" s="657"/>
      <c r="F651" s="657"/>
      <c r="G651" s="657"/>
      <c r="H651" s="657"/>
      <c r="I651" s="657"/>
      <c r="L651" s="657"/>
      <c r="AA651" s="659"/>
      <c r="AB651" s="659"/>
      <c r="AC651" s="659"/>
      <c r="AD651" s="659"/>
      <c r="AE651" s="659"/>
      <c r="AF651" s="659"/>
      <c r="AG651" s="657"/>
    </row>
    <row r="652" spans="1:33" ht="10.5" customHeight="1" x14ac:dyDescent="0.2">
      <c r="A652" s="657"/>
      <c r="B652" s="657"/>
      <c r="C652" s="657"/>
      <c r="D652" s="657"/>
      <c r="E652" s="657"/>
      <c r="F652" s="657"/>
      <c r="G652" s="657"/>
      <c r="H652" s="657"/>
      <c r="I652" s="657"/>
      <c r="L652" s="657"/>
      <c r="AA652" s="659"/>
      <c r="AB652" s="659"/>
      <c r="AC652" s="659"/>
      <c r="AD652" s="659"/>
      <c r="AE652" s="659"/>
      <c r="AF652" s="659"/>
      <c r="AG652" s="657"/>
    </row>
    <row r="653" spans="1:33" ht="10.5" customHeight="1" x14ac:dyDescent="0.2">
      <c r="A653" s="657"/>
      <c r="B653" s="657"/>
      <c r="C653" s="657"/>
      <c r="D653" s="657"/>
      <c r="E653" s="657"/>
      <c r="F653" s="657"/>
      <c r="G653" s="657"/>
      <c r="H653" s="657"/>
      <c r="I653" s="657"/>
      <c r="L653" s="657"/>
      <c r="AA653" s="659"/>
      <c r="AB653" s="659"/>
      <c r="AC653" s="659"/>
      <c r="AD653" s="659"/>
      <c r="AE653" s="659"/>
      <c r="AF653" s="659"/>
      <c r="AG653" s="657"/>
    </row>
    <row r="654" spans="1:33" ht="10.5" customHeight="1" x14ac:dyDescent="0.2">
      <c r="A654" s="657"/>
      <c r="B654" s="657"/>
      <c r="C654" s="657"/>
      <c r="D654" s="657"/>
      <c r="E654" s="657"/>
      <c r="F654" s="657"/>
      <c r="G654" s="657"/>
      <c r="H654" s="657"/>
      <c r="I654" s="657"/>
      <c r="L654" s="657"/>
      <c r="AA654" s="659"/>
      <c r="AB654" s="659"/>
      <c r="AC654" s="659"/>
      <c r="AD654" s="659"/>
      <c r="AE654" s="659"/>
      <c r="AF654" s="659"/>
      <c r="AG654" s="657"/>
    </row>
    <row r="655" spans="1:33" ht="10.5" customHeight="1" x14ac:dyDescent="0.2">
      <c r="A655" s="657"/>
      <c r="B655" s="657"/>
      <c r="C655" s="657"/>
      <c r="D655" s="657"/>
      <c r="E655" s="657"/>
      <c r="F655" s="657"/>
      <c r="G655" s="657"/>
      <c r="H655" s="657"/>
      <c r="I655" s="657"/>
      <c r="L655" s="657"/>
      <c r="AA655" s="659"/>
      <c r="AB655" s="659"/>
      <c r="AC655" s="659"/>
      <c r="AD655" s="659"/>
      <c r="AE655" s="659"/>
      <c r="AF655" s="659"/>
      <c r="AG655" s="657"/>
    </row>
    <row r="656" spans="1:33" ht="10.5" customHeight="1" x14ac:dyDescent="0.2">
      <c r="A656" s="657"/>
      <c r="B656" s="657"/>
      <c r="C656" s="657"/>
      <c r="D656" s="657"/>
      <c r="E656" s="657"/>
      <c r="F656" s="657"/>
      <c r="G656" s="657"/>
      <c r="H656" s="657"/>
      <c r="I656" s="657"/>
      <c r="L656" s="657"/>
      <c r="AA656" s="659"/>
      <c r="AB656" s="659"/>
      <c r="AC656" s="659"/>
      <c r="AD656" s="659"/>
      <c r="AE656" s="659"/>
      <c r="AF656" s="659"/>
      <c r="AG656" s="657"/>
    </row>
    <row r="657" spans="1:33" ht="10.5" customHeight="1" x14ac:dyDescent="0.2">
      <c r="A657" s="657"/>
      <c r="B657" s="657"/>
      <c r="C657" s="657"/>
      <c r="D657" s="657"/>
      <c r="E657" s="657"/>
      <c r="F657" s="657"/>
      <c r="G657" s="657"/>
      <c r="H657" s="657"/>
      <c r="I657" s="657"/>
      <c r="L657" s="657"/>
      <c r="AA657" s="659"/>
      <c r="AB657" s="659"/>
      <c r="AC657" s="659"/>
      <c r="AD657" s="659"/>
      <c r="AE657" s="659"/>
      <c r="AF657" s="659"/>
      <c r="AG657" s="657"/>
    </row>
    <row r="658" spans="1:33" ht="10.5" customHeight="1" x14ac:dyDescent="0.2">
      <c r="A658" s="657"/>
      <c r="B658" s="657"/>
      <c r="C658" s="657"/>
      <c r="D658" s="657"/>
      <c r="E658" s="657"/>
      <c r="F658" s="657"/>
      <c r="G658" s="657"/>
      <c r="H658" s="657"/>
      <c r="I658" s="657"/>
      <c r="L658" s="657"/>
      <c r="AA658" s="659"/>
      <c r="AB658" s="659"/>
      <c r="AC658" s="659"/>
      <c r="AD658" s="659"/>
      <c r="AE658" s="659"/>
      <c r="AF658" s="659"/>
      <c r="AG658" s="657"/>
    </row>
    <row r="659" spans="1:33" ht="10.5" customHeight="1" x14ac:dyDescent="0.2">
      <c r="A659" s="657"/>
      <c r="B659" s="657"/>
      <c r="C659" s="657"/>
      <c r="D659" s="657"/>
      <c r="E659" s="657"/>
      <c r="F659" s="657"/>
      <c r="G659" s="657"/>
      <c r="H659" s="657"/>
      <c r="I659" s="657"/>
      <c r="L659" s="657"/>
      <c r="AA659" s="659"/>
      <c r="AB659" s="659"/>
      <c r="AC659" s="659"/>
      <c r="AD659" s="659"/>
      <c r="AE659" s="659"/>
      <c r="AF659" s="659"/>
      <c r="AG659" s="657"/>
    </row>
    <row r="660" spans="1:33" ht="10.5" customHeight="1" x14ac:dyDescent="0.2">
      <c r="A660" s="657"/>
      <c r="B660" s="657"/>
      <c r="C660" s="657"/>
      <c r="D660" s="657"/>
      <c r="E660" s="657"/>
      <c r="F660" s="657"/>
      <c r="G660" s="657"/>
      <c r="H660" s="657"/>
      <c r="I660" s="657"/>
      <c r="L660" s="657"/>
      <c r="AA660" s="659"/>
      <c r="AB660" s="659"/>
      <c r="AC660" s="659"/>
      <c r="AD660" s="659"/>
      <c r="AE660" s="659"/>
      <c r="AF660" s="659"/>
      <c r="AG660" s="657"/>
    </row>
    <row r="661" spans="1:33" ht="10.5" customHeight="1" x14ac:dyDescent="0.2">
      <c r="A661" s="657"/>
      <c r="B661" s="657"/>
      <c r="C661" s="657"/>
      <c r="D661" s="657"/>
      <c r="E661" s="657"/>
      <c r="F661" s="657"/>
      <c r="G661" s="657"/>
      <c r="H661" s="657"/>
      <c r="I661" s="657"/>
      <c r="L661" s="657"/>
      <c r="AA661" s="659"/>
      <c r="AB661" s="659"/>
      <c r="AC661" s="659"/>
      <c r="AD661" s="659"/>
      <c r="AE661" s="659"/>
      <c r="AF661" s="659"/>
      <c r="AG661" s="657"/>
    </row>
    <row r="662" spans="1:33" ht="10.5" customHeight="1" x14ac:dyDescent="0.2">
      <c r="A662" s="657"/>
      <c r="B662" s="657"/>
      <c r="C662" s="657"/>
      <c r="D662" s="657"/>
      <c r="E662" s="657"/>
      <c r="F662" s="657"/>
      <c r="G662" s="657"/>
      <c r="H662" s="657"/>
      <c r="I662" s="657"/>
      <c r="L662" s="657"/>
      <c r="AA662" s="659"/>
      <c r="AB662" s="659"/>
      <c r="AC662" s="659"/>
      <c r="AD662" s="659"/>
      <c r="AE662" s="659"/>
      <c r="AF662" s="659"/>
      <c r="AG662" s="657"/>
    </row>
    <row r="663" spans="1:33" ht="10.5" customHeight="1" x14ac:dyDescent="0.2">
      <c r="A663" s="657"/>
      <c r="B663" s="657"/>
      <c r="C663" s="657"/>
      <c r="D663" s="657"/>
      <c r="E663" s="657"/>
      <c r="F663" s="657"/>
      <c r="G663" s="657"/>
      <c r="H663" s="657"/>
      <c r="I663" s="657"/>
      <c r="L663" s="657"/>
      <c r="AA663" s="659"/>
      <c r="AB663" s="659"/>
      <c r="AC663" s="659"/>
      <c r="AD663" s="659"/>
      <c r="AE663" s="659"/>
      <c r="AF663" s="659"/>
      <c r="AG663" s="657"/>
    </row>
    <row r="664" spans="1:33" ht="10.5" customHeight="1" x14ac:dyDescent="0.2">
      <c r="A664" s="657"/>
      <c r="B664" s="657"/>
      <c r="C664" s="657"/>
      <c r="D664" s="657"/>
      <c r="E664" s="657"/>
      <c r="F664" s="657"/>
      <c r="G664" s="657"/>
      <c r="H664" s="657"/>
      <c r="I664" s="657"/>
      <c r="L664" s="657"/>
      <c r="AA664" s="659"/>
      <c r="AB664" s="659"/>
      <c r="AC664" s="659"/>
      <c r="AD664" s="659"/>
      <c r="AE664" s="659"/>
      <c r="AF664" s="659"/>
      <c r="AG664" s="657"/>
    </row>
    <row r="665" spans="1:33" ht="10.5" customHeight="1" x14ac:dyDescent="0.2">
      <c r="A665" s="657"/>
      <c r="B665" s="657"/>
      <c r="C665" s="657"/>
      <c r="D665" s="657"/>
      <c r="E665" s="657"/>
      <c r="F665" s="657"/>
      <c r="G665" s="657"/>
      <c r="H665" s="657"/>
      <c r="I665" s="657"/>
      <c r="L665" s="657"/>
      <c r="AA665" s="659"/>
      <c r="AB665" s="659"/>
      <c r="AC665" s="659"/>
      <c r="AD665" s="659"/>
      <c r="AE665" s="659"/>
      <c r="AF665" s="659"/>
      <c r="AG665" s="657"/>
    </row>
    <row r="666" spans="1:33" ht="10.5" customHeight="1" x14ac:dyDescent="0.2">
      <c r="A666" s="657"/>
      <c r="B666" s="657"/>
      <c r="C666" s="657"/>
      <c r="D666" s="657"/>
      <c r="E666" s="657"/>
      <c r="F666" s="657"/>
      <c r="G666" s="657"/>
      <c r="H666" s="657"/>
      <c r="I666" s="657"/>
      <c r="L666" s="657"/>
      <c r="AA666" s="659"/>
      <c r="AB666" s="659"/>
      <c r="AC666" s="659"/>
      <c r="AD666" s="659"/>
      <c r="AE666" s="659"/>
      <c r="AF666" s="659"/>
      <c r="AG666" s="657"/>
    </row>
    <row r="667" spans="1:33" ht="10.5" customHeight="1" x14ac:dyDescent="0.2">
      <c r="A667" s="657"/>
      <c r="B667" s="657"/>
      <c r="C667" s="657"/>
      <c r="D667" s="657"/>
      <c r="E667" s="657"/>
      <c r="F667" s="657"/>
      <c r="G667" s="657"/>
      <c r="H667" s="657"/>
      <c r="I667" s="657"/>
      <c r="L667" s="657"/>
      <c r="AA667" s="659"/>
      <c r="AB667" s="659"/>
      <c r="AC667" s="659"/>
      <c r="AD667" s="659"/>
      <c r="AE667" s="659"/>
      <c r="AF667" s="659"/>
      <c r="AG667" s="657"/>
    </row>
    <row r="668" spans="1:33" ht="10.5" customHeight="1" x14ac:dyDescent="0.2">
      <c r="A668" s="657"/>
      <c r="B668" s="657"/>
      <c r="C668" s="657"/>
      <c r="D668" s="657"/>
      <c r="E668" s="657"/>
      <c r="F668" s="657"/>
      <c r="G668" s="657"/>
      <c r="H668" s="657"/>
      <c r="I668" s="657"/>
      <c r="L668" s="657"/>
      <c r="AA668" s="659"/>
      <c r="AB668" s="659"/>
      <c r="AC668" s="659"/>
      <c r="AD668" s="659"/>
      <c r="AE668" s="659"/>
      <c r="AF668" s="659"/>
      <c r="AG668" s="657"/>
    </row>
    <row r="669" spans="1:33" ht="10.5" customHeight="1" x14ac:dyDescent="0.2">
      <c r="A669" s="657"/>
      <c r="B669" s="657"/>
      <c r="C669" s="657"/>
      <c r="D669" s="657"/>
      <c r="E669" s="657"/>
      <c r="F669" s="657"/>
      <c r="G669" s="657"/>
      <c r="H669" s="657"/>
      <c r="I669" s="657"/>
      <c r="L669" s="657"/>
      <c r="AA669" s="659"/>
      <c r="AB669" s="659"/>
      <c r="AC669" s="659"/>
      <c r="AD669" s="659"/>
      <c r="AE669" s="659"/>
      <c r="AF669" s="659"/>
      <c r="AG669" s="657"/>
    </row>
    <row r="670" spans="1:33" ht="10.5" customHeight="1" x14ac:dyDescent="0.2">
      <c r="A670" s="657"/>
      <c r="B670" s="657"/>
      <c r="C670" s="657"/>
      <c r="D670" s="657"/>
      <c r="E670" s="657"/>
      <c r="F670" s="657"/>
      <c r="G670" s="657"/>
      <c r="H670" s="657"/>
      <c r="I670" s="657"/>
      <c r="L670" s="657"/>
      <c r="AA670" s="659"/>
      <c r="AB670" s="659"/>
      <c r="AC670" s="659"/>
      <c r="AD670" s="659"/>
      <c r="AE670" s="659"/>
      <c r="AF670" s="659"/>
      <c r="AG670" s="657"/>
    </row>
    <row r="671" spans="1:33" ht="10.5" customHeight="1" x14ac:dyDescent="0.2">
      <c r="A671" s="657"/>
      <c r="B671" s="657"/>
      <c r="C671" s="657"/>
      <c r="D671" s="657"/>
      <c r="E671" s="657"/>
      <c r="F671" s="657"/>
      <c r="G671" s="657"/>
      <c r="H671" s="657"/>
      <c r="I671" s="657"/>
      <c r="L671" s="657"/>
      <c r="AA671" s="659"/>
      <c r="AB671" s="659"/>
      <c r="AC671" s="659"/>
      <c r="AD671" s="659"/>
      <c r="AE671" s="659"/>
      <c r="AF671" s="659"/>
      <c r="AG671" s="657"/>
    </row>
    <row r="672" spans="1:33" ht="10.5" customHeight="1" x14ac:dyDescent="0.2">
      <c r="A672" s="657"/>
      <c r="B672" s="657"/>
      <c r="C672" s="657"/>
      <c r="D672" s="657"/>
      <c r="E672" s="657"/>
      <c r="F672" s="657"/>
      <c r="G672" s="657"/>
      <c r="H672" s="657"/>
      <c r="I672" s="657"/>
      <c r="L672" s="657"/>
      <c r="AA672" s="659"/>
      <c r="AB672" s="659"/>
      <c r="AC672" s="659"/>
      <c r="AD672" s="659"/>
      <c r="AE672" s="659"/>
      <c r="AF672" s="659"/>
      <c r="AG672" s="657"/>
    </row>
    <row r="673" spans="1:33" ht="10.5" customHeight="1" x14ac:dyDescent="0.2">
      <c r="A673" s="657"/>
      <c r="B673" s="657"/>
      <c r="C673" s="657"/>
      <c r="D673" s="657"/>
      <c r="E673" s="657"/>
      <c r="F673" s="657"/>
      <c r="G673" s="657"/>
      <c r="H673" s="657"/>
      <c r="I673" s="657"/>
      <c r="L673" s="657"/>
      <c r="AA673" s="659"/>
      <c r="AB673" s="659"/>
      <c r="AC673" s="659"/>
      <c r="AD673" s="659"/>
      <c r="AE673" s="659"/>
      <c r="AF673" s="659"/>
      <c r="AG673" s="657"/>
    </row>
    <row r="674" spans="1:33" ht="10.5" customHeight="1" x14ac:dyDescent="0.2">
      <c r="A674" s="657"/>
      <c r="B674" s="657"/>
      <c r="C674" s="657"/>
      <c r="D674" s="657"/>
      <c r="E674" s="657"/>
      <c r="F674" s="657"/>
      <c r="G674" s="657"/>
      <c r="H674" s="657"/>
      <c r="I674" s="657"/>
      <c r="L674" s="657"/>
      <c r="AA674" s="659"/>
      <c r="AB674" s="659"/>
      <c r="AC674" s="659"/>
      <c r="AD674" s="659"/>
      <c r="AE674" s="659"/>
      <c r="AF674" s="659"/>
      <c r="AG674" s="657"/>
    </row>
    <row r="675" spans="1:33" ht="10.5" customHeight="1" x14ac:dyDescent="0.2">
      <c r="A675" s="657"/>
      <c r="B675" s="657"/>
      <c r="C675" s="657"/>
      <c r="D675" s="657"/>
      <c r="E675" s="657"/>
      <c r="F675" s="657"/>
      <c r="G675" s="657"/>
      <c r="H675" s="657"/>
      <c r="I675" s="657"/>
      <c r="L675" s="657"/>
      <c r="AA675" s="659"/>
      <c r="AB675" s="659"/>
      <c r="AC675" s="659"/>
      <c r="AD675" s="659"/>
      <c r="AE675" s="659"/>
      <c r="AF675" s="659"/>
      <c r="AG675" s="657"/>
    </row>
    <row r="676" spans="1:33" ht="10.5" customHeight="1" x14ac:dyDescent="0.2">
      <c r="A676" s="657"/>
      <c r="B676" s="657"/>
      <c r="C676" s="657"/>
      <c r="D676" s="657"/>
      <c r="E676" s="657"/>
      <c r="F676" s="657"/>
      <c r="G676" s="657"/>
      <c r="H676" s="657"/>
      <c r="I676" s="657"/>
      <c r="L676" s="657"/>
      <c r="AA676" s="659"/>
      <c r="AB676" s="659"/>
      <c r="AC676" s="659"/>
      <c r="AD676" s="659"/>
      <c r="AE676" s="659"/>
      <c r="AF676" s="659"/>
      <c r="AG676" s="657"/>
    </row>
    <row r="677" spans="1:33" ht="10.5" customHeight="1" x14ac:dyDescent="0.2">
      <c r="A677" s="657"/>
      <c r="B677" s="657"/>
      <c r="C677" s="657"/>
      <c r="D677" s="657"/>
      <c r="E677" s="657"/>
      <c r="F677" s="657"/>
      <c r="G677" s="657"/>
      <c r="H677" s="657"/>
      <c r="I677" s="657"/>
      <c r="L677" s="657"/>
      <c r="AA677" s="659"/>
      <c r="AB677" s="659"/>
      <c r="AC677" s="659"/>
      <c r="AD677" s="659"/>
      <c r="AE677" s="659"/>
      <c r="AF677" s="659"/>
      <c r="AG677" s="657"/>
    </row>
    <row r="678" spans="1:33" ht="10.5" customHeight="1" x14ac:dyDescent="0.2">
      <c r="A678" s="657"/>
      <c r="B678" s="657"/>
      <c r="C678" s="657"/>
      <c r="D678" s="657"/>
      <c r="E678" s="657"/>
      <c r="F678" s="657"/>
      <c r="G678" s="657"/>
      <c r="H678" s="657"/>
      <c r="I678" s="657"/>
      <c r="L678" s="657"/>
      <c r="AA678" s="659"/>
      <c r="AB678" s="659"/>
      <c r="AC678" s="659"/>
      <c r="AD678" s="659"/>
      <c r="AE678" s="659"/>
      <c r="AF678" s="659"/>
      <c r="AG678" s="657"/>
    </row>
    <row r="679" spans="1:33" ht="10.5" customHeight="1" x14ac:dyDescent="0.2">
      <c r="A679" s="657"/>
      <c r="B679" s="657"/>
      <c r="C679" s="657"/>
      <c r="D679" s="657"/>
      <c r="E679" s="657"/>
      <c r="F679" s="657"/>
      <c r="G679" s="657"/>
      <c r="H679" s="657"/>
      <c r="I679" s="657"/>
      <c r="L679" s="657"/>
      <c r="AA679" s="659"/>
      <c r="AB679" s="659"/>
      <c r="AC679" s="659"/>
      <c r="AD679" s="659"/>
      <c r="AE679" s="659"/>
      <c r="AF679" s="659"/>
      <c r="AG679" s="657"/>
    </row>
    <row r="680" spans="1:33" ht="10.5" customHeight="1" x14ac:dyDescent="0.2">
      <c r="A680" s="657"/>
      <c r="B680" s="657"/>
      <c r="C680" s="657"/>
      <c r="D680" s="657"/>
      <c r="E680" s="657"/>
      <c r="F680" s="657"/>
      <c r="G680" s="657"/>
      <c r="H680" s="657"/>
      <c r="I680" s="657"/>
      <c r="L680" s="657"/>
      <c r="AA680" s="659"/>
      <c r="AB680" s="659"/>
      <c r="AC680" s="659"/>
      <c r="AD680" s="659"/>
      <c r="AE680" s="659"/>
      <c r="AF680" s="659"/>
      <c r="AG680" s="657"/>
    </row>
    <row r="681" spans="1:33" ht="10.5" customHeight="1" x14ac:dyDescent="0.2">
      <c r="A681" s="657"/>
      <c r="B681" s="657"/>
      <c r="C681" s="657"/>
      <c r="D681" s="657"/>
      <c r="E681" s="657"/>
      <c r="F681" s="657"/>
      <c r="G681" s="657"/>
      <c r="H681" s="657"/>
      <c r="I681" s="657"/>
      <c r="L681" s="657"/>
      <c r="AA681" s="659"/>
      <c r="AB681" s="659"/>
      <c r="AC681" s="659"/>
      <c r="AD681" s="659"/>
      <c r="AE681" s="659"/>
      <c r="AF681" s="659"/>
      <c r="AG681" s="657"/>
    </row>
    <row r="682" spans="1:33" ht="10.5" customHeight="1" x14ac:dyDescent="0.2">
      <c r="A682" s="657"/>
      <c r="B682" s="657"/>
      <c r="C682" s="657"/>
      <c r="D682" s="657"/>
      <c r="E682" s="657"/>
      <c r="F682" s="657"/>
      <c r="G682" s="657"/>
      <c r="H682" s="657"/>
      <c r="I682" s="657"/>
      <c r="L682" s="657"/>
      <c r="AA682" s="659"/>
      <c r="AB682" s="659"/>
      <c r="AC682" s="659"/>
      <c r="AD682" s="659"/>
      <c r="AE682" s="659"/>
      <c r="AF682" s="659"/>
      <c r="AG682" s="657"/>
    </row>
    <row r="683" spans="1:33" ht="10.5" customHeight="1" x14ac:dyDescent="0.2">
      <c r="A683" s="657"/>
      <c r="B683" s="657"/>
      <c r="C683" s="657"/>
      <c r="D683" s="657"/>
      <c r="E683" s="657"/>
      <c r="F683" s="657"/>
      <c r="G683" s="657"/>
      <c r="H683" s="657"/>
      <c r="I683" s="657"/>
      <c r="L683" s="657"/>
      <c r="AA683" s="659"/>
      <c r="AB683" s="659"/>
      <c r="AC683" s="659"/>
      <c r="AD683" s="659"/>
      <c r="AE683" s="659"/>
      <c r="AF683" s="659"/>
      <c r="AG683" s="657"/>
    </row>
    <row r="684" spans="1:33" ht="10.5" customHeight="1" x14ac:dyDescent="0.2">
      <c r="A684" s="657"/>
      <c r="B684" s="657"/>
      <c r="C684" s="657"/>
      <c r="D684" s="657"/>
      <c r="E684" s="657"/>
      <c r="F684" s="657"/>
      <c r="G684" s="657"/>
      <c r="H684" s="657"/>
      <c r="I684" s="657"/>
      <c r="L684" s="657"/>
      <c r="AA684" s="659"/>
      <c r="AB684" s="659"/>
      <c r="AC684" s="659"/>
      <c r="AD684" s="659"/>
      <c r="AE684" s="659"/>
      <c r="AF684" s="659"/>
      <c r="AG684" s="657"/>
    </row>
    <row r="685" spans="1:33" ht="10.5" customHeight="1" x14ac:dyDescent="0.2">
      <c r="A685" s="657"/>
      <c r="B685" s="657"/>
      <c r="C685" s="657"/>
      <c r="D685" s="657"/>
      <c r="E685" s="657"/>
      <c r="F685" s="657"/>
      <c r="G685" s="657"/>
      <c r="H685" s="657"/>
      <c r="I685" s="657"/>
      <c r="L685" s="657"/>
      <c r="AA685" s="659"/>
      <c r="AB685" s="659"/>
      <c r="AC685" s="659"/>
      <c r="AD685" s="659"/>
      <c r="AE685" s="659"/>
      <c r="AF685" s="659"/>
      <c r="AG685" s="657"/>
    </row>
    <row r="686" spans="1:33" ht="10.5" customHeight="1" x14ac:dyDescent="0.2">
      <c r="A686" s="657"/>
      <c r="B686" s="657"/>
      <c r="C686" s="657"/>
      <c r="D686" s="657"/>
      <c r="E686" s="657"/>
      <c r="F686" s="657"/>
      <c r="G686" s="657"/>
      <c r="H686" s="657"/>
      <c r="I686" s="657"/>
      <c r="L686" s="657"/>
      <c r="AA686" s="659"/>
      <c r="AB686" s="659"/>
      <c r="AC686" s="659"/>
      <c r="AD686" s="659"/>
      <c r="AE686" s="659"/>
      <c r="AF686" s="659"/>
      <c r="AG686" s="657"/>
    </row>
    <row r="687" spans="1:33" ht="10.5" customHeight="1" x14ac:dyDescent="0.2">
      <c r="A687" s="657"/>
      <c r="B687" s="657"/>
      <c r="C687" s="657"/>
      <c r="D687" s="657"/>
      <c r="E687" s="657"/>
      <c r="F687" s="657"/>
      <c r="G687" s="657"/>
      <c r="H687" s="657"/>
      <c r="I687" s="657"/>
      <c r="L687" s="657"/>
      <c r="AA687" s="659"/>
      <c r="AB687" s="659"/>
      <c r="AC687" s="659"/>
      <c r="AD687" s="659"/>
      <c r="AE687" s="659"/>
      <c r="AF687" s="659"/>
      <c r="AG687" s="657"/>
    </row>
    <row r="688" spans="1:33" ht="10.5" customHeight="1" x14ac:dyDescent="0.2">
      <c r="A688" s="657"/>
      <c r="B688" s="657"/>
      <c r="C688" s="657"/>
      <c r="D688" s="657"/>
      <c r="E688" s="657"/>
      <c r="F688" s="657"/>
      <c r="G688" s="657"/>
      <c r="H688" s="657"/>
      <c r="I688" s="657"/>
      <c r="L688" s="657"/>
      <c r="AA688" s="659"/>
      <c r="AB688" s="659"/>
      <c r="AC688" s="659"/>
      <c r="AD688" s="659"/>
      <c r="AE688" s="659"/>
      <c r="AF688" s="659"/>
      <c r="AG688" s="657"/>
    </row>
    <row r="689" spans="1:33" ht="10.5" customHeight="1" x14ac:dyDescent="0.2">
      <c r="A689" s="657"/>
      <c r="B689" s="657"/>
      <c r="C689" s="657"/>
      <c r="D689" s="657"/>
      <c r="E689" s="657"/>
      <c r="F689" s="657"/>
      <c r="G689" s="657"/>
      <c r="H689" s="657"/>
      <c r="I689" s="657"/>
      <c r="L689" s="657"/>
      <c r="AA689" s="659"/>
      <c r="AB689" s="659"/>
      <c r="AC689" s="659"/>
      <c r="AD689" s="659"/>
      <c r="AE689" s="659"/>
      <c r="AF689" s="659"/>
      <c r="AG689" s="657"/>
    </row>
    <row r="690" spans="1:33" ht="10.5" customHeight="1" x14ac:dyDescent="0.2">
      <c r="A690" s="657"/>
      <c r="B690" s="657"/>
      <c r="C690" s="657"/>
      <c r="D690" s="657"/>
      <c r="E690" s="657"/>
      <c r="F690" s="657"/>
      <c r="G690" s="657"/>
      <c r="H690" s="657"/>
      <c r="I690" s="657"/>
      <c r="L690" s="657"/>
      <c r="AA690" s="659"/>
      <c r="AB690" s="659"/>
      <c r="AC690" s="659"/>
      <c r="AD690" s="659"/>
      <c r="AE690" s="659"/>
      <c r="AF690" s="659"/>
      <c r="AG690" s="657"/>
    </row>
    <row r="691" spans="1:33" ht="10.5" customHeight="1" x14ac:dyDescent="0.2">
      <c r="A691" s="657"/>
      <c r="B691" s="657"/>
      <c r="C691" s="657"/>
      <c r="D691" s="657"/>
      <c r="E691" s="657"/>
      <c r="F691" s="657"/>
      <c r="G691" s="657"/>
      <c r="H691" s="657"/>
      <c r="I691" s="657"/>
      <c r="L691" s="657"/>
      <c r="AA691" s="659"/>
      <c r="AB691" s="659"/>
      <c r="AC691" s="659"/>
      <c r="AD691" s="659"/>
      <c r="AE691" s="659"/>
      <c r="AF691" s="659"/>
      <c r="AG691" s="657"/>
    </row>
    <row r="692" spans="1:33" ht="10.5" customHeight="1" x14ac:dyDescent="0.2">
      <c r="A692" s="657"/>
      <c r="B692" s="657"/>
      <c r="C692" s="657"/>
      <c r="D692" s="657"/>
      <c r="E692" s="657"/>
      <c r="F692" s="657"/>
      <c r="G692" s="657"/>
      <c r="H692" s="657"/>
      <c r="I692" s="657"/>
      <c r="L692" s="657"/>
      <c r="AA692" s="659"/>
      <c r="AB692" s="659"/>
      <c r="AC692" s="659"/>
      <c r="AD692" s="659"/>
      <c r="AE692" s="659"/>
      <c r="AF692" s="659"/>
      <c r="AG692" s="657"/>
    </row>
    <row r="693" spans="1:33" ht="10.5" customHeight="1" x14ac:dyDescent="0.2">
      <c r="A693" s="657"/>
      <c r="B693" s="657"/>
      <c r="C693" s="657"/>
      <c r="D693" s="657"/>
      <c r="E693" s="657"/>
      <c r="F693" s="657"/>
      <c r="G693" s="657"/>
      <c r="H693" s="657"/>
      <c r="I693" s="657"/>
      <c r="L693" s="657"/>
      <c r="AA693" s="659"/>
      <c r="AB693" s="659"/>
      <c r="AC693" s="659"/>
      <c r="AD693" s="659"/>
      <c r="AE693" s="659"/>
      <c r="AF693" s="659"/>
      <c r="AG693" s="657"/>
    </row>
    <row r="694" spans="1:33" ht="10.5" customHeight="1" x14ac:dyDescent="0.2">
      <c r="A694" s="657"/>
      <c r="B694" s="657"/>
      <c r="C694" s="657"/>
      <c r="D694" s="657"/>
      <c r="E694" s="657"/>
      <c r="F694" s="657"/>
      <c r="G694" s="657"/>
      <c r="H694" s="657"/>
      <c r="I694" s="657"/>
      <c r="L694" s="657"/>
      <c r="AA694" s="659"/>
      <c r="AB694" s="659"/>
      <c r="AC694" s="659"/>
      <c r="AD694" s="659"/>
      <c r="AE694" s="659"/>
      <c r="AF694" s="659"/>
      <c r="AG694" s="657"/>
    </row>
    <row r="695" spans="1:33" ht="10.5" customHeight="1" x14ac:dyDescent="0.2">
      <c r="A695" s="657"/>
      <c r="B695" s="657"/>
      <c r="C695" s="657"/>
      <c r="D695" s="657"/>
      <c r="E695" s="657"/>
      <c r="F695" s="657"/>
      <c r="G695" s="657"/>
      <c r="H695" s="657"/>
      <c r="I695" s="657"/>
      <c r="L695" s="657"/>
      <c r="AA695" s="659"/>
      <c r="AB695" s="659"/>
      <c r="AC695" s="659"/>
      <c r="AD695" s="659"/>
      <c r="AE695" s="659"/>
      <c r="AF695" s="659"/>
      <c r="AG695" s="657"/>
    </row>
    <row r="696" spans="1:33" ht="10.5" customHeight="1" x14ac:dyDescent="0.2">
      <c r="A696" s="657"/>
      <c r="B696" s="657"/>
      <c r="C696" s="657"/>
      <c r="D696" s="657"/>
      <c r="E696" s="657"/>
      <c r="F696" s="657"/>
      <c r="G696" s="657"/>
      <c r="H696" s="657"/>
      <c r="I696" s="657"/>
      <c r="L696" s="657"/>
      <c r="AA696" s="659"/>
      <c r="AB696" s="659"/>
      <c r="AC696" s="659"/>
      <c r="AD696" s="659"/>
      <c r="AE696" s="659"/>
      <c r="AF696" s="659"/>
      <c r="AG696" s="657"/>
    </row>
    <row r="697" spans="1:33" ht="10.5" customHeight="1" x14ac:dyDescent="0.2">
      <c r="A697" s="657"/>
      <c r="B697" s="657"/>
      <c r="C697" s="657"/>
      <c r="D697" s="657"/>
      <c r="E697" s="657"/>
      <c r="F697" s="657"/>
      <c r="G697" s="657"/>
      <c r="H697" s="657"/>
      <c r="I697" s="657"/>
      <c r="L697" s="657"/>
      <c r="AA697" s="659"/>
      <c r="AB697" s="659"/>
      <c r="AC697" s="659"/>
      <c r="AD697" s="659"/>
      <c r="AE697" s="659"/>
      <c r="AF697" s="659"/>
      <c r="AG697" s="657"/>
    </row>
    <row r="698" spans="1:33" ht="10.5" customHeight="1" x14ac:dyDescent="0.2">
      <c r="A698" s="657"/>
      <c r="B698" s="657"/>
      <c r="C698" s="657"/>
      <c r="D698" s="657"/>
      <c r="E698" s="657"/>
      <c r="F698" s="657"/>
      <c r="G698" s="657"/>
      <c r="H698" s="657"/>
      <c r="I698" s="657"/>
      <c r="L698" s="657"/>
      <c r="AA698" s="659"/>
      <c r="AB698" s="659"/>
      <c r="AC698" s="659"/>
      <c r="AD698" s="659"/>
      <c r="AE698" s="659"/>
      <c r="AF698" s="659"/>
      <c r="AG698" s="657"/>
    </row>
    <row r="699" spans="1:33" ht="10.5" customHeight="1" x14ac:dyDescent="0.2">
      <c r="A699" s="657"/>
      <c r="B699" s="657"/>
      <c r="C699" s="657"/>
      <c r="D699" s="657"/>
      <c r="E699" s="657"/>
      <c r="F699" s="657"/>
      <c r="G699" s="657"/>
      <c r="H699" s="657"/>
      <c r="I699" s="657"/>
      <c r="L699" s="657"/>
      <c r="AA699" s="659"/>
      <c r="AB699" s="659"/>
      <c r="AC699" s="659"/>
      <c r="AD699" s="659"/>
      <c r="AE699" s="659"/>
      <c r="AF699" s="659"/>
      <c r="AG699" s="657"/>
    </row>
    <row r="700" spans="1:33" ht="10.5" customHeight="1" x14ac:dyDescent="0.2">
      <c r="A700" s="657"/>
      <c r="B700" s="657"/>
      <c r="C700" s="657"/>
      <c r="D700" s="657"/>
      <c r="E700" s="657"/>
      <c r="F700" s="657"/>
      <c r="G700" s="657"/>
      <c r="H700" s="657"/>
      <c r="I700" s="657"/>
      <c r="L700" s="657"/>
      <c r="AA700" s="659"/>
      <c r="AB700" s="659"/>
      <c r="AC700" s="659"/>
      <c r="AD700" s="659"/>
      <c r="AE700" s="659"/>
      <c r="AF700" s="659"/>
      <c r="AG700" s="657"/>
    </row>
    <row r="701" spans="1:33" ht="10.5" customHeight="1" x14ac:dyDescent="0.2">
      <c r="A701" s="657"/>
      <c r="B701" s="657"/>
      <c r="C701" s="657"/>
      <c r="D701" s="657"/>
      <c r="E701" s="657"/>
      <c r="F701" s="657"/>
      <c r="G701" s="657"/>
      <c r="H701" s="657"/>
      <c r="I701" s="657"/>
      <c r="L701" s="657"/>
      <c r="AA701" s="659"/>
      <c r="AB701" s="659"/>
      <c r="AC701" s="659"/>
      <c r="AD701" s="659"/>
      <c r="AE701" s="659"/>
      <c r="AF701" s="659"/>
      <c r="AG701" s="657"/>
    </row>
    <row r="702" spans="1:33" ht="10.5" customHeight="1" x14ac:dyDescent="0.2">
      <c r="A702" s="657"/>
      <c r="B702" s="657"/>
      <c r="C702" s="657"/>
      <c r="D702" s="657"/>
      <c r="E702" s="657"/>
      <c r="F702" s="657"/>
      <c r="G702" s="657"/>
      <c r="H702" s="657"/>
      <c r="I702" s="657"/>
      <c r="L702" s="657"/>
      <c r="AA702" s="659"/>
      <c r="AB702" s="659"/>
      <c r="AC702" s="659"/>
      <c r="AD702" s="659"/>
      <c r="AE702" s="659"/>
      <c r="AF702" s="659"/>
      <c r="AG702" s="657"/>
    </row>
    <row r="703" spans="1:33" ht="10.5" customHeight="1" x14ac:dyDescent="0.2">
      <c r="A703" s="657"/>
      <c r="B703" s="657"/>
      <c r="C703" s="657"/>
      <c r="D703" s="657"/>
      <c r="E703" s="657"/>
      <c r="F703" s="657"/>
      <c r="G703" s="657"/>
      <c r="H703" s="657"/>
      <c r="I703" s="657"/>
      <c r="L703" s="657"/>
      <c r="AA703" s="659"/>
      <c r="AB703" s="659"/>
      <c r="AC703" s="659"/>
      <c r="AD703" s="659"/>
      <c r="AE703" s="659"/>
      <c r="AF703" s="659"/>
      <c r="AG703" s="657"/>
    </row>
    <row r="704" spans="1:33" ht="10.5" customHeight="1" x14ac:dyDescent="0.2">
      <c r="A704" s="657"/>
      <c r="B704" s="657"/>
      <c r="C704" s="657"/>
      <c r="D704" s="657"/>
      <c r="E704" s="657"/>
      <c r="F704" s="657"/>
      <c r="G704" s="657"/>
      <c r="H704" s="657"/>
      <c r="I704" s="657"/>
      <c r="L704" s="657"/>
      <c r="AA704" s="659"/>
      <c r="AB704" s="659"/>
      <c r="AC704" s="659"/>
      <c r="AD704" s="659"/>
      <c r="AE704" s="659"/>
      <c r="AF704" s="659"/>
      <c r="AG704" s="657"/>
    </row>
    <row r="705" spans="1:33" ht="10.5" customHeight="1" x14ac:dyDescent="0.2">
      <c r="A705" s="657"/>
      <c r="B705" s="657"/>
      <c r="C705" s="657"/>
      <c r="D705" s="657"/>
      <c r="E705" s="657"/>
      <c r="F705" s="657"/>
      <c r="G705" s="657"/>
      <c r="H705" s="657"/>
      <c r="I705" s="657"/>
      <c r="L705" s="657"/>
      <c r="AA705" s="659"/>
      <c r="AB705" s="659"/>
      <c r="AC705" s="659"/>
      <c r="AD705" s="659"/>
      <c r="AE705" s="659"/>
      <c r="AF705" s="659"/>
      <c r="AG705" s="657"/>
    </row>
    <row r="706" spans="1:33" ht="10.5" customHeight="1" x14ac:dyDescent="0.2">
      <c r="A706" s="657"/>
      <c r="B706" s="657"/>
      <c r="C706" s="657"/>
      <c r="D706" s="657"/>
      <c r="E706" s="657"/>
      <c r="F706" s="657"/>
      <c r="G706" s="657"/>
      <c r="H706" s="657"/>
      <c r="I706" s="657"/>
      <c r="L706" s="657"/>
      <c r="AA706" s="659"/>
      <c r="AB706" s="659"/>
      <c r="AC706" s="659"/>
      <c r="AD706" s="659"/>
      <c r="AE706" s="659"/>
      <c r="AF706" s="659"/>
      <c r="AG706" s="657"/>
    </row>
    <row r="707" spans="1:33" ht="10.5" customHeight="1" x14ac:dyDescent="0.2">
      <c r="A707" s="657"/>
      <c r="B707" s="657"/>
      <c r="C707" s="657"/>
      <c r="D707" s="657"/>
      <c r="E707" s="657"/>
      <c r="F707" s="657"/>
      <c r="G707" s="657"/>
      <c r="H707" s="657"/>
      <c r="I707" s="657"/>
      <c r="L707" s="657"/>
      <c r="AA707" s="659"/>
      <c r="AB707" s="659"/>
      <c r="AC707" s="659"/>
      <c r="AD707" s="659"/>
      <c r="AE707" s="659"/>
      <c r="AF707" s="659"/>
      <c r="AG707" s="657"/>
    </row>
    <row r="708" spans="1:33" ht="10.5" customHeight="1" x14ac:dyDescent="0.2">
      <c r="A708" s="657"/>
      <c r="B708" s="657"/>
      <c r="C708" s="657"/>
      <c r="D708" s="657"/>
      <c r="E708" s="657"/>
      <c r="F708" s="657"/>
      <c r="G708" s="657"/>
      <c r="H708" s="657"/>
      <c r="I708" s="657"/>
      <c r="L708" s="657"/>
      <c r="AA708" s="659"/>
      <c r="AB708" s="659"/>
      <c r="AC708" s="659"/>
      <c r="AD708" s="659"/>
      <c r="AE708" s="659"/>
      <c r="AF708" s="659"/>
      <c r="AG708" s="657"/>
    </row>
    <row r="709" spans="1:33" ht="10.5" customHeight="1" x14ac:dyDescent="0.2">
      <c r="A709" s="657"/>
      <c r="B709" s="657"/>
      <c r="C709" s="657"/>
      <c r="D709" s="657"/>
      <c r="E709" s="657"/>
      <c r="F709" s="657"/>
      <c r="G709" s="657"/>
      <c r="H709" s="657"/>
      <c r="I709" s="657"/>
      <c r="L709" s="657"/>
      <c r="AA709" s="659"/>
      <c r="AB709" s="659"/>
      <c r="AC709" s="659"/>
      <c r="AD709" s="659"/>
      <c r="AE709" s="659"/>
      <c r="AF709" s="659"/>
      <c r="AG709" s="657"/>
    </row>
    <row r="710" spans="1:33" ht="10.5" customHeight="1" x14ac:dyDescent="0.2">
      <c r="A710" s="657"/>
      <c r="B710" s="657"/>
      <c r="C710" s="657"/>
      <c r="D710" s="657"/>
      <c r="E710" s="657"/>
      <c r="F710" s="657"/>
      <c r="G710" s="657"/>
      <c r="H710" s="657"/>
      <c r="I710" s="657"/>
      <c r="L710" s="657"/>
      <c r="AA710" s="659"/>
      <c r="AB710" s="659"/>
      <c r="AC710" s="659"/>
      <c r="AD710" s="659"/>
      <c r="AE710" s="659"/>
      <c r="AF710" s="659"/>
      <c r="AG710" s="657"/>
    </row>
    <row r="711" spans="1:33" ht="10.5" customHeight="1" x14ac:dyDescent="0.2">
      <c r="A711" s="657"/>
      <c r="B711" s="657"/>
      <c r="C711" s="657"/>
      <c r="D711" s="657"/>
      <c r="E711" s="657"/>
      <c r="F711" s="657"/>
      <c r="G711" s="657"/>
      <c r="H711" s="657"/>
      <c r="I711" s="657"/>
      <c r="L711" s="657"/>
      <c r="AA711" s="659"/>
      <c r="AB711" s="659"/>
      <c r="AC711" s="659"/>
      <c r="AD711" s="659"/>
      <c r="AE711" s="659"/>
      <c r="AF711" s="659"/>
      <c r="AG711" s="657"/>
    </row>
    <row r="712" spans="1:33" ht="10.5" customHeight="1" x14ac:dyDescent="0.2">
      <c r="A712" s="657"/>
      <c r="B712" s="657"/>
      <c r="C712" s="657"/>
      <c r="D712" s="657"/>
      <c r="E712" s="657"/>
      <c r="F712" s="657"/>
      <c r="G712" s="657"/>
      <c r="H712" s="657"/>
      <c r="I712" s="657"/>
      <c r="L712" s="657"/>
      <c r="AA712" s="659"/>
      <c r="AB712" s="659"/>
      <c r="AC712" s="659"/>
      <c r="AD712" s="659"/>
      <c r="AE712" s="659"/>
      <c r="AF712" s="659"/>
      <c r="AG712" s="657"/>
    </row>
    <row r="713" spans="1:33" ht="10.5" customHeight="1" x14ac:dyDescent="0.2">
      <c r="A713" s="657"/>
      <c r="B713" s="657"/>
      <c r="C713" s="657"/>
      <c r="D713" s="657"/>
      <c r="E713" s="657"/>
      <c r="F713" s="657"/>
      <c r="G713" s="657"/>
      <c r="H713" s="657"/>
      <c r="I713" s="657"/>
      <c r="L713" s="657"/>
      <c r="AA713" s="659"/>
      <c r="AB713" s="659"/>
      <c r="AC713" s="659"/>
      <c r="AD713" s="659"/>
      <c r="AE713" s="659"/>
      <c r="AF713" s="659"/>
      <c r="AG713" s="657"/>
    </row>
    <row r="714" spans="1:33" ht="10.5" customHeight="1" x14ac:dyDescent="0.2">
      <c r="A714" s="657"/>
      <c r="B714" s="657"/>
      <c r="C714" s="657"/>
      <c r="D714" s="657"/>
      <c r="E714" s="657"/>
      <c r="F714" s="657"/>
      <c r="G714" s="657"/>
      <c r="H714" s="657"/>
      <c r="I714" s="657"/>
      <c r="L714" s="657"/>
      <c r="AA714" s="659"/>
      <c r="AB714" s="659"/>
      <c r="AC714" s="659"/>
      <c r="AD714" s="659"/>
      <c r="AE714" s="659"/>
      <c r="AF714" s="659"/>
      <c r="AG714" s="657"/>
    </row>
    <row r="715" spans="1:33" ht="10.5" customHeight="1" x14ac:dyDescent="0.2">
      <c r="A715" s="657"/>
      <c r="B715" s="657"/>
      <c r="C715" s="657"/>
      <c r="D715" s="657"/>
      <c r="E715" s="657"/>
      <c r="F715" s="657"/>
      <c r="G715" s="657"/>
      <c r="H715" s="657"/>
      <c r="I715" s="657"/>
      <c r="L715" s="657"/>
      <c r="AA715" s="659"/>
      <c r="AB715" s="659"/>
      <c r="AC715" s="659"/>
      <c r="AD715" s="659"/>
      <c r="AE715" s="659"/>
      <c r="AF715" s="659"/>
      <c r="AG715" s="657"/>
    </row>
    <row r="716" spans="1:33" ht="10.5" customHeight="1" x14ac:dyDescent="0.2">
      <c r="A716" s="657"/>
      <c r="B716" s="657"/>
      <c r="C716" s="657"/>
      <c r="D716" s="657"/>
      <c r="E716" s="657"/>
      <c r="F716" s="657"/>
      <c r="G716" s="657"/>
      <c r="H716" s="657"/>
      <c r="I716" s="657"/>
      <c r="L716" s="657"/>
      <c r="AA716" s="659"/>
      <c r="AB716" s="659"/>
      <c r="AC716" s="659"/>
      <c r="AD716" s="659"/>
      <c r="AE716" s="659"/>
      <c r="AF716" s="659"/>
      <c r="AG716" s="657"/>
    </row>
    <row r="717" spans="1:33" ht="10.5" customHeight="1" x14ac:dyDescent="0.2">
      <c r="A717" s="657"/>
      <c r="B717" s="657"/>
      <c r="C717" s="657"/>
      <c r="D717" s="657"/>
      <c r="E717" s="657"/>
      <c r="F717" s="657"/>
      <c r="G717" s="657"/>
      <c r="H717" s="657"/>
      <c r="I717" s="657"/>
      <c r="L717" s="657"/>
      <c r="AA717" s="659"/>
      <c r="AB717" s="659"/>
      <c r="AC717" s="659"/>
      <c r="AD717" s="659"/>
      <c r="AE717" s="659"/>
      <c r="AF717" s="659"/>
      <c r="AG717" s="657"/>
    </row>
    <row r="718" spans="1:33" ht="10.5" customHeight="1" x14ac:dyDescent="0.2">
      <c r="A718" s="657"/>
      <c r="B718" s="657"/>
      <c r="C718" s="657"/>
      <c r="D718" s="657"/>
      <c r="E718" s="657"/>
      <c r="F718" s="657"/>
      <c r="G718" s="657"/>
      <c r="H718" s="657"/>
      <c r="I718" s="657"/>
      <c r="L718" s="657"/>
      <c r="AA718" s="659"/>
      <c r="AB718" s="659"/>
      <c r="AC718" s="659"/>
      <c r="AD718" s="659"/>
      <c r="AE718" s="659"/>
      <c r="AF718" s="659"/>
      <c r="AG718" s="657"/>
    </row>
    <row r="719" spans="1:33" ht="10.5" customHeight="1" x14ac:dyDescent="0.2">
      <c r="A719" s="657"/>
      <c r="B719" s="657"/>
      <c r="C719" s="657"/>
      <c r="D719" s="657"/>
      <c r="E719" s="657"/>
      <c r="F719" s="657"/>
      <c r="G719" s="657"/>
      <c r="H719" s="657"/>
      <c r="I719" s="657"/>
      <c r="L719" s="657"/>
      <c r="AA719" s="659"/>
      <c r="AB719" s="659"/>
      <c r="AC719" s="659"/>
      <c r="AD719" s="659"/>
      <c r="AE719" s="659"/>
      <c r="AF719" s="659"/>
      <c r="AG719" s="657"/>
    </row>
    <row r="720" spans="1:33" ht="10.5" customHeight="1" x14ac:dyDescent="0.2">
      <c r="A720" s="657"/>
      <c r="B720" s="657"/>
      <c r="C720" s="657"/>
      <c r="D720" s="657"/>
      <c r="E720" s="657"/>
      <c r="F720" s="657"/>
      <c r="G720" s="657"/>
      <c r="H720" s="657"/>
      <c r="I720" s="657"/>
      <c r="L720" s="657"/>
      <c r="AA720" s="659"/>
      <c r="AB720" s="659"/>
      <c r="AC720" s="659"/>
      <c r="AD720" s="659"/>
      <c r="AE720" s="659"/>
      <c r="AF720" s="659"/>
      <c r="AG720" s="657"/>
    </row>
    <row r="721" spans="1:33" ht="10.5" customHeight="1" x14ac:dyDescent="0.2">
      <c r="A721" s="657"/>
      <c r="B721" s="657"/>
      <c r="C721" s="657"/>
      <c r="D721" s="657"/>
      <c r="E721" s="657"/>
      <c r="F721" s="657"/>
      <c r="G721" s="657"/>
      <c r="H721" s="657"/>
      <c r="I721" s="657"/>
      <c r="L721" s="657"/>
      <c r="AA721" s="659"/>
      <c r="AB721" s="659"/>
      <c r="AC721" s="659"/>
      <c r="AD721" s="659"/>
      <c r="AE721" s="659"/>
      <c r="AF721" s="659"/>
      <c r="AG721" s="657"/>
    </row>
    <row r="722" spans="1:33" ht="10.5" customHeight="1" x14ac:dyDescent="0.2">
      <c r="A722" s="657"/>
      <c r="B722" s="657"/>
      <c r="C722" s="657"/>
      <c r="D722" s="657"/>
      <c r="E722" s="657"/>
      <c r="F722" s="657"/>
      <c r="G722" s="657"/>
      <c r="H722" s="657"/>
      <c r="I722" s="657"/>
      <c r="L722" s="657"/>
      <c r="AA722" s="659"/>
      <c r="AB722" s="659"/>
      <c r="AC722" s="659"/>
      <c r="AD722" s="659"/>
      <c r="AE722" s="659"/>
      <c r="AF722" s="659"/>
      <c r="AG722" s="657"/>
    </row>
    <row r="723" spans="1:33" ht="10.5" customHeight="1" x14ac:dyDescent="0.2">
      <c r="A723" s="657"/>
      <c r="B723" s="657"/>
      <c r="C723" s="657"/>
      <c r="D723" s="657"/>
      <c r="E723" s="657"/>
      <c r="F723" s="657"/>
      <c r="G723" s="657"/>
      <c r="H723" s="657"/>
      <c r="I723" s="657"/>
      <c r="L723" s="657"/>
      <c r="AA723" s="659"/>
      <c r="AB723" s="659"/>
      <c r="AC723" s="659"/>
      <c r="AD723" s="659"/>
      <c r="AE723" s="659"/>
      <c r="AF723" s="659"/>
      <c r="AG723" s="657"/>
    </row>
    <row r="724" spans="1:33" ht="10.5" customHeight="1" x14ac:dyDescent="0.2">
      <c r="A724" s="657"/>
      <c r="B724" s="657"/>
      <c r="C724" s="657"/>
      <c r="D724" s="657"/>
      <c r="E724" s="657"/>
      <c r="F724" s="657"/>
      <c r="G724" s="657"/>
      <c r="H724" s="657"/>
      <c r="I724" s="657"/>
      <c r="L724" s="657"/>
      <c r="AA724" s="659"/>
      <c r="AB724" s="659"/>
      <c r="AC724" s="659"/>
      <c r="AD724" s="659"/>
      <c r="AE724" s="659"/>
      <c r="AF724" s="659"/>
      <c r="AG724" s="657"/>
    </row>
    <row r="725" spans="1:33" ht="10.5" customHeight="1" x14ac:dyDescent="0.2">
      <c r="A725" s="657"/>
      <c r="B725" s="657"/>
      <c r="C725" s="657"/>
      <c r="D725" s="657"/>
      <c r="E725" s="657"/>
      <c r="F725" s="657"/>
      <c r="G725" s="657"/>
      <c r="H725" s="657"/>
      <c r="I725" s="657"/>
      <c r="L725" s="657"/>
      <c r="AA725" s="659"/>
      <c r="AB725" s="659"/>
      <c r="AC725" s="659"/>
      <c r="AD725" s="659"/>
      <c r="AE725" s="659"/>
      <c r="AF725" s="659"/>
      <c r="AG725" s="657"/>
    </row>
    <row r="726" spans="1:33" ht="10.5" customHeight="1" x14ac:dyDescent="0.2">
      <c r="A726" s="657"/>
      <c r="B726" s="657"/>
      <c r="C726" s="657"/>
      <c r="D726" s="657"/>
      <c r="E726" s="657"/>
      <c r="F726" s="657"/>
      <c r="G726" s="657"/>
      <c r="H726" s="657"/>
      <c r="I726" s="657"/>
      <c r="L726" s="657"/>
      <c r="AA726" s="659"/>
      <c r="AB726" s="659"/>
      <c r="AC726" s="659"/>
      <c r="AD726" s="659"/>
      <c r="AE726" s="659"/>
      <c r="AF726" s="659"/>
      <c r="AG726" s="657"/>
    </row>
    <row r="727" spans="1:33" ht="10.5" customHeight="1" x14ac:dyDescent="0.2">
      <c r="A727" s="657"/>
      <c r="B727" s="657"/>
      <c r="C727" s="657"/>
      <c r="D727" s="657"/>
      <c r="E727" s="657"/>
      <c r="F727" s="657"/>
      <c r="G727" s="657"/>
      <c r="H727" s="657"/>
      <c r="I727" s="657"/>
      <c r="L727" s="657"/>
      <c r="AA727" s="659"/>
      <c r="AB727" s="659"/>
      <c r="AC727" s="659"/>
      <c r="AD727" s="659"/>
      <c r="AE727" s="659"/>
      <c r="AF727" s="659"/>
      <c r="AG727" s="657"/>
    </row>
    <row r="728" spans="1:33" ht="10.5" customHeight="1" x14ac:dyDescent="0.2">
      <c r="A728" s="657"/>
      <c r="B728" s="657"/>
      <c r="C728" s="657"/>
      <c r="D728" s="657"/>
      <c r="E728" s="657"/>
      <c r="F728" s="657"/>
      <c r="G728" s="657"/>
      <c r="H728" s="657"/>
      <c r="I728" s="657"/>
      <c r="L728" s="657"/>
      <c r="AA728" s="659"/>
      <c r="AB728" s="659"/>
      <c r="AC728" s="659"/>
      <c r="AD728" s="659"/>
      <c r="AE728" s="659"/>
      <c r="AF728" s="659"/>
      <c r="AG728" s="657"/>
    </row>
    <row r="729" spans="1:33" ht="10.5" customHeight="1" x14ac:dyDescent="0.2">
      <c r="A729" s="657"/>
      <c r="B729" s="657"/>
      <c r="C729" s="657"/>
      <c r="D729" s="657"/>
      <c r="E729" s="657"/>
      <c r="F729" s="657"/>
      <c r="G729" s="657"/>
      <c r="H729" s="657"/>
      <c r="I729" s="657"/>
      <c r="L729" s="657"/>
      <c r="AA729" s="659"/>
      <c r="AB729" s="659"/>
      <c r="AC729" s="659"/>
      <c r="AD729" s="659"/>
      <c r="AE729" s="659"/>
      <c r="AF729" s="659"/>
      <c r="AG729" s="657"/>
    </row>
    <row r="730" spans="1:33" ht="10.5" customHeight="1" x14ac:dyDescent="0.2">
      <c r="A730" s="657"/>
      <c r="B730" s="657"/>
      <c r="C730" s="657"/>
      <c r="D730" s="657"/>
      <c r="E730" s="657"/>
      <c r="F730" s="657"/>
      <c r="G730" s="657"/>
      <c r="H730" s="657"/>
      <c r="I730" s="657"/>
      <c r="L730" s="657"/>
      <c r="AA730" s="659"/>
      <c r="AB730" s="659"/>
      <c r="AC730" s="659"/>
      <c r="AD730" s="659"/>
      <c r="AE730" s="659"/>
      <c r="AF730" s="659"/>
      <c r="AG730" s="657"/>
    </row>
    <row r="731" spans="1:33" ht="10.5" customHeight="1" x14ac:dyDescent="0.2">
      <c r="A731" s="657"/>
      <c r="B731" s="657"/>
      <c r="C731" s="657"/>
      <c r="D731" s="657"/>
      <c r="E731" s="657"/>
      <c r="F731" s="657"/>
      <c r="G731" s="657"/>
      <c r="H731" s="657"/>
      <c r="I731" s="657"/>
      <c r="L731" s="657"/>
      <c r="AA731" s="659"/>
      <c r="AB731" s="659"/>
      <c r="AC731" s="659"/>
      <c r="AD731" s="659"/>
      <c r="AE731" s="659"/>
      <c r="AF731" s="659"/>
      <c r="AG731" s="657"/>
    </row>
    <row r="732" spans="1:33" ht="10.5" customHeight="1" x14ac:dyDescent="0.2">
      <c r="A732" s="657"/>
      <c r="B732" s="657"/>
      <c r="C732" s="657"/>
      <c r="D732" s="657"/>
      <c r="E732" s="657"/>
      <c r="F732" s="657"/>
      <c r="G732" s="657"/>
      <c r="H732" s="657"/>
      <c r="I732" s="657"/>
      <c r="L732" s="657"/>
      <c r="AA732" s="659"/>
      <c r="AB732" s="659"/>
      <c r="AC732" s="659"/>
      <c r="AD732" s="659"/>
      <c r="AE732" s="659"/>
      <c r="AF732" s="659"/>
      <c r="AG732" s="657"/>
    </row>
    <row r="733" spans="1:33" ht="10.5" customHeight="1" x14ac:dyDescent="0.2">
      <c r="A733" s="657"/>
      <c r="B733" s="657"/>
      <c r="C733" s="657"/>
      <c r="D733" s="657"/>
      <c r="E733" s="657"/>
      <c r="F733" s="657"/>
      <c r="G733" s="657"/>
      <c r="H733" s="657"/>
      <c r="I733" s="657"/>
      <c r="L733" s="657"/>
      <c r="AA733" s="659"/>
      <c r="AB733" s="659"/>
      <c r="AC733" s="659"/>
      <c r="AD733" s="659"/>
      <c r="AE733" s="659"/>
      <c r="AF733" s="659"/>
      <c r="AG733" s="657"/>
    </row>
    <row r="734" spans="1:33" ht="10.5" customHeight="1" x14ac:dyDescent="0.2">
      <c r="A734" s="657"/>
      <c r="B734" s="657"/>
      <c r="C734" s="657"/>
      <c r="D734" s="657"/>
      <c r="E734" s="657"/>
      <c r="F734" s="657"/>
      <c r="G734" s="657"/>
      <c r="H734" s="657"/>
      <c r="I734" s="657"/>
      <c r="L734" s="657"/>
      <c r="AA734" s="659"/>
      <c r="AB734" s="659"/>
      <c r="AC734" s="659"/>
      <c r="AD734" s="659"/>
      <c r="AE734" s="659"/>
      <c r="AF734" s="659"/>
      <c r="AG734" s="657"/>
    </row>
    <row r="735" spans="1:33" ht="10.5" customHeight="1" x14ac:dyDescent="0.2">
      <c r="A735" s="657"/>
      <c r="B735" s="657"/>
      <c r="C735" s="657"/>
      <c r="D735" s="657"/>
      <c r="E735" s="657"/>
      <c r="F735" s="657"/>
      <c r="G735" s="657"/>
      <c r="H735" s="657"/>
      <c r="I735" s="657"/>
      <c r="L735" s="657"/>
      <c r="AA735" s="659"/>
      <c r="AB735" s="659"/>
      <c r="AC735" s="659"/>
      <c r="AD735" s="659"/>
      <c r="AE735" s="659"/>
      <c r="AF735" s="659"/>
      <c r="AG735" s="657"/>
    </row>
    <row r="736" spans="1:33" ht="10.5" customHeight="1" x14ac:dyDescent="0.2">
      <c r="A736" s="657"/>
      <c r="B736" s="657"/>
      <c r="C736" s="657"/>
      <c r="D736" s="657"/>
      <c r="E736" s="657"/>
      <c r="F736" s="657"/>
      <c r="G736" s="657"/>
      <c r="H736" s="657"/>
      <c r="I736" s="657"/>
      <c r="L736" s="657"/>
      <c r="AA736" s="659"/>
      <c r="AB736" s="659"/>
      <c r="AC736" s="659"/>
      <c r="AD736" s="659"/>
      <c r="AE736" s="659"/>
      <c r="AF736" s="659"/>
      <c r="AG736" s="657"/>
    </row>
    <row r="737" spans="1:33" ht="10.5" customHeight="1" x14ac:dyDescent="0.2">
      <c r="A737" s="657"/>
      <c r="B737" s="657"/>
      <c r="C737" s="657"/>
      <c r="D737" s="657"/>
      <c r="E737" s="657"/>
      <c r="F737" s="657"/>
      <c r="G737" s="657"/>
      <c r="H737" s="657"/>
      <c r="I737" s="657"/>
      <c r="L737" s="657"/>
      <c r="AA737" s="659"/>
      <c r="AB737" s="659"/>
      <c r="AC737" s="659"/>
      <c r="AD737" s="659"/>
      <c r="AE737" s="659"/>
      <c r="AF737" s="659"/>
      <c r="AG737" s="657"/>
    </row>
    <row r="738" spans="1:33" ht="10.5" customHeight="1" x14ac:dyDescent="0.2">
      <c r="A738" s="657"/>
      <c r="B738" s="657"/>
      <c r="C738" s="657"/>
      <c r="D738" s="657"/>
      <c r="E738" s="657"/>
      <c r="F738" s="657"/>
      <c r="G738" s="657"/>
      <c r="H738" s="657"/>
      <c r="I738" s="657"/>
      <c r="L738" s="657"/>
      <c r="AA738" s="659"/>
      <c r="AB738" s="659"/>
      <c r="AC738" s="659"/>
      <c r="AD738" s="659"/>
      <c r="AE738" s="659"/>
      <c r="AF738" s="659"/>
      <c r="AG738" s="657"/>
    </row>
    <row r="739" spans="1:33" ht="10.5" customHeight="1" x14ac:dyDescent="0.2">
      <c r="A739" s="657"/>
      <c r="B739" s="657"/>
      <c r="C739" s="657"/>
      <c r="D739" s="657"/>
      <c r="E739" s="657"/>
      <c r="F739" s="657"/>
      <c r="G739" s="657"/>
      <c r="H739" s="657"/>
      <c r="I739" s="657"/>
      <c r="L739" s="657"/>
      <c r="AA739" s="659"/>
      <c r="AB739" s="659"/>
      <c r="AC739" s="659"/>
      <c r="AD739" s="659"/>
      <c r="AE739" s="659"/>
      <c r="AF739" s="659"/>
      <c r="AG739" s="657"/>
    </row>
    <row r="740" spans="1:33" ht="10.5" customHeight="1" x14ac:dyDescent="0.2">
      <c r="A740" s="657"/>
      <c r="B740" s="657"/>
      <c r="C740" s="657"/>
      <c r="D740" s="657"/>
      <c r="E740" s="657"/>
      <c r="F740" s="657"/>
      <c r="G740" s="657"/>
      <c r="H740" s="657"/>
      <c r="I740" s="657"/>
      <c r="L740" s="657"/>
      <c r="AA740" s="659"/>
      <c r="AB740" s="659"/>
      <c r="AC740" s="659"/>
      <c r="AD740" s="659"/>
      <c r="AE740" s="659"/>
      <c r="AF740" s="659"/>
      <c r="AG740" s="657"/>
    </row>
    <row r="741" spans="1:33" ht="10.5" customHeight="1" x14ac:dyDescent="0.2">
      <c r="A741" s="657"/>
      <c r="B741" s="657"/>
      <c r="C741" s="657"/>
      <c r="D741" s="657"/>
      <c r="E741" s="657"/>
      <c r="F741" s="657"/>
      <c r="G741" s="657"/>
      <c r="H741" s="657"/>
      <c r="I741" s="657"/>
      <c r="L741" s="657"/>
      <c r="AA741" s="659"/>
      <c r="AB741" s="659"/>
      <c r="AC741" s="659"/>
      <c r="AD741" s="659"/>
      <c r="AE741" s="659"/>
      <c r="AF741" s="659"/>
      <c r="AG741" s="657"/>
    </row>
    <row r="742" spans="1:33" ht="10.5" customHeight="1" x14ac:dyDescent="0.2">
      <c r="A742" s="657"/>
      <c r="B742" s="657"/>
      <c r="C742" s="657"/>
      <c r="D742" s="657"/>
      <c r="E742" s="657"/>
      <c r="F742" s="657"/>
      <c r="G742" s="657"/>
      <c r="H742" s="657"/>
      <c r="I742" s="657"/>
      <c r="L742" s="657"/>
      <c r="AA742" s="659"/>
      <c r="AB742" s="659"/>
      <c r="AC742" s="659"/>
      <c r="AD742" s="659"/>
      <c r="AE742" s="659"/>
      <c r="AF742" s="659"/>
      <c r="AG742" s="657"/>
    </row>
    <row r="743" spans="1:33" ht="10.5" customHeight="1" x14ac:dyDescent="0.2">
      <c r="A743" s="657"/>
      <c r="B743" s="657"/>
      <c r="C743" s="657"/>
      <c r="D743" s="657"/>
      <c r="E743" s="657"/>
      <c r="F743" s="657"/>
      <c r="G743" s="657"/>
      <c r="H743" s="657"/>
      <c r="I743" s="657"/>
      <c r="L743" s="657"/>
      <c r="AA743" s="659"/>
      <c r="AB743" s="659"/>
      <c r="AC743" s="659"/>
      <c r="AD743" s="659"/>
      <c r="AE743" s="659"/>
      <c r="AF743" s="659"/>
      <c r="AG743" s="657"/>
    </row>
    <row r="744" spans="1:33" ht="10.5" customHeight="1" x14ac:dyDescent="0.2">
      <c r="A744" s="657"/>
      <c r="B744" s="657"/>
      <c r="C744" s="657"/>
      <c r="D744" s="657"/>
      <c r="E744" s="657"/>
      <c r="F744" s="657"/>
      <c r="G744" s="657"/>
      <c r="H744" s="657"/>
      <c r="I744" s="657"/>
      <c r="L744" s="657"/>
      <c r="AA744" s="659"/>
      <c r="AB744" s="659"/>
      <c r="AC744" s="659"/>
      <c r="AD744" s="659"/>
      <c r="AE744" s="659"/>
      <c r="AF744" s="659"/>
      <c r="AG744" s="657"/>
    </row>
    <row r="745" spans="1:33" ht="10.5" customHeight="1" x14ac:dyDescent="0.2">
      <c r="A745" s="657"/>
      <c r="B745" s="657"/>
      <c r="C745" s="657"/>
      <c r="D745" s="657"/>
      <c r="E745" s="657"/>
      <c r="F745" s="657"/>
      <c r="G745" s="657"/>
      <c r="H745" s="657"/>
      <c r="I745" s="657"/>
      <c r="L745" s="657"/>
      <c r="AA745" s="659"/>
      <c r="AB745" s="659"/>
      <c r="AC745" s="659"/>
      <c r="AD745" s="659"/>
      <c r="AE745" s="659"/>
      <c r="AF745" s="659"/>
      <c r="AG745" s="657"/>
    </row>
    <row r="746" spans="1:33" ht="10.5" customHeight="1" x14ac:dyDescent="0.2">
      <c r="A746" s="657"/>
      <c r="B746" s="657"/>
      <c r="C746" s="657"/>
      <c r="D746" s="657"/>
      <c r="E746" s="657"/>
      <c r="F746" s="657"/>
      <c r="G746" s="657"/>
      <c r="H746" s="657"/>
      <c r="I746" s="657"/>
      <c r="L746" s="657"/>
      <c r="AA746" s="659"/>
      <c r="AB746" s="659"/>
      <c r="AC746" s="659"/>
      <c r="AD746" s="659"/>
      <c r="AE746" s="659"/>
      <c r="AF746" s="659"/>
      <c r="AG746" s="657"/>
    </row>
    <row r="747" spans="1:33" ht="10.5" customHeight="1" x14ac:dyDescent="0.2">
      <c r="A747" s="657"/>
      <c r="B747" s="657"/>
      <c r="C747" s="657"/>
      <c r="D747" s="657"/>
      <c r="E747" s="657"/>
      <c r="F747" s="657"/>
      <c r="G747" s="657"/>
      <c r="H747" s="657"/>
      <c r="I747" s="657"/>
      <c r="L747" s="657"/>
      <c r="AA747" s="659"/>
      <c r="AB747" s="659"/>
      <c r="AC747" s="659"/>
      <c r="AD747" s="659"/>
      <c r="AE747" s="659"/>
      <c r="AF747" s="659"/>
      <c r="AG747" s="657"/>
    </row>
    <row r="748" spans="1:33" ht="10.5" customHeight="1" x14ac:dyDescent="0.2">
      <c r="A748" s="657"/>
      <c r="B748" s="657"/>
      <c r="C748" s="657"/>
      <c r="D748" s="657"/>
      <c r="E748" s="657"/>
      <c r="F748" s="657"/>
      <c r="G748" s="657"/>
      <c r="H748" s="657"/>
      <c r="I748" s="657"/>
      <c r="L748" s="657"/>
      <c r="AA748" s="659"/>
      <c r="AB748" s="659"/>
      <c r="AC748" s="659"/>
      <c r="AD748" s="659"/>
      <c r="AE748" s="659"/>
      <c r="AF748" s="659"/>
      <c r="AG748" s="657"/>
    </row>
    <row r="749" spans="1:33" ht="10.5" customHeight="1" x14ac:dyDescent="0.2">
      <c r="A749" s="657"/>
      <c r="B749" s="657"/>
      <c r="C749" s="657"/>
      <c r="D749" s="657"/>
      <c r="E749" s="657"/>
      <c r="F749" s="657"/>
      <c r="G749" s="657"/>
      <c r="H749" s="657"/>
      <c r="I749" s="657"/>
      <c r="L749" s="657"/>
      <c r="AA749" s="659"/>
      <c r="AB749" s="659"/>
      <c r="AC749" s="659"/>
      <c r="AD749" s="659"/>
      <c r="AE749" s="659"/>
      <c r="AF749" s="659"/>
      <c r="AG749" s="657"/>
    </row>
    <row r="750" spans="1:33" ht="10.5" customHeight="1" x14ac:dyDescent="0.2">
      <c r="A750" s="657"/>
      <c r="B750" s="657"/>
      <c r="C750" s="657"/>
      <c r="D750" s="657"/>
      <c r="E750" s="657"/>
      <c r="F750" s="657"/>
      <c r="G750" s="657"/>
      <c r="H750" s="657"/>
      <c r="I750" s="657"/>
      <c r="L750" s="657"/>
      <c r="AA750" s="659"/>
      <c r="AB750" s="659"/>
      <c r="AC750" s="659"/>
      <c r="AD750" s="659"/>
      <c r="AE750" s="659"/>
      <c r="AF750" s="659"/>
      <c r="AG750" s="657"/>
    </row>
    <row r="751" spans="1:33" ht="10.5" customHeight="1" x14ac:dyDescent="0.2">
      <c r="A751" s="657"/>
      <c r="B751" s="657"/>
      <c r="C751" s="657"/>
      <c r="D751" s="657"/>
      <c r="E751" s="657"/>
      <c r="F751" s="657"/>
      <c r="G751" s="657"/>
      <c r="H751" s="657"/>
      <c r="I751" s="657"/>
      <c r="L751" s="657"/>
      <c r="AA751" s="659"/>
      <c r="AB751" s="659"/>
      <c r="AC751" s="659"/>
      <c r="AD751" s="659"/>
      <c r="AE751" s="659"/>
      <c r="AF751" s="659"/>
      <c r="AG751" s="657"/>
    </row>
    <row r="752" spans="1:33" ht="10.5" customHeight="1" x14ac:dyDescent="0.2">
      <c r="A752" s="657"/>
      <c r="B752" s="657"/>
      <c r="C752" s="657"/>
      <c r="D752" s="657"/>
      <c r="E752" s="657"/>
      <c r="F752" s="657"/>
      <c r="G752" s="657"/>
      <c r="H752" s="657"/>
      <c r="I752" s="657"/>
      <c r="L752" s="657"/>
      <c r="AA752" s="659"/>
      <c r="AB752" s="659"/>
      <c r="AC752" s="659"/>
      <c r="AD752" s="659"/>
      <c r="AE752" s="659"/>
      <c r="AF752" s="659"/>
      <c r="AG752" s="657"/>
    </row>
    <row r="753" spans="1:33" ht="10.5" customHeight="1" x14ac:dyDescent="0.2">
      <c r="A753" s="657"/>
      <c r="B753" s="657"/>
      <c r="C753" s="657"/>
      <c r="D753" s="657"/>
      <c r="E753" s="657"/>
      <c r="F753" s="657"/>
      <c r="G753" s="657"/>
      <c r="H753" s="657"/>
      <c r="I753" s="657"/>
      <c r="L753" s="657"/>
      <c r="AA753" s="659"/>
      <c r="AB753" s="659"/>
      <c r="AC753" s="659"/>
      <c r="AD753" s="659"/>
      <c r="AE753" s="659"/>
      <c r="AF753" s="659"/>
      <c r="AG753" s="657"/>
    </row>
    <row r="754" spans="1:33" ht="10.5" customHeight="1" x14ac:dyDescent="0.2">
      <c r="A754" s="657"/>
      <c r="B754" s="657"/>
      <c r="C754" s="657"/>
      <c r="D754" s="657"/>
      <c r="E754" s="657"/>
      <c r="F754" s="657"/>
      <c r="G754" s="657"/>
      <c r="H754" s="657"/>
      <c r="I754" s="657"/>
      <c r="L754" s="657"/>
      <c r="AA754" s="659"/>
      <c r="AB754" s="659"/>
      <c r="AC754" s="659"/>
      <c r="AD754" s="659"/>
      <c r="AE754" s="659"/>
      <c r="AF754" s="659"/>
      <c r="AG754" s="657"/>
    </row>
    <row r="755" spans="1:33" ht="10.5" customHeight="1" x14ac:dyDescent="0.2">
      <c r="A755" s="657"/>
      <c r="B755" s="657"/>
      <c r="C755" s="657"/>
      <c r="D755" s="657"/>
      <c r="E755" s="657"/>
      <c r="F755" s="657"/>
      <c r="G755" s="657"/>
      <c r="H755" s="657"/>
      <c r="I755" s="657"/>
      <c r="L755" s="657"/>
      <c r="AA755" s="659"/>
      <c r="AB755" s="659"/>
      <c r="AC755" s="659"/>
      <c r="AD755" s="659"/>
      <c r="AE755" s="659"/>
      <c r="AF755" s="659"/>
      <c r="AG755" s="657"/>
    </row>
    <row r="756" spans="1:33" ht="10.5" customHeight="1" x14ac:dyDescent="0.2">
      <c r="A756" s="657"/>
      <c r="B756" s="657"/>
      <c r="C756" s="657"/>
      <c r="D756" s="657"/>
      <c r="E756" s="657"/>
      <c r="F756" s="657"/>
      <c r="G756" s="657"/>
      <c r="H756" s="657"/>
      <c r="I756" s="657"/>
      <c r="L756" s="657"/>
      <c r="AA756" s="659"/>
      <c r="AB756" s="659"/>
      <c r="AC756" s="659"/>
      <c r="AD756" s="659"/>
      <c r="AE756" s="659"/>
      <c r="AF756" s="659"/>
      <c r="AG756" s="657"/>
    </row>
    <row r="757" spans="1:33" ht="10.5" customHeight="1" x14ac:dyDescent="0.2">
      <c r="A757" s="657"/>
      <c r="B757" s="657"/>
      <c r="C757" s="657"/>
      <c r="D757" s="657"/>
      <c r="E757" s="657"/>
      <c r="F757" s="657"/>
      <c r="G757" s="657"/>
      <c r="H757" s="657"/>
      <c r="I757" s="657"/>
      <c r="L757" s="657"/>
      <c r="AA757" s="659"/>
      <c r="AB757" s="659"/>
      <c r="AC757" s="659"/>
      <c r="AD757" s="659"/>
      <c r="AE757" s="659"/>
      <c r="AF757" s="659"/>
      <c r="AG757" s="657"/>
    </row>
    <row r="758" spans="1:33" ht="10.5" customHeight="1" x14ac:dyDescent="0.2">
      <c r="A758" s="657"/>
      <c r="B758" s="657"/>
      <c r="C758" s="657"/>
      <c r="D758" s="657"/>
      <c r="E758" s="657"/>
      <c r="F758" s="657"/>
      <c r="G758" s="657"/>
      <c r="H758" s="657"/>
      <c r="I758" s="657"/>
      <c r="L758" s="657"/>
      <c r="AA758" s="659"/>
      <c r="AB758" s="659"/>
      <c r="AC758" s="659"/>
      <c r="AD758" s="659"/>
      <c r="AE758" s="659"/>
      <c r="AF758" s="659"/>
      <c r="AG758" s="657"/>
    </row>
    <row r="759" spans="1:33" ht="10.5" customHeight="1" x14ac:dyDescent="0.2">
      <c r="A759" s="657"/>
      <c r="B759" s="657"/>
      <c r="C759" s="657"/>
      <c r="D759" s="657"/>
      <c r="E759" s="657"/>
      <c r="F759" s="657"/>
      <c r="G759" s="657"/>
      <c r="H759" s="657"/>
      <c r="I759" s="657"/>
      <c r="L759" s="657"/>
      <c r="AA759" s="659"/>
      <c r="AB759" s="659"/>
      <c r="AC759" s="659"/>
      <c r="AD759" s="659"/>
      <c r="AE759" s="659"/>
      <c r="AF759" s="659"/>
      <c r="AG759" s="657"/>
    </row>
    <row r="760" spans="1:33" ht="10.5" customHeight="1" x14ac:dyDescent="0.2">
      <c r="A760" s="657"/>
      <c r="B760" s="657"/>
      <c r="C760" s="657"/>
      <c r="D760" s="657"/>
      <c r="E760" s="657"/>
      <c r="F760" s="657"/>
      <c r="G760" s="657"/>
      <c r="H760" s="657"/>
      <c r="I760" s="657"/>
      <c r="L760" s="657"/>
      <c r="AA760" s="659"/>
      <c r="AB760" s="659"/>
      <c r="AC760" s="659"/>
      <c r="AD760" s="659"/>
      <c r="AE760" s="659"/>
      <c r="AF760" s="659"/>
      <c r="AG760" s="657"/>
    </row>
    <row r="761" spans="1:33" ht="10.5" customHeight="1" x14ac:dyDescent="0.2">
      <c r="A761" s="657"/>
      <c r="B761" s="657"/>
      <c r="C761" s="657"/>
      <c r="D761" s="657"/>
      <c r="E761" s="657"/>
      <c r="F761" s="657"/>
      <c r="G761" s="657"/>
      <c r="H761" s="657"/>
      <c r="I761" s="657"/>
      <c r="L761" s="657"/>
      <c r="AA761" s="659"/>
      <c r="AB761" s="659"/>
      <c r="AC761" s="659"/>
      <c r="AD761" s="659"/>
      <c r="AE761" s="659"/>
      <c r="AF761" s="659"/>
      <c r="AG761" s="657"/>
    </row>
    <row r="762" spans="1:33" ht="10.5" customHeight="1" x14ac:dyDescent="0.2">
      <c r="A762" s="657"/>
      <c r="B762" s="657"/>
      <c r="C762" s="657"/>
      <c r="D762" s="657"/>
      <c r="E762" s="657"/>
      <c r="F762" s="657"/>
      <c r="G762" s="657"/>
      <c r="H762" s="657"/>
      <c r="I762" s="657"/>
      <c r="L762" s="657"/>
      <c r="AA762" s="659"/>
      <c r="AB762" s="659"/>
      <c r="AC762" s="659"/>
      <c r="AD762" s="659"/>
      <c r="AE762" s="659"/>
      <c r="AF762" s="659"/>
      <c r="AG762" s="657"/>
    </row>
    <row r="763" spans="1:33" ht="10.5" customHeight="1" x14ac:dyDescent="0.2">
      <c r="A763" s="657"/>
      <c r="B763" s="657"/>
      <c r="C763" s="657"/>
      <c r="D763" s="657"/>
      <c r="E763" s="657"/>
      <c r="F763" s="657"/>
      <c r="G763" s="657"/>
      <c r="H763" s="657"/>
      <c r="I763" s="657"/>
      <c r="L763" s="657"/>
      <c r="AA763" s="659"/>
      <c r="AB763" s="659"/>
      <c r="AC763" s="659"/>
      <c r="AD763" s="659"/>
      <c r="AE763" s="659"/>
      <c r="AF763" s="659"/>
      <c r="AG763" s="657"/>
    </row>
    <row r="764" spans="1:33" ht="10.5" customHeight="1" x14ac:dyDescent="0.2">
      <c r="A764" s="657"/>
      <c r="B764" s="657"/>
      <c r="C764" s="657"/>
      <c r="D764" s="657"/>
      <c r="E764" s="657"/>
      <c r="F764" s="657"/>
      <c r="G764" s="657"/>
      <c r="H764" s="657"/>
      <c r="I764" s="657"/>
      <c r="L764" s="657"/>
      <c r="AA764" s="659"/>
      <c r="AB764" s="659"/>
      <c r="AC764" s="659"/>
      <c r="AD764" s="659"/>
      <c r="AE764" s="659"/>
      <c r="AF764" s="659"/>
      <c r="AG764" s="657"/>
    </row>
    <row r="765" spans="1:33" ht="10.5" customHeight="1" x14ac:dyDescent="0.2">
      <c r="A765" s="657"/>
      <c r="B765" s="657"/>
      <c r="C765" s="657"/>
      <c r="D765" s="657"/>
      <c r="E765" s="657"/>
      <c r="F765" s="657"/>
      <c r="G765" s="657"/>
      <c r="H765" s="657"/>
      <c r="I765" s="657"/>
      <c r="L765" s="657"/>
      <c r="AA765" s="659"/>
      <c r="AB765" s="659"/>
      <c r="AC765" s="659"/>
      <c r="AD765" s="659"/>
      <c r="AE765" s="659"/>
      <c r="AF765" s="659"/>
      <c r="AG765" s="657"/>
    </row>
    <row r="766" spans="1:33" ht="10.5" customHeight="1" x14ac:dyDescent="0.2">
      <c r="A766" s="657"/>
      <c r="B766" s="657"/>
      <c r="C766" s="657"/>
      <c r="D766" s="657"/>
      <c r="E766" s="657"/>
      <c r="F766" s="657"/>
      <c r="G766" s="657"/>
      <c r="H766" s="657"/>
      <c r="I766" s="657"/>
      <c r="L766" s="657"/>
      <c r="AA766" s="659"/>
      <c r="AB766" s="659"/>
      <c r="AC766" s="659"/>
      <c r="AD766" s="659"/>
      <c r="AE766" s="659"/>
      <c r="AF766" s="659"/>
      <c r="AG766" s="657"/>
    </row>
    <row r="767" spans="1:33" ht="10.5" customHeight="1" x14ac:dyDescent="0.2">
      <c r="A767" s="657"/>
      <c r="B767" s="657"/>
      <c r="C767" s="657"/>
      <c r="D767" s="657"/>
      <c r="E767" s="657"/>
      <c r="F767" s="657"/>
      <c r="G767" s="657"/>
      <c r="H767" s="657"/>
      <c r="I767" s="657"/>
      <c r="L767" s="657"/>
      <c r="AA767" s="659"/>
      <c r="AB767" s="659"/>
      <c r="AC767" s="659"/>
      <c r="AD767" s="659"/>
      <c r="AE767" s="659"/>
      <c r="AF767" s="659"/>
      <c r="AG767" s="657"/>
    </row>
    <row r="768" spans="1:33" ht="10.5" customHeight="1" x14ac:dyDescent="0.2">
      <c r="A768" s="657"/>
      <c r="B768" s="657"/>
      <c r="C768" s="657"/>
      <c r="D768" s="657"/>
      <c r="E768" s="657"/>
      <c r="F768" s="657"/>
      <c r="G768" s="657"/>
      <c r="H768" s="657"/>
      <c r="I768" s="657"/>
      <c r="L768" s="657"/>
      <c r="AA768" s="659"/>
      <c r="AB768" s="659"/>
      <c r="AC768" s="659"/>
      <c r="AD768" s="659"/>
      <c r="AE768" s="659"/>
      <c r="AF768" s="659"/>
      <c r="AG768" s="657"/>
    </row>
    <row r="769" spans="1:33" ht="10.5" customHeight="1" x14ac:dyDescent="0.2">
      <c r="A769" s="657"/>
      <c r="B769" s="657"/>
      <c r="C769" s="657"/>
      <c r="D769" s="657"/>
      <c r="E769" s="657"/>
      <c r="F769" s="657"/>
      <c r="G769" s="657"/>
      <c r="H769" s="657"/>
      <c r="I769" s="657"/>
      <c r="L769" s="657"/>
      <c r="AA769" s="659"/>
      <c r="AB769" s="659"/>
      <c r="AC769" s="659"/>
      <c r="AD769" s="659"/>
      <c r="AE769" s="659"/>
      <c r="AF769" s="659"/>
      <c r="AG769" s="657"/>
    </row>
    <row r="770" spans="1:33" ht="10.5" customHeight="1" x14ac:dyDescent="0.2">
      <c r="A770" s="657"/>
      <c r="B770" s="657"/>
      <c r="C770" s="657"/>
      <c r="D770" s="657"/>
      <c r="E770" s="657"/>
      <c r="F770" s="657"/>
      <c r="G770" s="657"/>
      <c r="H770" s="657"/>
      <c r="I770" s="657"/>
      <c r="L770" s="657"/>
      <c r="AA770" s="659"/>
      <c r="AB770" s="659"/>
      <c r="AC770" s="659"/>
      <c r="AD770" s="659"/>
      <c r="AE770" s="659"/>
      <c r="AF770" s="659"/>
      <c r="AG770" s="657"/>
    </row>
    <row r="771" spans="1:33" ht="10.5" customHeight="1" x14ac:dyDescent="0.2">
      <c r="A771" s="657"/>
      <c r="B771" s="657"/>
      <c r="C771" s="657"/>
      <c r="D771" s="657"/>
      <c r="E771" s="657"/>
      <c r="F771" s="657"/>
      <c r="G771" s="657"/>
      <c r="H771" s="657"/>
      <c r="I771" s="657"/>
      <c r="L771" s="657"/>
      <c r="AA771" s="659"/>
      <c r="AB771" s="659"/>
      <c r="AC771" s="659"/>
      <c r="AD771" s="659"/>
      <c r="AE771" s="659"/>
      <c r="AF771" s="659"/>
      <c r="AG771" s="657"/>
    </row>
    <row r="772" spans="1:33" ht="10.5" customHeight="1" x14ac:dyDescent="0.2">
      <c r="A772" s="657"/>
      <c r="B772" s="657"/>
      <c r="C772" s="657"/>
      <c r="D772" s="657"/>
      <c r="E772" s="657"/>
      <c r="F772" s="657"/>
      <c r="G772" s="657"/>
      <c r="H772" s="657"/>
      <c r="I772" s="657"/>
      <c r="L772" s="657"/>
      <c r="AA772" s="659"/>
      <c r="AB772" s="659"/>
      <c r="AC772" s="659"/>
      <c r="AD772" s="659"/>
      <c r="AE772" s="659"/>
      <c r="AF772" s="659"/>
      <c r="AG772" s="657"/>
    </row>
    <row r="773" spans="1:33" ht="10.5" customHeight="1" x14ac:dyDescent="0.2">
      <c r="A773" s="657"/>
      <c r="B773" s="657"/>
      <c r="C773" s="657"/>
      <c r="D773" s="657"/>
      <c r="E773" s="657"/>
      <c r="F773" s="657"/>
      <c r="G773" s="657"/>
      <c r="H773" s="657"/>
      <c r="I773" s="657"/>
      <c r="L773" s="657"/>
      <c r="AA773" s="659"/>
      <c r="AB773" s="659"/>
      <c r="AC773" s="659"/>
      <c r="AD773" s="659"/>
      <c r="AE773" s="659"/>
      <c r="AF773" s="659"/>
      <c r="AG773" s="657"/>
    </row>
    <row r="774" spans="1:33" ht="10.5" customHeight="1" x14ac:dyDescent="0.2">
      <c r="A774" s="657"/>
      <c r="B774" s="657"/>
      <c r="C774" s="657"/>
      <c r="D774" s="657"/>
      <c r="E774" s="657"/>
      <c r="F774" s="657"/>
      <c r="G774" s="657"/>
      <c r="H774" s="657"/>
      <c r="I774" s="657"/>
      <c r="L774" s="657"/>
      <c r="AA774" s="659"/>
      <c r="AB774" s="659"/>
      <c r="AC774" s="659"/>
      <c r="AD774" s="659"/>
      <c r="AE774" s="659"/>
      <c r="AF774" s="659"/>
      <c r="AG774" s="657"/>
    </row>
    <row r="775" spans="1:33" ht="10.5" customHeight="1" x14ac:dyDescent="0.2">
      <c r="A775" s="657"/>
      <c r="B775" s="657"/>
      <c r="C775" s="657"/>
      <c r="D775" s="657"/>
      <c r="E775" s="657"/>
      <c r="F775" s="657"/>
      <c r="G775" s="657"/>
      <c r="H775" s="657"/>
      <c r="I775" s="657"/>
      <c r="L775" s="657"/>
      <c r="AA775" s="659"/>
      <c r="AB775" s="659"/>
      <c r="AC775" s="659"/>
      <c r="AD775" s="659"/>
      <c r="AE775" s="659"/>
      <c r="AF775" s="659"/>
      <c r="AG775" s="657"/>
    </row>
    <row r="776" spans="1:33" ht="10.5" customHeight="1" x14ac:dyDescent="0.2">
      <c r="A776" s="657"/>
      <c r="B776" s="657"/>
      <c r="C776" s="657"/>
      <c r="D776" s="657"/>
      <c r="E776" s="657"/>
      <c r="F776" s="657"/>
      <c r="G776" s="657"/>
      <c r="H776" s="657"/>
      <c r="I776" s="657"/>
      <c r="L776" s="657"/>
      <c r="AA776" s="659"/>
      <c r="AB776" s="659"/>
      <c r="AC776" s="659"/>
      <c r="AD776" s="659"/>
      <c r="AE776" s="659"/>
      <c r="AF776" s="659"/>
      <c r="AG776" s="657"/>
    </row>
    <row r="777" spans="1:33" ht="10.5" customHeight="1" x14ac:dyDescent="0.2">
      <c r="A777" s="657"/>
      <c r="B777" s="657"/>
      <c r="C777" s="657"/>
      <c r="D777" s="657"/>
      <c r="E777" s="657"/>
      <c r="F777" s="657"/>
      <c r="G777" s="657"/>
      <c r="H777" s="657"/>
      <c r="I777" s="657"/>
      <c r="L777" s="657"/>
      <c r="AA777" s="659"/>
      <c r="AB777" s="659"/>
      <c r="AC777" s="659"/>
      <c r="AD777" s="659"/>
      <c r="AE777" s="659"/>
      <c r="AF777" s="659"/>
      <c r="AG777" s="657"/>
    </row>
    <row r="778" spans="1:33" ht="10.5" customHeight="1" x14ac:dyDescent="0.2">
      <c r="A778" s="657"/>
      <c r="B778" s="657"/>
      <c r="C778" s="657"/>
      <c r="D778" s="657"/>
      <c r="E778" s="657"/>
      <c r="F778" s="657"/>
      <c r="G778" s="657"/>
      <c r="H778" s="657"/>
      <c r="I778" s="657"/>
      <c r="L778" s="657"/>
      <c r="AA778" s="659"/>
      <c r="AB778" s="659"/>
      <c r="AC778" s="659"/>
      <c r="AD778" s="659"/>
      <c r="AE778" s="659"/>
      <c r="AF778" s="659"/>
      <c r="AG778" s="657"/>
    </row>
    <row r="779" spans="1:33" ht="10.5" customHeight="1" x14ac:dyDescent="0.2">
      <c r="A779" s="657"/>
      <c r="B779" s="657"/>
      <c r="C779" s="657"/>
      <c r="D779" s="657"/>
      <c r="E779" s="657"/>
      <c r="F779" s="657"/>
      <c r="G779" s="657"/>
      <c r="H779" s="657"/>
      <c r="I779" s="657"/>
      <c r="L779" s="657"/>
      <c r="AA779" s="659"/>
      <c r="AB779" s="659"/>
      <c r="AC779" s="659"/>
      <c r="AD779" s="659"/>
      <c r="AE779" s="659"/>
      <c r="AF779" s="659"/>
      <c r="AG779" s="657"/>
    </row>
    <row r="780" spans="1:33" ht="10.5" customHeight="1" x14ac:dyDescent="0.2">
      <c r="A780" s="657"/>
      <c r="B780" s="657"/>
      <c r="C780" s="657"/>
      <c r="D780" s="657"/>
      <c r="E780" s="657"/>
      <c r="F780" s="657"/>
      <c r="G780" s="657"/>
      <c r="H780" s="657"/>
      <c r="I780" s="657"/>
      <c r="L780" s="657"/>
      <c r="AA780" s="659"/>
      <c r="AB780" s="659"/>
      <c r="AC780" s="659"/>
      <c r="AD780" s="659"/>
      <c r="AE780" s="659"/>
      <c r="AF780" s="659"/>
      <c r="AG780" s="657"/>
    </row>
    <row r="781" spans="1:33" ht="10.5" customHeight="1" x14ac:dyDescent="0.2">
      <c r="A781" s="657"/>
      <c r="B781" s="657"/>
      <c r="C781" s="657"/>
      <c r="D781" s="657"/>
      <c r="E781" s="657"/>
      <c r="F781" s="657"/>
      <c r="G781" s="657"/>
      <c r="H781" s="657"/>
      <c r="I781" s="657"/>
      <c r="L781" s="657"/>
      <c r="AA781" s="659"/>
      <c r="AB781" s="659"/>
      <c r="AC781" s="659"/>
      <c r="AD781" s="659"/>
      <c r="AE781" s="659"/>
      <c r="AF781" s="659"/>
      <c r="AG781" s="657"/>
    </row>
    <row r="782" spans="1:33" ht="10.5" customHeight="1" x14ac:dyDescent="0.2">
      <c r="A782" s="657"/>
      <c r="B782" s="657"/>
      <c r="C782" s="657"/>
      <c r="D782" s="657"/>
      <c r="E782" s="657"/>
      <c r="F782" s="657"/>
      <c r="G782" s="657"/>
      <c r="H782" s="657"/>
      <c r="I782" s="657"/>
      <c r="L782" s="657"/>
      <c r="AA782" s="659"/>
      <c r="AB782" s="659"/>
      <c r="AC782" s="659"/>
      <c r="AD782" s="659"/>
      <c r="AE782" s="659"/>
      <c r="AF782" s="659"/>
      <c r="AG782" s="657"/>
    </row>
    <row r="783" spans="1:33" ht="10.5" customHeight="1" x14ac:dyDescent="0.2">
      <c r="A783" s="657"/>
      <c r="B783" s="657"/>
      <c r="C783" s="657"/>
      <c r="D783" s="657"/>
      <c r="E783" s="657"/>
      <c r="F783" s="657"/>
      <c r="G783" s="657"/>
      <c r="H783" s="657"/>
      <c r="I783" s="657"/>
      <c r="L783" s="657"/>
      <c r="AA783" s="659"/>
      <c r="AB783" s="659"/>
      <c r="AC783" s="659"/>
      <c r="AD783" s="659"/>
      <c r="AE783" s="659"/>
      <c r="AF783" s="659"/>
      <c r="AG783" s="657"/>
    </row>
    <row r="784" spans="1:33" ht="10.5" customHeight="1" x14ac:dyDescent="0.2">
      <c r="A784" s="657"/>
      <c r="B784" s="657"/>
      <c r="C784" s="657"/>
      <c r="D784" s="657"/>
      <c r="E784" s="657"/>
      <c r="F784" s="657"/>
      <c r="G784" s="657"/>
      <c r="H784" s="657"/>
      <c r="I784" s="657"/>
      <c r="L784" s="657"/>
      <c r="AA784" s="659"/>
      <c r="AB784" s="659"/>
      <c r="AC784" s="659"/>
      <c r="AD784" s="659"/>
      <c r="AE784" s="659"/>
      <c r="AF784" s="659"/>
      <c r="AG784" s="657"/>
    </row>
    <row r="785" spans="1:33" ht="10.5" customHeight="1" x14ac:dyDescent="0.2">
      <c r="A785" s="657"/>
      <c r="B785" s="657"/>
      <c r="C785" s="657"/>
      <c r="D785" s="657"/>
      <c r="E785" s="657"/>
      <c r="F785" s="657"/>
      <c r="G785" s="657"/>
      <c r="H785" s="657"/>
      <c r="I785" s="657"/>
      <c r="L785" s="657"/>
      <c r="AA785" s="659"/>
      <c r="AB785" s="659"/>
      <c r="AC785" s="659"/>
      <c r="AD785" s="659"/>
      <c r="AE785" s="659"/>
      <c r="AF785" s="659"/>
      <c r="AG785" s="657"/>
    </row>
    <row r="786" spans="1:33" ht="10.5" customHeight="1" x14ac:dyDescent="0.2">
      <c r="A786" s="657"/>
      <c r="B786" s="657"/>
      <c r="C786" s="657"/>
      <c r="D786" s="657"/>
      <c r="E786" s="657"/>
      <c r="F786" s="657"/>
      <c r="G786" s="657"/>
      <c r="H786" s="657"/>
      <c r="I786" s="657"/>
      <c r="L786" s="657"/>
      <c r="AA786" s="659"/>
      <c r="AB786" s="659"/>
      <c r="AC786" s="659"/>
      <c r="AD786" s="659"/>
      <c r="AE786" s="659"/>
      <c r="AF786" s="659"/>
      <c r="AG786" s="657"/>
    </row>
    <row r="787" spans="1:33" ht="10.5" customHeight="1" x14ac:dyDescent="0.2">
      <c r="A787" s="657"/>
      <c r="B787" s="657"/>
      <c r="C787" s="657"/>
      <c r="D787" s="657"/>
      <c r="E787" s="657"/>
      <c r="F787" s="657"/>
      <c r="G787" s="657"/>
      <c r="H787" s="657"/>
      <c r="I787" s="657"/>
      <c r="L787" s="657"/>
      <c r="AA787" s="659"/>
      <c r="AB787" s="659"/>
      <c r="AC787" s="659"/>
      <c r="AD787" s="659"/>
      <c r="AE787" s="659"/>
      <c r="AF787" s="659"/>
      <c r="AG787" s="657"/>
    </row>
    <row r="788" spans="1:33" ht="10.5" customHeight="1" x14ac:dyDescent="0.2">
      <c r="A788" s="657"/>
      <c r="B788" s="657"/>
      <c r="C788" s="657"/>
      <c r="D788" s="657"/>
      <c r="E788" s="657"/>
      <c r="F788" s="657"/>
      <c r="G788" s="657"/>
      <c r="H788" s="657"/>
      <c r="I788" s="657"/>
      <c r="L788" s="657"/>
      <c r="AA788" s="659"/>
      <c r="AB788" s="659"/>
      <c r="AC788" s="659"/>
      <c r="AD788" s="659"/>
      <c r="AE788" s="659"/>
      <c r="AF788" s="659"/>
      <c r="AG788" s="657"/>
    </row>
    <row r="789" spans="1:33" ht="10.5" customHeight="1" x14ac:dyDescent="0.2">
      <c r="A789" s="657"/>
      <c r="B789" s="657"/>
      <c r="C789" s="657"/>
      <c r="D789" s="657"/>
      <c r="E789" s="657"/>
      <c r="F789" s="657"/>
      <c r="G789" s="657"/>
      <c r="H789" s="657"/>
      <c r="I789" s="657"/>
      <c r="L789" s="657"/>
      <c r="AA789" s="659"/>
      <c r="AB789" s="659"/>
      <c r="AC789" s="659"/>
      <c r="AD789" s="659"/>
      <c r="AE789" s="659"/>
      <c r="AF789" s="659"/>
      <c r="AG789" s="657"/>
    </row>
    <row r="790" spans="1:33" ht="10.5" customHeight="1" x14ac:dyDescent="0.2">
      <c r="A790" s="657"/>
      <c r="B790" s="657"/>
      <c r="C790" s="657"/>
      <c r="D790" s="657"/>
      <c r="E790" s="657"/>
      <c r="F790" s="657"/>
      <c r="G790" s="657"/>
      <c r="H790" s="657"/>
      <c r="I790" s="657"/>
      <c r="L790" s="657"/>
      <c r="AA790" s="659"/>
      <c r="AB790" s="659"/>
      <c r="AC790" s="659"/>
      <c r="AD790" s="659"/>
      <c r="AE790" s="659"/>
      <c r="AF790" s="659"/>
      <c r="AG790" s="657"/>
    </row>
    <row r="791" spans="1:33" ht="10.5" customHeight="1" x14ac:dyDescent="0.2">
      <c r="A791" s="657"/>
      <c r="B791" s="657"/>
      <c r="C791" s="657"/>
      <c r="D791" s="657"/>
      <c r="E791" s="657"/>
      <c r="F791" s="657"/>
      <c r="G791" s="657"/>
      <c r="H791" s="657"/>
      <c r="I791" s="657"/>
      <c r="L791" s="657"/>
      <c r="AA791" s="659"/>
      <c r="AB791" s="659"/>
      <c r="AC791" s="659"/>
      <c r="AD791" s="659"/>
      <c r="AE791" s="659"/>
      <c r="AF791" s="659"/>
      <c r="AG791" s="657"/>
    </row>
    <row r="792" spans="1:33" ht="10.5" customHeight="1" x14ac:dyDescent="0.2">
      <c r="A792" s="657"/>
      <c r="B792" s="657"/>
      <c r="C792" s="657"/>
      <c r="D792" s="657"/>
      <c r="E792" s="657"/>
      <c r="F792" s="657"/>
      <c r="G792" s="657"/>
      <c r="H792" s="657"/>
      <c r="I792" s="657"/>
      <c r="L792" s="657"/>
      <c r="AA792" s="659"/>
      <c r="AB792" s="659"/>
      <c r="AC792" s="659"/>
      <c r="AD792" s="659"/>
      <c r="AE792" s="659"/>
      <c r="AF792" s="659"/>
      <c r="AG792" s="657"/>
    </row>
    <row r="793" spans="1:33" ht="10.5" customHeight="1" x14ac:dyDescent="0.2">
      <c r="A793" s="657"/>
      <c r="B793" s="657"/>
      <c r="C793" s="657"/>
      <c r="D793" s="657"/>
      <c r="E793" s="657"/>
      <c r="F793" s="657"/>
      <c r="G793" s="657"/>
      <c r="H793" s="657"/>
      <c r="I793" s="657"/>
      <c r="L793" s="657"/>
      <c r="AA793" s="659"/>
      <c r="AB793" s="659"/>
      <c r="AC793" s="659"/>
      <c r="AD793" s="659"/>
      <c r="AE793" s="659"/>
      <c r="AF793" s="659"/>
      <c r="AG793" s="657"/>
    </row>
    <row r="794" spans="1:33" ht="10.5" customHeight="1" x14ac:dyDescent="0.2">
      <c r="A794" s="657"/>
      <c r="B794" s="657"/>
      <c r="C794" s="657"/>
      <c r="D794" s="657"/>
      <c r="E794" s="657"/>
      <c r="F794" s="657"/>
      <c r="G794" s="657"/>
      <c r="H794" s="657"/>
      <c r="I794" s="657"/>
      <c r="L794" s="657"/>
      <c r="AA794" s="659"/>
      <c r="AB794" s="659"/>
      <c r="AC794" s="659"/>
      <c r="AD794" s="659"/>
      <c r="AE794" s="659"/>
      <c r="AF794" s="659"/>
      <c r="AG794" s="657"/>
    </row>
    <row r="795" spans="1:33" ht="10.5" customHeight="1" x14ac:dyDescent="0.2">
      <c r="A795" s="657"/>
      <c r="B795" s="657"/>
      <c r="C795" s="657"/>
      <c r="D795" s="657"/>
      <c r="E795" s="657"/>
      <c r="F795" s="657"/>
      <c r="G795" s="657"/>
      <c r="H795" s="657"/>
      <c r="I795" s="657"/>
      <c r="L795" s="657"/>
      <c r="AA795" s="659"/>
      <c r="AB795" s="659"/>
      <c r="AC795" s="659"/>
      <c r="AD795" s="659"/>
      <c r="AE795" s="659"/>
      <c r="AF795" s="659"/>
      <c r="AG795" s="657"/>
    </row>
    <row r="796" spans="1:33" ht="10.5" customHeight="1" x14ac:dyDescent="0.2">
      <c r="A796" s="657"/>
      <c r="B796" s="657"/>
      <c r="C796" s="657"/>
      <c r="D796" s="657"/>
      <c r="E796" s="657"/>
      <c r="F796" s="657"/>
      <c r="G796" s="657"/>
      <c r="H796" s="657"/>
      <c r="I796" s="657"/>
      <c r="L796" s="657"/>
      <c r="AA796" s="659"/>
      <c r="AB796" s="659"/>
      <c r="AC796" s="659"/>
      <c r="AD796" s="659"/>
      <c r="AE796" s="659"/>
      <c r="AF796" s="659"/>
      <c r="AG796" s="657"/>
    </row>
    <row r="797" spans="1:33" ht="10.5" customHeight="1" x14ac:dyDescent="0.2">
      <c r="A797" s="657"/>
      <c r="B797" s="657"/>
      <c r="C797" s="657"/>
      <c r="D797" s="657"/>
      <c r="E797" s="657"/>
      <c r="F797" s="657"/>
      <c r="G797" s="657"/>
      <c r="H797" s="657"/>
      <c r="I797" s="657"/>
      <c r="L797" s="657"/>
      <c r="AA797" s="659"/>
      <c r="AB797" s="659"/>
      <c r="AC797" s="659"/>
      <c r="AD797" s="659"/>
      <c r="AE797" s="659"/>
      <c r="AF797" s="659"/>
      <c r="AG797" s="657"/>
    </row>
    <row r="798" spans="1:33" ht="10.5" customHeight="1" x14ac:dyDescent="0.2">
      <c r="A798" s="657"/>
      <c r="B798" s="657"/>
      <c r="C798" s="657"/>
      <c r="D798" s="657"/>
      <c r="E798" s="657"/>
      <c r="F798" s="657"/>
      <c r="G798" s="657"/>
      <c r="H798" s="657"/>
      <c r="I798" s="657"/>
      <c r="L798" s="657"/>
      <c r="AA798" s="659"/>
      <c r="AB798" s="659"/>
      <c r="AC798" s="659"/>
      <c r="AD798" s="659"/>
      <c r="AE798" s="659"/>
      <c r="AF798" s="659"/>
      <c r="AG798" s="657"/>
    </row>
    <row r="799" spans="1:33" ht="10.5" customHeight="1" x14ac:dyDescent="0.2">
      <c r="A799" s="657"/>
      <c r="B799" s="657"/>
      <c r="C799" s="657"/>
      <c r="D799" s="657"/>
      <c r="E799" s="657"/>
      <c r="F799" s="657"/>
      <c r="G799" s="657"/>
      <c r="H799" s="657"/>
      <c r="I799" s="657"/>
      <c r="L799" s="657"/>
      <c r="AA799" s="659"/>
      <c r="AB799" s="659"/>
      <c r="AC799" s="659"/>
      <c r="AD799" s="659"/>
      <c r="AE799" s="659"/>
      <c r="AF799" s="659"/>
      <c r="AG799" s="657"/>
    </row>
    <row r="800" spans="1:33" ht="10.5" customHeight="1" x14ac:dyDescent="0.2">
      <c r="A800" s="657"/>
      <c r="B800" s="657"/>
      <c r="C800" s="657"/>
      <c r="D800" s="657"/>
      <c r="E800" s="657"/>
      <c r="F800" s="657"/>
      <c r="G800" s="657"/>
      <c r="H800" s="657"/>
      <c r="I800" s="657"/>
      <c r="L800" s="657"/>
      <c r="AA800" s="659"/>
      <c r="AB800" s="659"/>
      <c r="AC800" s="659"/>
      <c r="AD800" s="659"/>
      <c r="AE800" s="659"/>
      <c r="AF800" s="659"/>
      <c r="AG800" s="657"/>
    </row>
    <row r="801" spans="1:33" ht="10.5" customHeight="1" x14ac:dyDescent="0.2">
      <c r="A801" s="657"/>
      <c r="B801" s="657"/>
      <c r="C801" s="657"/>
      <c r="D801" s="657"/>
      <c r="E801" s="657"/>
      <c r="F801" s="657"/>
      <c r="G801" s="657"/>
      <c r="H801" s="657"/>
      <c r="I801" s="657"/>
      <c r="L801" s="657"/>
      <c r="AA801" s="659"/>
      <c r="AB801" s="659"/>
      <c r="AC801" s="659"/>
      <c r="AD801" s="659"/>
      <c r="AE801" s="659"/>
      <c r="AF801" s="659"/>
      <c r="AG801" s="657"/>
    </row>
    <row r="802" spans="1:33" ht="10.5" customHeight="1" x14ac:dyDescent="0.2">
      <c r="A802" s="657"/>
      <c r="B802" s="657"/>
      <c r="C802" s="657"/>
      <c r="D802" s="657"/>
      <c r="E802" s="657"/>
      <c r="F802" s="657"/>
      <c r="G802" s="657"/>
      <c r="H802" s="657"/>
      <c r="I802" s="657"/>
      <c r="L802" s="657"/>
      <c r="AA802" s="659"/>
      <c r="AB802" s="659"/>
      <c r="AC802" s="659"/>
      <c r="AD802" s="659"/>
      <c r="AE802" s="659"/>
      <c r="AF802" s="659"/>
      <c r="AG802" s="657"/>
    </row>
    <row r="803" spans="1:33" ht="10.5" customHeight="1" x14ac:dyDescent="0.2">
      <c r="A803" s="657"/>
      <c r="B803" s="657"/>
      <c r="C803" s="657"/>
      <c r="D803" s="657"/>
      <c r="E803" s="657"/>
      <c r="F803" s="657"/>
      <c r="G803" s="657"/>
      <c r="H803" s="657"/>
      <c r="I803" s="657"/>
      <c r="L803" s="657"/>
      <c r="AA803" s="659"/>
      <c r="AB803" s="659"/>
      <c r="AC803" s="659"/>
      <c r="AD803" s="659"/>
      <c r="AE803" s="659"/>
      <c r="AF803" s="659"/>
      <c r="AG803" s="657"/>
    </row>
    <row r="804" spans="1:33" ht="10.5" customHeight="1" x14ac:dyDescent="0.2">
      <c r="A804" s="657"/>
      <c r="B804" s="657"/>
      <c r="C804" s="657"/>
      <c r="D804" s="657"/>
      <c r="E804" s="657"/>
      <c r="F804" s="657"/>
      <c r="G804" s="657"/>
      <c r="H804" s="657"/>
      <c r="I804" s="657"/>
      <c r="L804" s="657"/>
      <c r="AA804" s="659"/>
      <c r="AB804" s="659"/>
      <c r="AC804" s="659"/>
      <c r="AD804" s="659"/>
      <c r="AE804" s="659"/>
      <c r="AF804" s="659"/>
      <c r="AG804" s="657"/>
    </row>
    <row r="805" spans="1:33" ht="10.5" customHeight="1" x14ac:dyDescent="0.2">
      <c r="A805" s="657"/>
      <c r="B805" s="657"/>
      <c r="C805" s="657"/>
      <c r="D805" s="657"/>
      <c r="E805" s="657"/>
      <c r="F805" s="657"/>
      <c r="G805" s="657"/>
      <c r="H805" s="657"/>
      <c r="I805" s="657"/>
      <c r="L805" s="657"/>
      <c r="AA805" s="659"/>
      <c r="AB805" s="659"/>
      <c r="AC805" s="659"/>
      <c r="AD805" s="659"/>
      <c r="AE805" s="659"/>
      <c r="AF805" s="659"/>
      <c r="AG805" s="657"/>
    </row>
    <row r="806" spans="1:33" ht="10.5" customHeight="1" x14ac:dyDescent="0.2">
      <c r="A806" s="657"/>
      <c r="B806" s="657"/>
      <c r="C806" s="657"/>
      <c r="D806" s="657"/>
      <c r="E806" s="657"/>
      <c r="F806" s="657"/>
      <c r="G806" s="657"/>
      <c r="H806" s="657"/>
      <c r="I806" s="657"/>
      <c r="L806" s="657"/>
      <c r="AA806" s="659"/>
      <c r="AB806" s="659"/>
      <c r="AC806" s="659"/>
      <c r="AD806" s="659"/>
      <c r="AE806" s="659"/>
      <c r="AF806" s="659"/>
      <c r="AG806" s="657"/>
    </row>
    <row r="807" spans="1:33" ht="10.5" customHeight="1" x14ac:dyDescent="0.2">
      <c r="A807" s="657"/>
      <c r="B807" s="657"/>
      <c r="C807" s="657"/>
      <c r="D807" s="657"/>
      <c r="E807" s="657"/>
      <c r="F807" s="657"/>
      <c r="G807" s="657"/>
      <c r="H807" s="657"/>
      <c r="I807" s="657"/>
      <c r="L807" s="657"/>
      <c r="AA807" s="659"/>
      <c r="AB807" s="659"/>
      <c r="AC807" s="659"/>
      <c r="AD807" s="659"/>
      <c r="AE807" s="659"/>
      <c r="AF807" s="659"/>
      <c r="AG807" s="657"/>
    </row>
    <row r="808" spans="1:33" ht="10.5" customHeight="1" x14ac:dyDescent="0.2">
      <c r="A808" s="657"/>
      <c r="B808" s="657"/>
      <c r="C808" s="657"/>
      <c r="D808" s="657"/>
      <c r="E808" s="657"/>
      <c r="F808" s="657"/>
      <c r="G808" s="657"/>
      <c r="H808" s="657"/>
      <c r="I808" s="657"/>
      <c r="L808" s="657"/>
      <c r="AA808" s="659"/>
      <c r="AB808" s="659"/>
      <c r="AC808" s="659"/>
      <c r="AD808" s="659"/>
      <c r="AE808" s="659"/>
      <c r="AF808" s="659"/>
      <c r="AG808" s="657"/>
    </row>
    <row r="809" spans="1:33" ht="10.5" customHeight="1" x14ac:dyDescent="0.2">
      <c r="A809" s="657"/>
      <c r="B809" s="657"/>
      <c r="C809" s="657"/>
      <c r="D809" s="657"/>
      <c r="E809" s="657"/>
      <c r="F809" s="657"/>
      <c r="G809" s="657"/>
      <c r="H809" s="657"/>
      <c r="I809" s="657"/>
      <c r="L809" s="657"/>
      <c r="AA809" s="659"/>
      <c r="AB809" s="659"/>
      <c r="AC809" s="659"/>
      <c r="AD809" s="659"/>
      <c r="AE809" s="659"/>
      <c r="AF809" s="659"/>
      <c r="AG809" s="657"/>
    </row>
    <row r="810" spans="1:33" ht="10.5" customHeight="1" x14ac:dyDescent="0.2">
      <c r="A810" s="657"/>
      <c r="B810" s="657"/>
      <c r="C810" s="657"/>
      <c r="D810" s="657"/>
      <c r="E810" s="657"/>
      <c r="F810" s="657"/>
      <c r="G810" s="657"/>
      <c r="H810" s="657"/>
      <c r="I810" s="657"/>
      <c r="L810" s="657"/>
      <c r="AA810" s="659"/>
      <c r="AB810" s="659"/>
      <c r="AC810" s="659"/>
      <c r="AD810" s="659"/>
      <c r="AE810" s="659"/>
      <c r="AF810" s="659"/>
      <c r="AG810" s="657"/>
    </row>
    <row r="811" spans="1:33" ht="10.5" customHeight="1" x14ac:dyDescent="0.2">
      <c r="A811" s="657"/>
      <c r="B811" s="657"/>
      <c r="C811" s="657"/>
      <c r="D811" s="657"/>
      <c r="E811" s="657"/>
      <c r="F811" s="657"/>
      <c r="G811" s="657"/>
      <c r="H811" s="657"/>
      <c r="I811" s="657"/>
      <c r="L811" s="657"/>
      <c r="AA811" s="659"/>
      <c r="AB811" s="659"/>
      <c r="AC811" s="659"/>
      <c r="AD811" s="659"/>
      <c r="AE811" s="659"/>
      <c r="AF811" s="659"/>
      <c r="AG811" s="657"/>
    </row>
    <row r="812" spans="1:33" ht="10.5" customHeight="1" x14ac:dyDescent="0.2">
      <c r="A812" s="657"/>
      <c r="B812" s="657"/>
      <c r="C812" s="657"/>
      <c r="D812" s="657"/>
      <c r="E812" s="657"/>
      <c r="F812" s="657"/>
      <c r="G812" s="657"/>
      <c r="H812" s="657"/>
      <c r="I812" s="657"/>
      <c r="L812" s="657"/>
      <c r="AA812" s="659"/>
      <c r="AB812" s="659"/>
      <c r="AC812" s="659"/>
      <c r="AD812" s="659"/>
      <c r="AE812" s="659"/>
      <c r="AF812" s="659"/>
      <c r="AG812" s="657"/>
    </row>
    <row r="813" spans="1:33" ht="10.5" customHeight="1" x14ac:dyDescent="0.2">
      <c r="A813" s="657"/>
      <c r="B813" s="657"/>
      <c r="C813" s="657"/>
      <c r="D813" s="657"/>
      <c r="E813" s="657"/>
      <c r="F813" s="657"/>
      <c r="G813" s="657"/>
      <c r="H813" s="657"/>
      <c r="I813" s="657"/>
      <c r="L813" s="657"/>
      <c r="AA813" s="659"/>
      <c r="AB813" s="659"/>
      <c r="AC813" s="659"/>
      <c r="AD813" s="659"/>
      <c r="AE813" s="659"/>
      <c r="AF813" s="659"/>
      <c r="AG813" s="657"/>
    </row>
    <row r="814" spans="1:33" ht="10.5" customHeight="1" x14ac:dyDescent="0.2">
      <c r="A814" s="657"/>
      <c r="B814" s="657"/>
      <c r="C814" s="657"/>
      <c r="D814" s="657"/>
      <c r="E814" s="657"/>
      <c r="F814" s="657"/>
      <c r="G814" s="657"/>
      <c r="H814" s="657"/>
      <c r="I814" s="657"/>
      <c r="L814" s="657"/>
      <c r="AA814" s="659"/>
      <c r="AB814" s="659"/>
      <c r="AC814" s="659"/>
      <c r="AD814" s="659"/>
      <c r="AE814" s="659"/>
      <c r="AF814" s="659"/>
      <c r="AG814" s="657"/>
    </row>
    <row r="815" spans="1:33" ht="10.5" customHeight="1" x14ac:dyDescent="0.2">
      <c r="A815" s="657"/>
      <c r="B815" s="657"/>
      <c r="C815" s="657"/>
      <c r="D815" s="657"/>
      <c r="E815" s="657"/>
      <c r="F815" s="657"/>
      <c r="G815" s="657"/>
      <c r="H815" s="657"/>
      <c r="I815" s="657"/>
      <c r="L815" s="657"/>
      <c r="AA815" s="659"/>
      <c r="AB815" s="659"/>
      <c r="AC815" s="659"/>
      <c r="AD815" s="659"/>
      <c r="AE815" s="659"/>
      <c r="AF815" s="659"/>
      <c r="AG815" s="657"/>
    </row>
    <row r="816" spans="1:33" ht="10.5" customHeight="1" x14ac:dyDescent="0.2">
      <c r="A816" s="657"/>
      <c r="B816" s="657"/>
      <c r="C816" s="657"/>
      <c r="D816" s="657"/>
      <c r="E816" s="657"/>
      <c r="F816" s="657"/>
      <c r="G816" s="657"/>
      <c r="H816" s="657"/>
      <c r="I816" s="657"/>
      <c r="L816" s="657"/>
      <c r="AA816" s="659"/>
      <c r="AB816" s="659"/>
      <c r="AC816" s="659"/>
      <c r="AD816" s="659"/>
      <c r="AE816" s="659"/>
      <c r="AF816" s="659"/>
      <c r="AG816" s="657"/>
    </row>
    <row r="817" spans="1:33" ht="10.5" customHeight="1" x14ac:dyDescent="0.2">
      <c r="A817" s="657"/>
      <c r="B817" s="657"/>
      <c r="C817" s="657"/>
      <c r="D817" s="657"/>
      <c r="E817" s="657"/>
      <c r="F817" s="657"/>
      <c r="G817" s="657"/>
      <c r="H817" s="657"/>
      <c r="I817" s="657"/>
      <c r="L817" s="657"/>
      <c r="AA817" s="659"/>
      <c r="AB817" s="659"/>
      <c r="AC817" s="659"/>
      <c r="AD817" s="659"/>
      <c r="AE817" s="659"/>
      <c r="AF817" s="659"/>
      <c r="AG817" s="657"/>
    </row>
    <row r="818" spans="1:33" ht="10.5" customHeight="1" x14ac:dyDescent="0.2">
      <c r="A818" s="657"/>
      <c r="B818" s="657"/>
      <c r="C818" s="657"/>
      <c r="D818" s="657"/>
      <c r="E818" s="657"/>
      <c r="F818" s="657"/>
      <c r="G818" s="657"/>
      <c r="H818" s="657"/>
      <c r="I818" s="657"/>
      <c r="L818" s="657"/>
      <c r="AA818" s="659"/>
      <c r="AB818" s="659"/>
      <c r="AC818" s="659"/>
      <c r="AD818" s="659"/>
      <c r="AE818" s="659"/>
      <c r="AF818" s="659"/>
      <c r="AG818" s="657"/>
    </row>
    <row r="819" spans="1:33" ht="10.5" customHeight="1" x14ac:dyDescent="0.2">
      <c r="A819" s="657"/>
      <c r="B819" s="657"/>
      <c r="C819" s="657"/>
      <c r="D819" s="657"/>
      <c r="E819" s="657"/>
      <c r="F819" s="657"/>
      <c r="G819" s="657"/>
      <c r="H819" s="657"/>
      <c r="I819" s="657"/>
      <c r="L819" s="657"/>
      <c r="AA819" s="659"/>
      <c r="AB819" s="659"/>
      <c r="AC819" s="659"/>
      <c r="AD819" s="659"/>
      <c r="AE819" s="659"/>
      <c r="AF819" s="659"/>
      <c r="AG819" s="657"/>
    </row>
    <row r="820" spans="1:33" ht="10.5" customHeight="1" x14ac:dyDescent="0.2">
      <c r="A820" s="657"/>
      <c r="B820" s="657"/>
      <c r="C820" s="657"/>
      <c r="D820" s="657"/>
      <c r="E820" s="657"/>
      <c r="F820" s="657"/>
      <c r="G820" s="657"/>
      <c r="H820" s="657"/>
      <c r="I820" s="657"/>
      <c r="L820" s="657"/>
      <c r="AA820" s="659"/>
      <c r="AB820" s="659"/>
      <c r="AC820" s="659"/>
      <c r="AD820" s="659"/>
      <c r="AE820" s="659"/>
      <c r="AF820" s="659"/>
      <c r="AG820" s="657"/>
    </row>
    <row r="821" spans="1:33" ht="10.5" customHeight="1" x14ac:dyDescent="0.2">
      <c r="A821" s="657"/>
      <c r="B821" s="657"/>
      <c r="C821" s="657"/>
      <c r="D821" s="657"/>
      <c r="E821" s="657"/>
      <c r="F821" s="657"/>
      <c r="G821" s="657"/>
      <c r="H821" s="657"/>
      <c r="I821" s="657"/>
      <c r="L821" s="657"/>
      <c r="AA821" s="659"/>
      <c r="AB821" s="659"/>
      <c r="AC821" s="659"/>
      <c r="AD821" s="659"/>
      <c r="AE821" s="659"/>
      <c r="AF821" s="659"/>
      <c r="AG821" s="657"/>
    </row>
    <row r="822" spans="1:33" ht="10.5" customHeight="1" x14ac:dyDescent="0.2">
      <c r="A822" s="657"/>
      <c r="B822" s="657"/>
      <c r="C822" s="657"/>
      <c r="D822" s="657"/>
      <c r="E822" s="657"/>
      <c r="F822" s="657"/>
      <c r="G822" s="657"/>
      <c r="H822" s="657"/>
      <c r="I822" s="657"/>
      <c r="L822" s="657"/>
      <c r="AA822" s="659"/>
      <c r="AB822" s="659"/>
      <c r="AC822" s="659"/>
      <c r="AD822" s="659"/>
      <c r="AE822" s="659"/>
      <c r="AF822" s="659"/>
      <c r="AG822" s="657"/>
    </row>
    <row r="823" spans="1:33" ht="10.5" customHeight="1" x14ac:dyDescent="0.2">
      <c r="A823" s="657"/>
      <c r="B823" s="657"/>
      <c r="C823" s="657"/>
      <c r="D823" s="657"/>
      <c r="E823" s="657"/>
      <c r="F823" s="657"/>
      <c r="G823" s="657"/>
      <c r="H823" s="657"/>
      <c r="I823" s="657"/>
      <c r="L823" s="657"/>
      <c r="AA823" s="659"/>
      <c r="AB823" s="659"/>
      <c r="AC823" s="659"/>
      <c r="AD823" s="659"/>
      <c r="AE823" s="659"/>
      <c r="AF823" s="659"/>
      <c r="AG823" s="657"/>
    </row>
    <row r="824" spans="1:33" ht="10.5" customHeight="1" x14ac:dyDescent="0.2">
      <c r="A824" s="657"/>
      <c r="B824" s="657"/>
      <c r="C824" s="657"/>
      <c r="D824" s="657"/>
      <c r="E824" s="657"/>
      <c r="F824" s="657"/>
      <c r="G824" s="657"/>
      <c r="H824" s="657"/>
      <c r="I824" s="657"/>
      <c r="L824" s="657"/>
      <c r="AA824" s="659"/>
      <c r="AB824" s="659"/>
      <c r="AC824" s="659"/>
      <c r="AD824" s="659"/>
      <c r="AE824" s="659"/>
      <c r="AF824" s="659"/>
      <c r="AG824" s="657"/>
    </row>
    <row r="825" spans="1:33" ht="10.5" customHeight="1" x14ac:dyDescent="0.2">
      <c r="A825" s="657"/>
      <c r="B825" s="657"/>
      <c r="C825" s="657"/>
      <c r="D825" s="657"/>
      <c r="E825" s="657"/>
      <c r="F825" s="657"/>
      <c r="G825" s="657"/>
      <c r="H825" s="657"/>
      <c r="I825" s="657"/>
      <c r="L825" s="657"/>
      <c r="AA825" s="659"/>
      <c r="AB825" s="659"/>
      <c r="AC825" s="659"/>
      <c r="AD825" s="659"/>
      <c r="AE825" s="659"/>
      <c r="AF825" s="659"/>
      <c r="AG825" s="657"/>
    </row>
    <row r="826" spans="1:33" ht="10.5" customHeight="1" x14ac:dyDescent="0.2">
      <c r="A826" s="657"/>
      <c r="B826" s="657"/>
      <c r="C826" s="657"/>
      <c r="D826" s="657"/>
      <c r="E826" s="657"/>
      <c r="F826" s="657"/>
      <c r="G826" s="657"/>
      <c r="H826" s="657"/>
      <c r="I826" s="657"/>
      <c r="L826" s="657"/>
      <c r="AA826" s="659"/>
      <c r="AB826" s="659"/>
      <c r="AC826" s="659"/>
      <c r="AD826" s="659"/>
      <c r="AE826" s="659"/>
      <c r="AF826" s="659"/>
      <c r="AG826" s="657"/>
    </row>
    <row r="827" spans="1:33" ht="10.5" customHeight="1" x14ac:dyDescent="0.2">
      <c r="A827" s="657"/>
      <c r="B827" s="657"/>
      <c r="C827" s="657"/>
      <c r="D827" s="657"/>
      <c r="E827" s="657"/>
      <c r="F827" s="657"/>
      <c r="G827" s="657"/>
      <c r="H827" s="657"/>
      <c r="I827" s="657"/>
      <c r="L827" s="657"/>
      <c r="AA827" s="659"/>
      <c r="AB827" s="659"/>
      <c r="AC827" s="659"/>
      <c r="AD827" s="659"/>
      <c r="AE827" s="659"/>
      <c r="AF827" s="659"/>
      <c r="AG827" s="657"/>
    </row>
    <row r="828" spans="1:33" ht="10.5" customHeight="1" x14ac:dyDescent="0.2">
      <c r="A828" s="657"/>
      <c r="B828" s="657"/>
      <c r="C828" s="657"/>
      <c r="D828" s="657"/>
      <c r="E828" s="657"/>
      <c r="F828" s="657"/>
      <c r="G828" s="657"/>
      <c r="H828" s="657"/>
      <c r="I828" s="657"/>
      <c r="L828" s="657"/>
      <c r="AA828" s="659"/>
      <c r="AB828" s="659"/>
      <c r="AC828" s="659"/>
      <c r="AD828" s="659"/>
      <c r="AE828" s="659"/>
      <c r="AF828" s="659"/>
      <c r="AG828" s="657"/>
    </row>
    <row r="829" spans="1:33" ht="10.5" customHeight="1" x14ac:dyDescent="0.2">
      <c r="A829" s="657"/>
      <c r="B829" s="657"/>
      <c r="C829" s="657"/>
      <c r="D829" s="657"/>
      <c r="E829" s="657"/>
      <c r="F829" s="657"/>
      <c r="G829" s="657"/>
      <c r="H829" s="657"/>
      <c r="I829" s="657"/>
      <c r="L829" s="657"/>
      <c r="AA829" s="659"/>
      <c r="AB829" s="659"/>
      <c r="AC829" s="659"/>
      <c r="AD829" s="659"/>
      <c r="AE829" s="659"/>
      <c r="AF829" s="659"/>
      <c r="AG829" s="657"/>
    </row>
    <row r="830" spans="1:33" ht="10.5" customHeight="1" x14ac:dyDescent="0.2">
      <c r="A830" s="657"/>
      <c r="B830" s="657"/>
      <c r="C830" s="657"/>
      <c r="D830" s="657"/>
      <c r="E830" s="657"/>
      <c r="F830" s="657"/>
      <c r="G830" s="657"/>
      <c r="H830" s="657"/>
      <c r="I830" s="657"/>
      <c r="L830" s="657"/>
      <c r="AA830" s="659"/>
      <c r="AB830" s="659"/>
      <c r="AC830" s="659"/>
      <c r="AD830" s="659"/>
      <c r="AE830" s="659"/>
      <c r="AF830" s="659"/>
      <c r="AG830" s="657"/>
    </row>
    <row r="831" spans="1:33" ht="10.5" customHeight="1" x14ac:dyDescent="0.2">
      <c r="A831" s="657"/>
      <c r="B831" s="657"/>
      <c r="C831" s="657"/>
      <c r="D831" s="657"/>
      <c r="E831" s="657"/>
      <c r="F831" s="657"/>
      <c r="G831" s="657"/>
      <c r="H831" s="657"/>
      <c r="I831" s="657"/>
      <c r="L831" s="657"/>
      <c r="AA831" s="659"/>
      <c r="AB831" s="659"/>
      <c r="AC831" s="659"/>
      <c r="AD831" s="659"/>
      <c r="AE831" s="659"/>
      <c r="AF831" s="659"/>
      <c r="AG831" s="657"/>
    </row>
    <row r="832" spans="1:33" ht="10.5" customHeight="1" x14ac:dyDescent="0.2">
      <c r="A832" s="657"/>
      <c r="B832" s="657"/>
      <c r="C832" s="657"/>
      <c r="D832" s="657"/>
      <c r="E832" s="657"/>
      <c r="F832" s="657"/>
      <c r="G832" s="657"/>
      <c r="H832" s="657"/>
      <c r="I832" s="657"/>
      <c r="L832" s="657"/>
      <c r="AA832" s="659"/>
      <c r="AB832" s="659"/>
      <c r="AC832" s="659"/>
      <c r="AD832" s="659"/>
      <c r="AE832" s="659"/>
      <c r="AF832" s="659"/>
      <c r="AG832" s="657"/>
    </row>
    <row r="833" spans="1:33" ht="10.5" customHeight="1" x14ac:dyDescent="0.2">
      <c r="A833" s="657"/>
      <c r="B833" s="657"/>
      <c r="C833" s="657"/>
      <c r="D833" s="657"/>
      <c r="E833" s="657"/>
      <c r="F833" s="657"/>
      <c r="G833" s="657"/>
      <c r="H833" s="657"/>
      <c r="I833" s="657"/>
      <c r="L833" s="657"/>
      <c r="AA833" s="659"/>
      <c r="AB833" s="659"/>
      <c r="AC833" s="659"/>
      <c r="AD833" s="659"/>
      <c r="AE833" s="659"/>
      <c r="AF833" s="659"/>
      <c r="AG833" s="657"/>
    </row>
    <row r="834" spans="1:33" ht="10.5" customHeight="1" x14ac:dyDescent="0.2">
      <c r="A834" s="657"/>
      <c r="B834" s="657"/>
      <c r="C834" s="657"/>
      <c r="D834" s="657"/>
      <c r="E834" s="657"/>
      <c r="F834" s="657"/>
      <c r="G834" s="657"/>
      <c r="H834" s="657"/>
      <c r="I834" s="657"/>
      <c r="L834" s="657"/>
      <c r="AA834" s="659"/>
      <c r="AB834" s="659"/>
      <c r="AC834" s="659"/>
      <c r="AD834" s="659"/>
      <c r="AE834" s="659"/>
      <c r="AF834" s="659"/>
      <c r="AG834" s="657"/>
    </row>
    <row r="835" spans="1:33" ht="10.5" customHeight="1" x14ac:dyDescent="0.2">
      <c r="A835" s="657"/>
      <c r="B835" s="657"/>
      <c r="C835" s="657"/>
      <c r="D835" s="657"/>
      <c r="E835" s="657"/>
      <c r="F835" s="657"/>
      <c r="G835" s="657"/>
      <c r="H835" s="657"/>
      <c r="I835" s="657"/>
      <c r="L835" s="657"/>
      <c r="AA835" s="659"/>
      <c r="AB835" s="659"/>
      <c r="AC835" s="659"/>
      <c r="AD835" s="659"/>
      <c r="AE835" s="659"/>
      <c r="AF835" s="659"/>
      <c r="AG835" s="657"/>
    </row>
    <row r="836" spans="1:33" ht="10.5" customHeight="1" x14ac:dyDescent="0.2">
      <c r="A836" s="657"/>
      <c r="B836" s="657"/>
      <c r="C836" s="657"/>
      <c r="D836" s="657"/>
      <c r="E836" s="657"/>
      <c r="F836" s="657"/>
      <c r="G836" s="657"/>
      <c r="H836" s="657"/>
      <c r="I836" s="657"/>
      <c r="L836" s="657"/>
      <c r="AA836" s="659"/>
      <c r="AB836" s="659"/>
      <c r="AC836" s="659"/>
      <c r="AD836" s="659"/>
      <c r="AE836" s="659"/>
      <c r="AF836" s="659"/>
      <c r="AG836" s="657"/>
    </row>
    <row r="837" spans="1:33" ht="10.5" customHeight="1" x14ac:dyDescent="0.2">
      <c r="A837" s="657"/>
      <c r="B837" s="657"/>
      <c r="C837" s="657"/>
      <c r="D837" s="657"/>
      <c r="E837" s="657"/>
      <c r="F837" s="657"/>
      <c r="G837" s="657"/>
      <c r="H837" s="657"/>
      <c r="I837" s="657"/>
      <c r="L837" s="657"/>
      <c r="AA837" s="659"/>
      <c r="AB837" s="659"/>
      <c r="AC837" s="659"/>
      <c r="AD837" s="659"/>
      <c r="AE837" s="659"/>
      <c r="AF837" s="659"/>
      <c r="AG837" s="657"/>
    </row>
    <row r="838" spans="1:33" ht="10.5" customHeight="1" x14ac:dyDescent="0.2">
      <c r="A838" s="657"/>
      <c r="B838" s="657"/>
      <c r="C838" s="657"/>
      <c r="D838" s="657"/>
      <c r="E838" s="657"/>
      <c r="F838" s="657"/>
      <c r="G838" s="657"/>
      <c r="H838" s="657"/>
      <c r="I838" s="657"/>
      <c r="L838" s="657"/>
      <c r="AA838" s="659"/>
      <c r="AB838" s="659"/>
      <c r="AC838" s="659"/>
      <c r="AD838" s="659"/>
      <c r="AE838" s="659"/>
      <c r="AF838" s="659"/>
      <c r="AG838" s="657"/>
    </row>
    <row r="839" spans="1:33" ht="10.5" customHeight="1" x14ac:dyDescent="0.2">
      <c r="A839" s="657"/>
      <c r="B839" s="657"/>
      <c r="C839" s="657"/>
      <c r="D839" s="657"/>
      <c r="E839" s="657"/>
      <c r="F839" s="657"/>
      <c r="G839" s="657"/>
      <c r="H839" s="657"/>
      <c r="I839" s="657"/>
      <c r="L839" s="657"/>
      <c r="AA839" s="659"/>
      <c r="AB839" s="659"/>
      <c r="AC839" s="659"/>
      <c r="AD839" s="659"/>
      <c r="AE839" s="659"/>
      <c r="AF839" s="659"/>
      <c r="AG839" s="657"/>
    </row>
    <row r="840" spans="1:33" ht="10.5" customHeight="1" x14ac:dyDescent="0.2">
      <c r="A840" s="657"/>
      <c r="B840" s="657"/>
      <c r="C840" s="657"/>
      <c r="D840" s="657"/>
      <c r="E840" s="657"/>
      <c r="F840" s="657"/>
      <c r="G840" s="657"/>
      <c r="H840" s="657"/>
      <c r="I840" s="657"/>
      <c r="L840" s="657"/>
      <c r="AA840" s="659"/>
      <c r="AB840" s="659"/>
      <c r="AC840" s="659"/>
      <c r="AD840" s="659"/>
      <c r="AE840" s="659"/>
      <c r="AF840" s="659"/>
      <c r="AG840" s="657"/>
    </row>
    <row r="841" spans="1:33" ht="10.5" customHeight="1" x14ac:dyDescent="0.2">
      <c r="A841" s="657"/>
      <c r="B841" s="657"/>
      <c r="C841" s="657"/>
      <c r="D841" s="657"/>
      <c r="E841" s="657"/>
      <c r="F841" s="657"/>
      <c r="G841" s="657"/>
      <c r="H841" s="657"/>
      <c r="I841" s="657"/>
      <c r="L841" s="657"/>
      <c r="AA841" s="659"/>
      <c r="AB841" s="659"/>
      <c r="AC841" s="659"/>
      <c r="AD841" s="659"/>
      <c r="AE841" s="659"/>
      <c r="AF841" s="659"/>
      <c r="AG841" s="657"/>
    </row>
    <row r="842" spans="1:33" ht="10.5" customHeight="1" x14ac:dyDescent="0.2">
      <c r="A842" s="657"/>
      <c r="B842" s="657"/>
      <c r="C842" s="657"/>
      <c r="D842" s="657"/>
      <c r="E842" s="657"/>
      <c r="F842" s="657"/>
      <c r="G842" s="657"/>
      <c r="H842" s="657"/>
      <c r="I842" s="657"/>
      <c r="L842" s="657"/>
      <c r="AA842" s="659"/>
      <c r="AB842" s="659"/>
      <c r="AC842" s="659"/>
      <c r="AD842" s="659"/>
      <c r="AE842" s="659"/>
      <c r="AF842" s="659"/>
      <c r="AG842" s="657"/>
    </row>
    <row r="843" spans="1:33" ht="10.5" customHeight="1" x14ac:dyDescent="0.2">
      <c r="A843" s="657"/>
      <c r="B843" s="657"/>
      <c r="C843" s="657"/>
      <c r="D843" s="657"/>
      <c r="E843" s="657"/>
      <c r="F843" s="657"/>
      <c r="G843" s="657"/>
      <c r="H843" s="657"/>
      <c r="I843" s="657"/>
      <c r="L843" s="657"/>
      <c r="AA843" s="659"/>
      <c r="AB843" s="659"/>
      <c r="AC843" s="659"/>
      <c r="AD843" s="659"/>
      <c r="AE843" s="659"/>
      <c r="AF843" s="659"/>
      <c r="AG843" s="657"/>
    </row>
    <row r="844" spans="1:33" ht="10.5" customHeight="1" x14ac:dyDescent="0.2">
      <c r="A844" s="657"/>
      <c r="B844" s="657"/>
      <c r="C844" s="657"/>
      <c r="D844" s="657"/>
      <c r="E844" s="657"/>
      <c r="F844" s="657"/>
      <c r="G844" s="657"/>
      <c r="H844" s="657"/>
      <c r="I844" s="657"/>
      <c r="L844" s="657"/>
      <c r="AA844" s="659"/>
      <c r="AB844" s="659"/>
      <c r="AC844" s="659"/>
      <c r="AD844" s="659"/>
      <c r="AE844" s="659"/>
      <c r="AF844" s="659"/>
      <c r="AG844" s="657"/>
    </row>
    <row r="845" spans="1:33" ht="10.5" customHeight="1" x14ac:dyDescent="0.2">
      <c r="A845" s="657"/>
      <c r="B845" s="657"/>
      <c r="C845" s="657"/>
      <c r="D845" s="657"/>
      <c r="E845" s="657"/>
      <c r="F845" s="657"/>
      <c r="G845" s="657"/>
      <c r="H845" s="657"/>
      <c r="I845" s="657"/>
      <c r="L845" s="657"/>
      <c r="AA845" s="659"/>
      <c r="AB845" s="659"/>
      <c r="AC845" s="659"/>
      <c r="AD845" s="659"/>
      <c r="AE845" s="659"/>
      <c r="AF845" s="659"/>
      <c r="AG845" s="657"/>
    </row>
    <row r="846" spans="1:33" ht="10.5" customHeight="1" x14ac:dyDescent="0.2">
      <c r="A846" s="657"/>
      <c r="B846" s="657"/>
      <c r="C846" s="657"/>
      <c r="D846" s="657"/>
      <c r="E846" s="657"/>
      <c r="F846" s="657"/>
      <c r="G846" s="657"/>
      <c r="H846" s="657"/>
      <c r="I846" s="657"/>
      <c r="L846" s="657"/>
      <c r="AA846" s="659"/>
      <c r="AB846" s="659"/>
      <c r="AC846" s="659"/>
      <c r="AD846" s="659"/>
      <c r="AE846" s="659"/>
      <c r="AF846" s="659"/>
      <c r="AG846" s="657"/>
    </row>
    <row r="847" spans="1:33" ht="10.5" customHeight="1" x14ac:dyDescent="0.2">
      <c r="A847" s="657"/>
      <c r="B847" s="657"/>
      <c r="C847" s="657"/>
      <c r="D847" s="657"/>
      <c r="E847" s="657"/>
      <c r="F847" s="657"/>
      <c r="G847" s="657"/>
      <c r="H847" s="657"/>
      <c r="I847" s="657"/>
      <c r="L847" s="657"/>
      <c r="AA847" s="659"/>
      <c r="AB847" s="659"/>
      <c r="AC847" s="659"/>
      <c r="AD847" s="659"/>
      <c r="AE847" s="659"/>
      <c r="AF847" s="659"/>
      <c r="AG847" s="657"/>
    </row>
    <row r="848" spans="1:33" ht="10.5" customHeight="1" x14ac:dyDescent="0.2">
      <c r="A848" s="657"/>
      <c r="B848" s="657"/>
      <c r="C848" s="657"/>
      <c r="D848" s="657"/>
      <c r="E848" s="657"/>
      <c r="F848" s="657"/>
      <c r="G848" s="657"/>
      <c r="H848" s="657"/>
      <c r="I848" s="657"/>
      <c r="L848" s="657"/>
      <c r="AA848" s="659"/>
      <c r="AB848" s="659"/>
      <c r="AC848" s="659"/>
      <c r="AD848" s="659"/>
      <c r="AE848" s="659"/>
      <c r="AF848" s="659"/>
      <c r="AG848" s="657"/>
    </row>
    <row r="849" spans="1:33" ht="10.5" customHeight="1" x14ac:dyDescent="0.2">
      <c r="A849" s="657"/>
      <c r="B849" s="657"/>
      <c r="C849" s="657"/>
      <c r="D849" s="657"/>
      <c r="E849" s="657"/>
      <c r="F849" s="657"/>
      <c r="G849" s="657"/>
      <c r="H849" s="657"/>
      <c r="I849" s="657"/>
      <c r="L849" s="657"/>
      <c r="AA849" s="659"/>
      <c r="AB849" s="659"/>
      <c r="AC849" s="659"/>
      <c r="AD849" s="659"/>
      <c r="AE849" s="659"/>
      <c r="AF849" s="659"/>
      <c r="AG849" s="657"/>
    </row>
    <row r="850" spans="1:33" ht="10.5" customHeight="1" x14ac:dyDescent="0.2">
      <c r="A850" s="657"/>
      <c r="B850" s="657"/>
      <c r="C850" s="657"/>
      <c r="D850" s="657"/>
      <c r="E850" s="657"/>
      <c r="F850" s="657"/>
      <c r="G850" s="657"/>
      <c r="H850" s="657"/>
      <c r="I850" s="657"/>
      <c r="L850" s="657"/>
      <c r="AA850" s="659"/>
      <c r="AB850" s="659"/>
      <c r="AC850" s="659"/>
      <c r="AD850" s="659"/>
      <c r="AE850" s="659"/>
      <c r="AF850" s="659"/>
      <c r="AG850" s="657"/>
    </row>
    <row r="851" spans="1:33" ht="10.5" customHeight="1" x14ac:dyDescent="0.2">
      <c r="A851" s="657"/>
      <c r="B851" s="657"/>
      <c r="C851" s="657"/>
      <c r="D851" s="657"/>
      <c r="E851" s="657"/>
      <c r="F851" s="657"/>
      <c r="G851" s="657"/>
      <c r="H851" s="657"/>
      <c r="I851" s="657"/>
      <c r="L851" s="657"/>
      <c r="AA851" s="659"/>
      <c r="AB851" s="659"/>
      <c r="AC851" s="659"/>
      <c r="AD851" s="659"/>
      <c r="AE851" s="659"/>
      <c r="AF851" s="659"/>
      <c r="AG851" s="657"/>
    </row>
    <row r="852" spans="1:33" ht="10.5" customHeight="1" x14ac:dyDescent="0.2">
      <c r="A852" s="657"/>
      <c r="B852" s="657"/>
      <c r="C852" s="657"/>
      <c r="D852" s="657"/>
      <c r="E852" s="657"/>
      <c r="F852" s="657"/>
      <c r="G852" s="657"/>
      <c r="H852" s="657"/>
      <c r="I852" s="657"/>
      <c r="L852" s="657"/>
      <c r="AA852" s="659"/>
      <c r="AB852" s="659"/>
      <c r="AC852" s="659"/>
      <c r="AD852" s="659"/>
      <c r="AE852" s="659"/>
      <c r="AF852" s="659"/>
      <c r="AG852" s="657"/>
    </row>
    <row r="853" spans="1:33" ht="10.5" customHeight="1" x14ac:dyDescent="0.2">
      <c r="A853" s="657"/>
      <c r="B853" s="657"/>
      <c r="C853" s="657"/>
      <c r="D853" s="657"/>
      <c r="E853" s="657"/>
      <c r="F853" s="657"/>
      <c r="G853" s="657"/>
      <c r="H853" s="657"/>
      <c r="I853" s="657"/>
      <c r="L853" s="657"/>
      <c r="AA853" s="659"/>
      <c r="AB853" s="659"/>
      <c r="AC853" s="659"/>
      <c r="AD853" s="659"/>
      <c r="AE853" s="659"/>
      <c r="AF853" s="659"/>
      <c r="AG853" s="657"/>
    </row>
    <row r="854" spans="1:33" ht="10.5" customHeight="1" x14ac:dyDescent="0.2">
      <c r="A854" s="657"/>
      <c r="B854" s="657"/>
      <c r="C854" s="657"/>
      <c r="D854" s="657"/>
      <c r="E854" s="657"/>
      <c r="F854" s="657"/>
      <c r="G854" s="657"/>
      <c r="H854" s="657"/>
      <c r="I854" s="657"/>
      <c r="L854" s="657"/>
      <c r="AA854" s="659"/>
      <c r="AB854" s="659"/>
      <c r="AC854" s="659"/>
      <c r="AD854" s="659"/>
      <c r="AE854" s="659"/>
      <c r="AF854" s="659"/>
      <c r="AG854" s="657"/>
    </row>
    <row r="855" spans="1:33" ht="10.5" customHeight="1" x14ac:dyDescent="0.2">
      <c r="A855" s="657"/>
      <c r="B855" s="657"/>
      <c r="C855" s="657"/>
      <c r="D855" s="657"/>
      <c r="E855" s="657"/>
      <c r="F855" s="657"/>
      <c r="G855" s="657"/>
      <c r="H855" s="657"/>
      <c r="I855" s="657"/>
      <c r="L855" s="657"/>
      <c r="AA855" s="659"/>
      <c r="AB855" s="659"/>
      <c r="AC855" s="659"/>
      <c r="AD855" s="659"/>
      <c r="AE855" s="659"/>
      <c r="AF855" s="659"/>
      <c r="AG855" s="657"/>
    </row>
    <row r="856" spans="1:33" ht="10.5" customHeight="1" x14ac:dyDescent="0.2">
      <c r="A856" s="657"/>
      <c r="B856" s="657"/>
      <c r="C856" s="657"/>
      <c r="D856" s="657"/>
      <c r="E856" s="657"/>
      <c r="F856" s="657"/>
      <c r="G856" s="657"/>
      <c r="H856" s="657"/>
      <c r="I856" s="657"/>
      <c r="L856" s="657"/>
      <c r="AA856" s="659"/>
      <c r="AB856" s="659"/>
      <c r="AC856" s="659"/>
      <c r="AD856" s="659"/>
      <c r="AE856" s="659"/>
      <c r="AF856" s="659"/>
      <c r="AG856" s="657"/>
    </row>
    <row r="857" spans="1:33" ht="10.5" customHeight="1" x14ac:dyDescent="0.2">
      <c r="A857" s="657"/>
      <c r="B857" s="657"/>
      <c r="C857" s="657"/>
      <c r="D857" s="657"/>
      <c r="E857" s="657"/>
      <c r="F857" s="657"/>
      <c r="G857" s="657"/>
      <c r="H857" s="657"/>
      <c r="I857" s="657"/>
      <c r="L857" s="657"/>
      <c r="AA857" s="659"/>
      <c r="AB857" s="659"/>
      <c r="AC857" s="659"/>
      <c r="AD857" s="659"/>
      <c r="AE857" s="659"/>
      <c r="AF857" s="659"/>
      <c r="AG857" s="657"/>
    </row>
    <row r="858" spans="1:33" ht="10.5" customHeight="1" x14ac:dyDescent="0.2">
      <c r="A858" s="657"/>
      <c r="B858" s="657"/>
      <c r="C858" s="657"/>
      <c r="D858" s="657"/>
      <c r="E858" s="657"/>
      <c r="F858" s="657"/>
      <c r="G858" s="657"/>
      <c r="H858" s="657"/>
      <c r="I858" s="657"/>
      <c r="L858" s="657"/>
      <c r="AA858" s="659"/>
      <c r="AB858" s="659"/>
      <c r="AC858" s="659"/>
      <c r="AD858" s="659"/>
      <c r="AE858" s="659"/>
      <c r="AF858" s="659"/>
      <c r="AG858" s="657"/>
    </row>
    <row r="859" spans="1:33" ht="10.5" customHeight="1" x14ac:dyDescent="0.2">
      <c r="A859" s="657"/>
      <c r="B859" s="657"/>
      <c r="C859" s="657"/>
      <c r="D859" s="657"/>
      <c r="E859" s="657"/>
      <c r="F859" s="657"/>
      <c r="G859" s="657"/>
      <c r="H859" s="657"/>
      <c r="I859" s="657"/>
      <c r="L859" s="657"/>
      <c r="AA859" s="659"/>
      <c r="AB859" s="659"/>
      <c r="AC859" s="659"/>
      <c r="AD859" s="659"/>
      <c r="AE859" s="659"/>
      <c r="AF859" s="659"/>
      <c r="AG859" s="657"/>
    </row>
    <row r="860" spans="1:33" ht="10.5" customHeight="1" x14ac:dyDescent="0.2">
      <c r="A860" s="657"/>
      <c r="B860" s="657"/>
      <c r="C860" s="657"/>
      <c r="D860" s="657"/>
      <c r="E860" s="657"/>
      <c r="F860" s="657"/>
      <c r="G860" s="657"/>
      <c r="H860" s="657"/>
      <c r="I860" s="657"/>
      <c r="L860" s="657"/>
      <c r="AA860" s="659"/>
      <c r="AB860" s="659"/>
      <c r="AC860" s="659"/>
      <c r="AD860" s="659"/>
      <c r="AE860" s="659"/>
      <c r="AF860" s="659"/>
      <c r="AG860" s="657"/>
    </row>
    <row r="861" spans="1:33" ht="10.5" customHeight="1" x14ac:dyDescent="0.2">
      <c r="A861" s="657"/>
      <c r="B861" s="657"/>
      <c r="C861" s="657"/>
      <c r="D861" s="657"/>
      <c r="E861" s="657"/>
      <c r="F861" s="657"/>
      <c r="G861" s="657"/>
      <c r="H861" s="657"/>
      <c r="I861" s="657"/>
      <c r="L861" s="657"/>
      <c r="AA861" s="659"/>
      <c r="AB861" s="659"/>
      <c r="AC861" s="659"/>
      <c r="AD861" s="659"/>
      <c r="AE861" s="659"/>
      <c r="AF861" s="659"/>
      <c r="AG861" s="657"/>
    </row>
    <row r="862" spans="1:33" ht="10.5" customHeight="1" x14ac:dyDescent="0.2">
      <c r="A862" s="657"/>
      <c r="B862" s="657"/>
      <c r="C862" s="657"/>
      <c r="D862" s="657"/>
      <c r="E862" s="657"/>
      <c r="F862" s="657"/>
      <c r="G862" s="657"/>
      <c r="H862" s="657"/>
      <c r="I862" s="657"/>
      <c r="L862" s="657"/>
      <c r="AA862" s="659"/>
      <c r="AB862" s="659"/>
      <c r="AC862" s="659"/>
      <c r="AD862" s="659"/>
      <c r="AE862" s="659"/>
      <c r="AF862" s="659"/>
      <c r="AG862" s="657"/>
    </row>
    <row r="863" spans="1:33" ht="10.5" customHeight="1" x14ac:dyDescent="0.2">
      <c r="A863" s="657"/>
      <c r="B863" s="657"/>
      <c r="C863" s="657"/>
      <c r="D863" s="657"/>
      <c r="E863" s="657"/>
      <c r="F863" s="657"/>
      <c r="G863" s="657"/>
      <c r="H863" s="657"/>
      <c r="I863" s="657"/>
      <c r="L863" s="657"/>
      <c r="AA863" s="659"/>
      <c r="AB863" s="659"/>
      <c r="AC863" s="659"/>
      <c r="AD863" s="659"/>
      <c r="AE863" s="659"/>
      <c r="AF863" s="659"/>
      <c r="AG863" s="657"/>
    </row>
    <row r="864" spans="1:33" ht="10.5" customHeight="1" x14ac:dyDescent="0.2">
      <c r="A864" s="657"/>
      <c r="B864" s="657"/>
      <c r="C864" s="657"/>
      <c r="D864" s="657"/>
      <c r="E864" s="657"/>
      <c r="F864" s="657"/>
      <c r="G864" s="657"/>
      <c r="H864" s="657"/>
      <c r="I864" s="657"/>
      <c r="L864" s="657"/>
      <c r="AA864" s="659"/>
      <c r="AB864" s="659"/>
      <c r="AC864" s="659"/>
      <c r="AD864" s="659"/>
      <c r="AE864" s="659"/>
      <c r="AF864" s="659"/>
      <c r="AG864" s="657"/>
    </row>
    <row r="865" spans="1:33" ht="10.5" customHeight="1" x14ac:dyDescent="0.2">
      <c r="A865" s="657"/>
      <c r="B865" s="657"/>
      <c r="C865" s="657"/>
      <c r="D865" s="657"/>
      <c r="E865" s="657"/>
      <c r="F865" s="657"/>
      <c r="G865" s="657"/>
      <c r="H865" s="657"/>
      <c r="I865" s="657"/>
      <c r="L865" s="657"/>
      <c r="AA865" s="659"/>
      <c r="AB865" s="659"/>
      <c r="AC865" s="659"/>
      <c r="AD865" s="659"/>
      <c r="AE865" s="659"/>
      <c r="AF865" s="659"/>
      <c r="AG865" s="657"/>
    </row>
    <row r="866" spans="1:33" ht="10.5" customHeight="1" x14ac:dyDescent="0.2">
      <c r="A866" s="657"/>
      <c r="B866" s="657"/>
      <c r="C866" s="657"/>
      <c r="D866" s="657"/>
      <c r="E866" s="657"/>
      <c r="F866" s="657"/>
      <c r="G866" s="657"/>
      <c r="H866" s="657"/>
      <c r="I866" s="657"/>
      <c r="L866" s="657"/>
      <c r="AA866" s="659"/>
      <c r="AB866" s="659"/>
      <c r="AC866" s="659"/>
      <c r="AD866" s="659"/>
      <c r="AE866" s="659"/>
      <c r="AF866" s="659"/>
      <c r="AG866" s="657"/>
    </row>
    <row r="867" spans="1:33" ht="10.5" customHeight="1" x14ac:dyDescent="0.2">
      <c r="A867" s="657"/>
      <c r="B867" s="657"/>
      <c r="C867" s="657"/>
      <c r="D867" s="657"/>
      <c r="E867" s="657"/>
      <c r="F867" s="657"/>
      <c r="G867" s="657"/>
      <c r="H867" s="657"/>
      <c r="I867" s="657"/>
      <c r="L867" s="657"/>
      <c r="AA867" s="659"/>
      <c r="AB867" s="659"/>
      <c r="AC867" s="659"/>
      <c r="AD867" s="659"/>
      <c r="AE867" s="659"/>
      <c r="AF867" s="659"/>
      <c r="AG867" s="657"/>
    </row>
    <row r="868" spans="1:33" ht="10.5" customHeight="1" x14ac:dyDescent="0.2">
      <c r="A868" s="657"/>
      <c r="B868" s="657"/>
      <c r="C868" s="657"/>
      <c r="D868" s="657"/>
      <c r="E868" s="657"/>
      <c r="F868" s="657"/>
      <c r="G868" s="657"/>
      <c r="H868" s="657"/>
      <c r="I868" s="657"/>
      <c r="L868" s="657"/>
      <c r="AA868" s="659"/>
      <c r="AB868" s="659"/>
      <c r="AC868" s="659"/>
      <c r="AD868" s="659"/>
      <c r="AE868" s="659"/>
      <c r="AF868" s="659"/>
      <c r="AG868" s="657"/>
    </row>
    <row r="869" spans="1:33" ht="10.5" customHeight="1" x14ac:dyDescent="0.2">
      <c r="A869" s="657"/>
      <c r="B869" s="657"/>
      <c r="C869" s="657"/>
      <c r="D869" s="657"/>
      <c r="E869" s="657"/>
      <c r="F869" s="657"/>
      <c r="G869" s="657"/>
      <c r="H869" s="657"/>
      <c r="I869" s="657"/>
      <c r="L869" s="657"/>
      <c r="AA869" s="659"/>
      <c r="AB869" s="659"/>
      <c r="AC869" s="659"/>
      <c r="AD869" s="659"/>
      <c r="AE869" s="659"/>
      <c r="AF869" s="659"/>
      <c r="AG869" s="657"/>
    </row>
    <row r="870" spans="1:33" ht="10.5" customHeight="1" x14ac:dyDescent="0.2">
      <c r="A870" s="657"/>
      <c r="B870" s="657"/>
      <c r="C870" s="657"/>
      <c r="D870" s="657"/>
      <c r="E870" s="657"/>
      <c r="F870" s="657"/>
      <c r="G870" s="657"/>
      <c r="H870" s="657"/>
      <c r="I870" s="657"/>
      <c r="L870" s="657"/>
      <c r="AA870" s="659"/>
      <c r="AB870" s="659"/>
      <c r="AC870" s="659"/>
      <c r="AD870" s="659"/>
      <c r="AE870" s="659"/>
      <c r="AF870" s="659"/>
      <c r="AG870" s="657"/>
    </row>
    <row r="871" spans="1:33" ht="10.5" customHeight="1" x14ac:dyDescent="0.2">
      <c r="A871" s="657"/>
      <c r="B871" s="657"/>
      <c r="C871" s="657"/>
      <c r="D871" s="657"/>
      <c r="E871" s="657"/>
      <c r="F871" s="657"/>
      <c r="G871" s="657"/>
      <c r="H871" s="657"/>
      <c r="I871" s="657"/>
      <c r="L871" s="657"/>
      <c r="AA871" s="659"/>
      <c r="AB871" s="659"/>
      <c r="AC871" s="659"/>
      <c r="AD871" s="659"/>
      <c r="AE871" s="659"/>
      <c r="AF871" s="659"/>
      <c r="AG871" s="657"/>
    </row>
    <row r="872" spans="1:33" ht="10.5" customHeight="1" x14ac:dyDescent="0.2">
      <c r="A872" s="657"/>
      <c r="B872" s="657"/>
      <c r="C872" s="657"/>
      <c r="D872" s="657"/>
      <c r="E872" s="657"/>
      <c r="F872" s="657"/>
      <c r="G872" s="657"/>
      <c r="H872" s="657"/>
      <c r="I872" s="657"/>
      <c r="L872" s="657"/>
      <c r="AA872" s="659"/>
      <c r="AB872" s="659"/>
      <c r="AC872" s="659"/>
      <c r="AD872" s="659"/>
      <c r="AE872" s="659"/>
      <c r="AF872" s="659"/>
      <c r="AG872" s="657"/>
    </row>
    <row r="873" spans="1:33" ht="10.5" customHeight="1" x14ac:dyDescent="0.2">
      <c r="A873" s="657"/>
      <c r="B873" s="657"/>
      <c r="C873" s="657"/>
      <c r="D873" s="657"/>
      <c r="E873" s="657"/>
      <c r="F873" s="657"/>
      <c r="G873" s="657"/>
      <c r="H873" s="657"/>
      <c r="I873" s="657"/>
      <c r="L873" s="657"/>
      <c r="AA873" s="659"/>
      <c r="AB873" s="659"/>
      <c r="AC873" s="659"/>
      <c r="AD873" s="659"/>
      <c r="AE873" s="659"/>
      <c r="AF873" s="659"/>
      <c r="AG873" s="657"/>
    </row>
    <row r="874" spans="1:33" ht="10.5" customHeight="1" x14ac:dyDescent="0.2">
      <c r="A874" s="657"/>
      <c r="B874" s="657"/>
      <c r="C874" s="657"/>
      <c r="D874" s="657"/>
      <c r="E874" s="657"/>
      <c r="F874" s="657"/>
      <c r="G874" s="657"/>
      <c r="H874" s="657"/>
      <c r="I874" s="657"/>
      <c r="L874" s="657"/>
      <c r="AA874" s="659"/>
      <c r="AB874" s="659"/>
      <c r="AC874" s="659"/>
      <c r="AD874" s="659"/>
      <c r="AE874" s="659"/>
      <c r="AF874" s="659"/>
      <c r="AG874" s="657"/>
    </row>
    <row r="875" spans="1:33" ht="10.5" customHeight="1" x14ac:dyDescent="0.2">
      <c r="A875" s="657"/>
      <c r="B875" s="657"/>
      <c r="C875" s="657"/>
      <c r="D875" s="657"/>
      <c r="E875" s="657"/>
      <c r="F875" s="657"/>
      <c r="G875" s="657"/>
      <c r="H875" s="657"/>
      <c r="I875" s="657"/>
      <c r="L875" s="657"/>
      <c r="AA875" s="659"/>
      <c r="AB875" s="659"/>
      <c r="AC875" s="659"/>
      <c r="AD875" s="659"/>
      <c r="AE875" s="659"/>
      <c r="AF875" s="659"/>
      <c r="AG875" s="657"/>
    </row>
    <row r="876" spans="1:33" ht="10.5" customHeight="1" x14ac:dyDescent="0.2">
      <c r="A876" s="657"/>
      <c r="B876" s="657"/>
      <c r="C876" s="657"/>
      <c r="D876" s="657"/>
      <c r="E876" s="657"/>
      <c r="F876" s="657"/>
      <c r="G876" s="657"/>
      <c r="H876" s="657"/>
      <c r="I876" s="657"/>
      <c r="L876" s="657"/>
      <c r="AA876" s="659"/>
      <c r="AB876" s="659"/>
      <c r="AC876" s="659"/>
      <c r="AD876" s="659"/>
      <c r="AE876" s="659"/>
      <c r="AF876" s="659"/>
      <c r="AG876" s="657"/>
    </row>
    <row r="877" spans="1:33" ht="10.5" customHeight="1" x14ac:dyDescent="0.2">
      <c r="A877" s="657"/>
      <c r="B877" s="657"/>
      <c r="C877" s="657"/>
      <c r="D877" s="657"/>
      <c r="E877" s="657"/>
      <c r="F877" s="657"/>
      <c r="G877" s="657"/>
      <c r="H877" s="657"/>
      <c r="I877" s="657"/>
      <c r="L877" s="657"/>
      <c r="AA877" s="659"/>
      <c r="AB877" s="659"/>
      <c r="AC877" s="659"/>
      <c r="AD877" s="659"/>
      <c r="AE877" s="659"/>
      <c r="AF877" s="659"/>
      <c r="AG877" s="657"/>
    </row>
    <row r="878" spans="1:33" ht="10.5" customHeight="1" x14ac:dyDescent="0.2">
      <c r="A878" s="657"/>
      <c r="B878" s="657"/>
      <c r="C878" s="657"/>
      <c r="D878" s="657"/>
      <c r="E878" s="657"/>
      <c r="F878" s="657"/>
      <c r="G878" s="657"/>
      <c r="H878" s="657"/>
      <c r="I878" s="657"/>
      <c r="L878" s="657"/>
      <c r="AA878" s="659"/>
      <c r="AB878" s="659"/>
      <c r="AC878" s="659"/>
      <c r="AD878" s="659"/>
      <c r="AE878" s="659"/>
      <c r="AF878" s="659"/>
      <c r="AG878" s="657"/>
    </row>
    <row r="879" spans="1:33" ht="10.5" customHeight="1" x14ac:dyDescent="0.2">
      <c r="A879" s="657"/>
      <c r="B879" s="657"/>
      <c r="C879" s="657"/>
      <c r="D879" s="657"/>
      <c r="E879" s="657"/>
      <c r="F879" s="657"/>
      <c r="G879" s="657"/>
      <c r="H879" s="657"/>
      <c r="I879" s="657"/>
      <c r="L879" s="657"/>
      <c r="AA879" s="659"/>
      <c r="AB879" s="659"/>
      <c r="AC879" s="659"/>
      <c r="AD879" s="659"/>
      <c r="AE879" s="659"/>
      <c r="AF879" s="659"/>
      <c r="AG879" s="657"/>
    </row>
    <row r="880" spans="1:33" ht="10.5" customHeight="1" x14ac:dyDescent="0.2">
      <c r="A880" s="657"/>
      <c r="B880" s="657"/>
      <c r="C880" s="657"/>
      <c r="D880" s="657"/>
      <c r="E880" s="657"/>
      <c r="F880" s="657"/>
      <c r="G880" s="657"/>
      <c r="H880" s="657"/>
      <c r="I880" s="657"/>
      <c r="L880" s="657"/>
      <c r="AA880" s="659"/>
      <c r="AB880" s="659"/>
      <c r="AC880" s="659"/>
      <c r="AD880" s="659"/>
      <c r="AE880" s="659"/>
      <c r="AF880" s="659"/>
      <c r="AG880" s="657"/>
    </row>
    <row r="881" spans="1:33" ht="10.5" customHeight="1" x14ac:dyDescent="0.2">
      <c r="A881" s="657"/>
      <c r="B881" s="657"/>
      <c r="C881" s="657"/>
      <c r="D881" s="657"/>
      <c r="E881" s="657"/>
      <c r="F881" s="657"/>
      <c r="G881" s="657"/>
      <c r="H881" s="657"/>
      <c r="I881" s="657"/>
      <c r="L881" s="657"/>
      <c r="AA881" s="659"/>
      <c r="AB881" s="659"/>
      <c r="AC881" s="659"/>
      <c r="AD881" s="659"/>
      <c r="AE881" s="659"/>
      <c r="AF881" s="659"/>
      <c r="AG881" s="657"/>
    </row>
    <row r="882" spans="1:33" ht="10.5" customHeight="1" x14ac:dyDescent="0.2">
      <c r="A882" s="657"/>
      <c r="B882" s="657"/>
      <c r="C882" s="657"/>
      <c r="D882" s="657"/>
      <c r="E882" s="657"/>
      <c r="F882" s="657"/>
      <c r="G882" s="657"/>
      <c r="H882" s="657"/>
      <c r="I882" s="657"/>
      <c r="L882" s="657"/>
      <c r="AA882" s="659"/>
      <c r="AB882" s="659"/>
      <c r="AC882" s="659"/>
      <c r="AD882" s="659"/>
      <c r="AE882" s="659"/>
      <c r="AF882" s="659"/>
      <c r="AG882" s="657"/>
    </row>
    <row r="883" spans="1:33" ht="10.5" customHeight="1" x14ac:dyDescent="0.2">
      <c r="A883" s="657"/>
      <c r="B883" s="657"/>
      <c r="C883" s="657"/>
      <c r="D883" s="657"/>
      <c r="E883" s="657"/>
      <c r="F883" s="657"/>
      <c r="G883" s="657"/>
      <c r="H883" s="657"/>
      <c r="I883" s="657"/>
      <c r="L883" s="657"/>
      <c r="AA883" s="659"/>
      <c r="AB883" s="659"/>
      <c r="AC883" s="659"/>
      <c r="AD883" s="659"/>
      <c r="AE883" s="659"/>
      <c r="AF883" s="659"/>
      <c r="AG883" s="657"/>
    </row>
    <row r="884" spans="1:33" ht="10.5" customHeight="1" x14ac:dyDescent="0.2">
      <c r="A884" s="657"/>
      <c r="B884" s="657"/>
      <c r="C884" s="657"/>
      <c r="D884" s="657"/>
      <c r="E884" s="657"/>
      <c r="F884" s="657"/>
      <c r="G884" s="657"/>
      <c r="H884" s="657"/>
      <c r="I884" s="657"/>
      <c r="L884" s="657"/>
      <c r="AA884" s="659"/>
      <c r="AB884" s="659"/>
      <c r="AC884" s="659"/>
      <c r="AD884" s="659"/>
      <c r="AE884" s="659"/>
      <c r="AF884" s="659"/>
      <c r="AG884" s="657"/>
    </row>
    <row r="885" spans="1:33" ht="10.5" customHeight="1" x14ac:dyDescent="0.2">
      <c r="A885" s="657"/>
      <c r="B885" s="657"/>
      <c r="C885" s="657"/>
      <c r="D885" s="657"/>
      <c r="E885" s="657"/>
      <c r="F885" s="657"/>
      <c r="G885" s="657"/>
      <c r="H885" s="657"/>
      <c r="I885" s="657"/>
      <c r="L885" s="657"/>
      <c r="AA885" s="659"/>
      <c r="AB885" s="659"/>
      <c r="AC885" s="659"/>
      <c r="AD885" s="659"/>
      <c r="AE885" s="659"/>
      <c r="AF885" s="659"/>
      <c r="AG885" s="657"/>
    </row>
    <row r="886" spans="1:33" ht="10.5" customHeight="1" x14ac:dyDescent="0.2">
      <c r="A886" s="657"/>
      <c r="B886" s="657"/>
      <c r="C886" s="657"/>
      <c r="D886" s="657"/>
      <c r="E886" s="657"/>
      <c r="F886" s="657"/>
      <c r="G886" s="657"/>
      <c r="H886" s="657"/>
      <c r="I886" s="657"/>
      <c r="L886" s="657"/>
      <c r="AA886" s="659"/>
      <c r="AB886" s="659"/>
      <c r="AC886" s="659"/>
      <c r="AD886" s="659"/>
      <c r="AE886" s="659"/>
      <c r="AF886" s="659"/>
      <c r="AG886" s="657"/>
    </row>
    <row r="887" spans="1:33" ht="10.5" customHeight="1" x14ac:dyDescent="0.2">
      <c r="A887" s="657"/>
      <c r="B887" s="657"/>
      <c r="C887" s="657"/>
      <c r="D887" s="657"/>
      <c r="E887" s="657"/>
      <c r="F887" s="657"/>
      <c r="G887" s="657"/>
      <c r="H887" s="657"/>
      <c r="I887" s="657"/>
      <c r="L887" s="657"/>
      <c r="AA887" s="659"/>
      <c r="AB887" s="659"/>
      <c r="AC887" s="659"/>
      <c r="AD887" s="659"/>
      <c r="AE887" s="659"/>
      <c r="AF887" s="659"/>
      <c r="AG887" s="657"/>
    </row>
    <row r="888" spans="1:33" ht="10.5" customHeight="1" x14ac:dyDescent="0.2">
      <c r="A888" s="657"/>
      <c r="B888" s="657"/>
      <c r="C888" s="657"/>
      <c r="D888" s="657"/>
      <c r="E888" s="657"/>
      <c r="F888" s="657"/>
      <c r="G888" s="657"/>
      <c r="H888" s="657"/>
      <c r="I888" s="657"/>
      <c r="L888" s="657"/>
      <c r="AA888" s="659"/>
      <c r="AB888" s="659"/>
      <c r="AC888" s="659"/>
      <c r="AD888" s="659"/>
      <c r="AE888" s="659"/>
      <c r="AF888" s="659"/>
      <c r="AG888" s="657"/>
    </row>
    <row r="889" spans="1:33" ht="10.5" customHeight="1" x14ac:dyDescent="0.2">
      <c r="A889" s="657"/>
      <c r="B889" s="657"/>
      <c r="C889" s="657"/>
      <c r="D889" s="657"/>
      <c r="E889" s="657"/>
      <c r="F889" s="657"/>
      <c r="G889" s="657"/>
      <c r="H889" s="657"/>
      <c r="I889" s="657"/>
      <c r="L889" s="657"/>
      <c r="AA889" s="659"/>
      <c r="AB889" s="659"/>
      <c r="AC889" s="659"/>
      <c r="AD889" s="659"/>
      <c r="AE889" s="659"/>
      <c r="AF889" s="659"/>
      <c r="AG889" s="657"/>
    </row>
    <row r="890" spans="1:33" ht="10.5" customHeight="1" x14ac:dyDescent="0.2">
      <c r="A890" s="657"/>
      <c r="B890" s="657"/>
      <c r="C890" s="657"/>
      <c r="D890" s="657"/>
      <c r="E890" s="657"/>
      <c r="F890" s="657"/>
      <c r="G890" s="657"/>
      <c r="H890" s="657"/>
      <c r="I890" s="657"/>
      <c r="L890" s="657"/>
      <c r="AA890" s="659"/>
      <c r="AB890" s="659"/>
      <c r="AC890" s="659"/>
      <c r="AD890" s="659"/>
      <c r="AE890" s="659"/>
      <c r="AF890" s="659"/>
      <c r="AG890" s="657"/>
    </row>
    <row r="891" spans="1:33" ht="10.5" customHeight="1" x14ac:dyDescent="0.2">
      <c r="A891" s="657"/>
      <c r="B891" s="657"/>
      <c r="C891" s="657"/>
      <c r="D891" s="657"/>
      <c r="E891" s="657"/>
      <c r="F891" s="657"/>
      <c r="G891" s="657"/>
      <c r="H891" s="657"/>
      <c r="I891" s="657"/>
      <c r="L891" s="657"/>
      <c r="AA891" s="659"/>
      <c r="AB891" s="659"/>
      <c r="AC891" s="659"/>
      <c r="AD891" s="659"/>
      <c r="AE891" s="659"/>
      <c r="AF891" s="659"/>
      <c r="AG891" s="657"/>
    </row>
    <row r="892" spans="1:33" ht="10.5" customHeight="1" x14ac:dyDescent="0.2">
      <c r="A892" s="657"/>
      <c r="B892" s="657"/>
      <c r="C892" s="657"/>
      <c r="D892" s="657"/>
      <c r="E892" s="657"/>
      <c r="F892" s="657"/>
      <c r="G892" s="657"/>
      <c r="H892" s="657"/>
      <c r="I892" s="657"/>
      <c r="L892" s="657"/>
      <c r="AA892" s="659"/>
      <c r="AB892" s="659"/>
      <c r="AC892" s="659"/>
      <c r="AD892" s="659"/>
      <c r="AE892" s="659"/>
      <c r="AF892" s="659"/>
      <c r="AG892" s="657"/>
    </row>
    <row r="893" spans="1:33" ht="10.5" customHeight="1" x14ac:dyDescent="0.2">
      <c r="A893" s="657"/>
      <c r="B893" s="657"/>
      <c r="C893" s="657"/>
      <c r="D893" s="657"/>
      <c r="E893" s="657"/>
      <c r="F893" s="657"/>
      <c r="G893" s="657"/>
      <c r="H893" s="657"/>
      <c r="I893" s="657"/>
      <c r="L893" s="657"/>
      <c r="AA893" s="659"/>
      <c r="AB893" s="659"/>
      <c r="AC893" s="659"/>
      <c r="AD893" s="659"/>
      <c r="AE893" s="659"/>
      <c r="AF893" s="659"/>
      <c r="AG893" s="657"/>
    </row>
    <row r="894" spans="1:33" ht="10.5" customHeight="1" x14ac:dyDescent="0.2">
      <c r="A894" s="657"/>
      <c r="B894" s="657"/>
      <c r="C894" s="657"/>
      <c r="D894" s="657"/>
      <c r="E894" s="657"/>
      <c r="F894" s="657"/>
      <c r="G894" s="657"/>
      <c r="H894" s="657"/>
      <c r="I894" s="657"/>
      <c r="L894" s="657"/>
      <c r="AA894" s="659"/>
      <c r="AB894" s="659"/>
      <c r="AC894" s="659"/>
      <c r="AD894" s="659"/>
      <c r="AE894" s="659"/>
      <c r="AF894" s="659"/>
      <c r="AG894" s="657"/>
    </row>
    <row r="895" spans="1:33" ht="10.5" customHeight="1" x14ac:dyDescent="0.2">
      <c r="A895" s="657"/>
      <c r="B895" s="657"/>
      <c r="C895" s="657"/>
      <c r="D895" s="657"/>
      <c r="E895" s="657"/>
      <c r="F895" s="657"/>
      <c r="G895" s="657"/>
      <c r="H895" s="657"/>
      <c r="I895" s="657"/>
      <c r="L895" s="657"/>
      <c r="AA895" s="659"/>
      <c r="AB895" s="659"/>
      <c r="AC895" s="659"/>
      <c r="AD895" s="659"/>
      <c r="AE895" s="659"/>
      <c r="AF895" s="659"/>
      <c r="AG895" s="657"/>
    </row>
    <row r="896" spans="1:33" ht="10.5" customHeight="1" x14ac:dyDescent="0.2">
      <c r="A896" s="657"/>
      <c r="B896" s="657"/>
      <c r="C896" s="657"/>
      <c r="D896" s="657"/>
      <c r="E896" s="657"/>
      <c r="F896" s="657"/>
      <c r="G896" s="657"/>
      <c r="H896" s="657"/>
      <c r="I896" s="657"/>
      <c r="L896" s="657"/>
      <c r="AA896" s="659"/>
      <c r="AB896" s="659"/>
      <c r="AC896" s="659"/>
      <c r="AD896" s="659"/>
      <c r="AE896" s="659"/>
      <c r="AF896" s="659"/>
      <c r="AG896" s="657"/>
    </row>
    <row r="897" spans="1:33" ht="10.5" customHeight="1" x14ac:dyDescent="0.2">
      <c r="A897" s="657"/>
      <c r="B897" s="657"/>
      <c r="C897" s="657"/>
      <c r="D897" s="657"/>
      <c r="E897" s="657"/>
      <c r="F897" s="657"/>
      <c r="G897" s="657"/>
      <c r="H897" s="657"/>
      <c r="I897" s="657"/>
      <c r="L897" s="657"/>
      <c r="AA897" s="659"/>
      <c r="AB897" s="659"/>
      <c r="AC897" s="659"/>
      <c r="AD897" s="659"/>
      <c r="AE897" s="659"/>
      <c r="AF897" s="659"/>
      <c r="AG897" s="657"/>
    </row>
    <row r="898" spans="1:33" ht="10.5" customHeight="1" x14ac:dyDescent="0.2">
      <c r="A898" s="657"/>
      <c r="B898" s="657"/>
      <c r="C898" s="657"/>
      <c r="D898" s="657"/>
      <c r="E898" s="657"/>
      <c r="F898" s="657"/>
      <c r="G898" s="657"/>
      <c r="H898" s="657"/>
      <c r="I898" s="657"/>
      <c r="L898" s="657"/>
      <c r="AA898" s="659"/>
      <c r="AB898" s="659"/>
      <c r="AC898" s="659"/>
      <c r="AD898" s="659"/>
      <c r="AE898" s="659"/>
      <c r="AF898" s="659"/>
      <c r="AG898" s="657"/>
    </row>
    <row r="899" spans="1:33" ht="10.5" customHeight="1" x14ac:dyDescent="0.2">
      <c r="A899" s="657"/>
      <c r="B899" s="657"/>
      <c r="C899" s="657"/>
      <c r="D899" s="657"/>
      <c r="E899" s="657"/>
      <c r="F899" s="657"/>
      <c r="G899" s="657"/>
      <c r="H899" s="657"/>
      <c r="I899" s="657"/>
      <c r="L899" s="657"/>
      <c r="AA899" s="659"/>
      <c r="AB899" s="659"/>
      <c r="AC899" s="659"/>
      <c r="AD899" s="659"/>
      <c r="AE899" s="659"/>
      <c r="AF899" s="659"/>
      <c r="AG899" s="657"/>
    </row>
    <row r="900" spans="1:33" ht="10.5" customHeight="1" x14ac:dyDescent="0.2">
      <c r="A900" s="657"/>
      <c r="B900" s="657"/>
      <c r="C900" s="657"/>
      <c r="D900" s="657"/>
      <c r="E900" s="657"/>
      <c r="F900" s="657"/>
      <c r="G900" s="657"/>
      <c r="H900" s="657"/>
      <c r="I900" s="657"/>
      <c r="L900" s="657"/>
      <c r="AA900" s="659"/>
      <c r="AB900" s="659"/>
      <c r="AC900" s="659"/>
      <c r="AD900" s="659"/>
      <c r="AE900" s="659"/>
      <c r="AF900" s="659"/>
      <c r="AG900" s="657"/>
    </row>
    <row r="901" spans="1:33" ht="10.5" customHeight="1" x14ac:dyDescent="0.2">
      <c r="A901" s="657"/>
      <c r="B901" s="657"/>
      <c r="C901" s="657"/>
      <c r="D901" s="657"/>
      <c r="E901" s="657"/>
      <c r="F901" s="657"/>
      <c r="G901" s="657"/>
      <c r="H901" s="657"/>
      <c r="I901" s="657"/>
      <c r="L901" s="657"/>
      <c r="AA901" s="659"/>
      <c r="AB901" s="659"/>
      <c r="AC901" s="659"/>
      <c r="AD901" s="659"/>
      <c r="AE901" s="659"/>
      <c r="AF901" s="659"/>
      <c r="AG901" s="657"/>
    </row>
    <row r="902" spans="1:33" ht="10.5" customHeight="1" x14ac:dyDescent="0.2">
      <c r="A902" s="657"/>
      <c r="B902" s="657"/>
      <c r="C902" s="657"/>
      <c r="D902" s="657"/>
      <c r="E902" s="657"/>
      <c r="F902" s="657"/>
      <c r="G902" s="657"/>
      <c r="H902" s="657"/>
      <c r="I902" s="657"/>
      <c r="L902" s="657"/>
      <c r="AA902" s="659"/>
      <c r="AB902" s="659"/>
      <c r="AC902" s="659"/>
      <c r="AD902" s="659"/>
      <c r="AE902" s="659"/>
      <c r="AF902" s="659"/>
      <c r="AG902" s="657"/>
    </row>
    <row r="903" spans="1:33" ht="10.5" customHeight="1" x14ac:dyDescent="0.2">
      <c r="A903" s="657"/>
      <c r="B903" s="657"/>
      <c r="C903" s="657"/>
      <c r="D903" s="657"/>
      <c r="E903" s="657"/>
      <c r="F903" s="657"/>
      <c r="G903" s="657"/>
      <c r="H903" s="657"/>
      <c r="I903" s="657"/>
      <c r="L903" s="657"/>
      <c r="AA903" s="659"/>
      <c r="AB903" s="659"/>
      <c r="AC903" s="659"/>
      <c r="AD903" s="659"/>
      <c r="AE903" s="659"/>
      <c r="AF903" s="659"/>
      <c r="AG903" s="657"/>
    </row>
    <row r="904" spans="1:33" ht="10.5" customHeight="1" x14ac:dyDescent="0.2">
      <c r="A904" s="657"/>
      <c r="B904" s="657"/>
      <c r="C904" s="657"/>
      <c r="D904" s="657"/>
      <c r="E904" s="657"/>
      <c r="F904" s="657"/>
      <c r="G904" s="657"/>
      <c r="H904" s="657"/>
      <c r="I904" s="657"/>
      <c r="L904" s="657"/>
      <c r="AA904" s="659"/>
      <c r="AB904" s="659"/>
      <c r="AC904" s="659"/>
      <c r="AD904" s="659"/>
      <c r="AE904" s="659"/>
      <c r="AF904" s="659"/>
      <c r="AG904" s="657"/>
    </row>
    <row r="905" spans="1:33" ht="10.5" customHeight="1" x14ac:dyDescent="0.2">
      <c r="A905" s="657"/>
      <c r="B905" s="657"/>
      <c r="C905" s="657"/>
      <c r="D905" s="657"/>
      <c r="E905" s="657"/>
      <c r="F905" s="657"/>
      <c r="G905" s="657"/>
      <c r="H905" s="657"/>
      <c r="I905" s="657"/>
      <c r="L905" s="657"/>
      <c r="AA905" s="659"/>
      <c r="AB905" s="659"/>
      <c r="AC905" s="659"/>
      <c r="AD905" s="659"/>
      <c r="AE905" s="659"/>
      <c r="AF905" s="659"/>
      <c r="AG905" s="657"/>
    </row>
    <row r="906" spans="1:33" ht="10.5" customHeight="1" x14ac:dyDescent="0.2">
      <c r="A906" s="657"/>
      <c r="B906" s="657"/>
      <c r="C906" s="657"/>
      <c r="D906" s="657"/>
      <c r="E906" s="657"/>
      <c r="F906" s="657"/>
      <c r="G906" s="657"/>
      <c r="H906" s="657"/>
      <c r="I906" s="657"/>
      <c r="L906" s="657"/>
      <c r="AA906" s="659"/>
      <c r="AB906" s="659"/>
      <c r="AC906" s="659"/>
      <c r="AD906" s="659"/>
      <c r="AE906" s="659"/>
      <c r="AF906" s="659"/>
      <c r="AG906" s="657"/>
    </row>
    <row r="907" spans="1:33" ht="10.5" customHeight="1" x14ac:dyDescent="0.2">
      <c r="A907" s="657"/>
      <c r="B907" s="657"/>
      <c r="C907" s="657"/>
      <c r="D907" s="657"/>
      <c r="E907" s="657"/>
      <c r="F907" s="657"/>
      <c r="G907" s="657"/>
      <c r="H907" s="657"/>
      <c r="I907" s="657"/>
      <c r="L907" s="657"/>
      <c r="AA907" s="659"/>
      <c r="AB907" s="659"/>
      <c r="AC907" s="659"/>
      <c r="AD907" s="659"/>
      <c r="AE907" s="659"/>
      <c r="AF907" s="659"/>
      <c r="AG907" s="657"/>
    </row>
    <row r="908" spans="1:33" ht="10.5" customHeight="1" x14ac:dyDescent="0.2">
      <c r="A908" s="657"/>
      <c r="B908" s="657"/>
      <c r="C908" s="657"/>
      <c r="D908" s="657"/>
      <c r="E908" s="657"/>
      <c r="F908" s="657"/>
      <c r="G908" s="657"/>
      <c r="H908" s="657"/>
      <c r="I908" s="657"/>
      <c r="L908" s="657"/>
      <c r="AA908" s="659"/>
      <c r="AB908" s="659"/>
      <c r="AC908" s="659"/>
      <c r="AD908" s="659"/>
      <c r="AE908" s="659"/>
      <c r="AF908" s="659"/>
      <c r="AG908" s="657"/>
    </row>
    <row r="909" spans="1:33" ht="10.5" customHeight="1" x14ac:dyDescent="0.2">
      <c r="A909" s="657"/>
      <c r="B909" s="657"/>
      <c r="C909" s="657"/>
      <c r="D909" s="657"/>
      <c r="E909" s="657"/>
      <c r="F909" s="657"/>
      <c r="G909" s="657"/>
      <c r="H909" s="657"/>
      <c r="I909" s="657"/>
      <c r="L909" s="657"/>
      <c r="AA909" s="659"/>
      <c r="AB909" s="659"/>
      <c r="AC909" s="659"/>
      <c r="AD909" s="659"/>
      <c r="AE909" s="659"/>
      <c r="AF909" s="659"/>
      <c r="AG909" s="657"/>
    </row>
    <row r="910" spans="1:33" ht="10.5" customHeight="1" x14ac:dyDescent="0.2">
      <c r="A910" s="657"/>
      <c r="B910" s="657"/>
      <c r="C910" s="657"/>
      <c r="D910" s="657"/>
      <c r="E910" s="657"/>
      <c r="F910" s="657"/>
      <c r="G910" s="657"/>
      <c r="H910" s="657"/>
      <c r="I910" s="657"/>
      <c r="L910" s="657"/>
      <c r="AA910" s="659"/>
      <c r="AB910" s="659"/>
      <c r="AC910" s="659"/>
      <c r="AD910" s="659"/>
      <c r="AE910" s="659"/>
      <c r="AF910" s="659"/>
      <c r="AG910" s="657"/>
    </row>
    <row r="911" spans="1:33" ht="10.5" customHeight="1" x14ac:dyDescent="0.2">
      <c r="A911" s="657"/>
      <c r="B911" s="657"/>
      <c r="C911" s="657"/>
      <c r="D911" s="657"/>
      <c r="E911" s="657"/>
      <c r="F911" s="657"/>
      <c r="G911" s="657"/>
      <c r="H911" s="657"/>
      <c r="I911" s="657"/>
      <c r="L911" s="657"/>
      <c r="AA911" s="659"/>
      <c r="AB911" s="659"/>
      <c r="AC911" s="659"/>
      <c r="AD911" s="659"/>
      <c r="AE911" s="659"/>
      <c r="AF911" s="659"/>
      <c r="AG911" s="657"/>
    </row>
    <row r="912" spans="1:33" ht="10.5" customHeight="1" x14ac:dyDescent="0.2">
      <c r="A912" s="657"/>
      <c r="B912" s="657"/>
      <c r="C912" s="657"/>
      <c r="D912" s="657"/>
      <c r="E912" s="657"/>
      <c r="F912" s="657"/>
      <c r="G912" s="657"/>
      <c r="H912" s="657"/>
      <c r="I912" s="657"/>
      <c r="L912" s="657"/>
      <c r="AA912" s="659"/>
      <c r="AB912" s="659"/>
      <c r="AC912" s="659"/>
      <c r="AD912" s="659"/>
      <c r="AE912" s="659"/>
      <c r="AF912" s="659"/>
      <c r="AG912" s="657"/>
    </row>
    <row r="913" spans="1:33" ht="10.5" customHeight="1" x14ac:dyDescent="0.2">
      <c r="A913" s="657"/>
      <c r="B913" s="657"/>
      <c r="C913" s="657"/>
      <c r="D913" s="657"/>
      <c r="E913" s="657"/>
      <c r="F913" s="657"/>
      <c r="G913" s="657"/>
      <c r="H913" s="657"/>
      <c r="I913" s="657"/>
      <c r="L913" s="657"/>
      <c r="AA913" s="659"/>
      <c r="AB913" s="659"/>
      <c r="AC913" s="659"/>
      <c r="AD913" s="659"/>
      <c r="AE913" s="659"/>
      <c r="AF913" s="659"/>
      <c r="AG913" s="657"/>
    </row>
    <row r="914" spans="1:33" ht="10.5" customHeight="1" x14ac:dyDescent="0.2">
      <c r="A914" s="657"/>
      <c r="B914" s="657"/>
      <c r="C914" s="657"/>
      <c r="D914" s="657"/>
      <c r="E914" s="657"/>
      <c r="F914" s="657"/>
      <c r="G914" s="657"/>
      <c r="H914" s="657"/>
      <c r="I914" s="657"/>
      <c r="L914" s="657"/>
      <c r="AA914" s="659"/>
      <c r="AB914" s="659"/>
      <c r="AC914" s="659"/>
      <c r="AD914" s="659"/>
      <c r="AE914" s="659"/>
      <c r="AF914" s="659"/>
      <c r="AG914" s="657"/>
    </row>
    <row r="915" spans="1:33" ht="10.5" customHeight="1" x14ac:dyDescent="0.2">
      <c r="A915" s="657"/>
      <c r="B915" s="657"/>
      <c r="C915" s="657"/>
      <c r="D915" s="657"/>
      <c r="E915" s="657"/>
      <c r="F915" s="657"/>
      <c r="G915" s="657"/>
      <c r="H915" s="657"/>
      <c r="I915" s="657"/>
      <c r="L915" s="657"/>
      <c r="AA915" s="659"/>
      <c r="AB915" s="659"/>
      <c r="AC915" s="659"/>
      <c r="AD915" s="659"/>
      <c r="AE915" s="659"/>
      <c r="AF915" s="659"/>
      <c r="AG915" s="657"/>
    </row>
    <row r="916" spans="1:33" ht="10.5" customHeight="1" x14ac:dyDescent="0.2">
      <c r="A916" s="657"/>
      <c r="B916" s="657"/>
      <c r="C916" s="657"/>
      <c r="D916" s="657"/>
      <c r="E916" s="657"/>
      <c r="F916" s="657"/>
      <c r="G916" s="657"/>
      <c r="H916" s="657"/>
      <c r="I916" s="657"/>
      <c r="L916" s="657"/>
      <c r="AA916" s="659"/>
      <c r="AB916" s="659"/>
      <c r="AC916" s="659"/>
      <c r="AD916" s="659"/>
      <c r="AE916" s="659"/>
      <c r="AF916" s="659"/>
      <c r="AG916" s="657"/>
    </row>
    <row r="917" spans="1:33" ht="10.5" customHeight="1" x14ac:dyDescent="0.2">
      <c r="A917" s="657"/>
      <c r="B917" s="657"/>
      <c r="C917" s="657"/>
      <c r="D917" s="657"/>
      <c r="E917" s="657"/>
      <c r="F917" s="657"/>
      <c r="G917" s="657"/>
      <c r="H917" s="657"/>
      <c r="I917" s="657"/>
      <c r="L917" s="657"/>
      <c r="AA917" s="659"/>
      <c r="AB917" s="659"/>
      <c r="AC917" s="659"/>
      <c r="AD917" s="659"/>
      <c r="AE917" s="659"/>
      <c r="AF917" s="659"/>
      <c r="AG917" s="657"/>
    </row>
    <row r="918" spans="1:33" ht="10.5" customHeight="1" x14ac:dyDescent="0.2">
      <c r="A918" s="657"/>
      <c r="B918" s="657"/>
      <c r="C918" s="657"/>
      <c r="D918" s="657"/>
      <c r="E918" s="657"/>
      <c r="F918" s="657"/>
      <c r="G918" s="657"/>
      <c r="H918" s="657"/>
      <c r="I918" s="657"/>
      <c r="L918" s="657"/>
      <c r="AA918" s="659"/>
      <c r="AB918" s="659"/>
      <c r="AC918" s="659"/>
      <c r="AD918" s="659"/>
      <c r="AE918" s="659"/>
      <c r="AF918" s="659"/>
      <c r="AG918" s="657"/>
    </row>
    <row r="919" spans="1:33" ht="10.5" customHeight="1" x14ac:dyDescent="0.2">
      <c r="A919" s="657"/>
      <c r="B919" s="657"/>
      <c r="C919" s="657"/>
      <c r="D919" s="657"/>
      <c r="E919" s="657"/>
      <c r="F919" s="657"/>
      <c r="G919" s="657"/>
      <c r="H919" s="657"/>
      <c r="I919" s="657"/>
      <c r="L919" s="657"/>
      <c r="AA919" s="659"/>
      <c r="AB919" s="659"/>
      <c r="AC919" s="659"/>
      <c r="AD919" s="659"/>
      <c r="AE919" s="659"/>
      <c r="AF919" s="659"/>
      <c r="AG919" s="657"/>
    </row>
    <row r="920" spans="1:33" ht="10.5" customHeight="1" x14ac:dyDescent="0.2">
      <c r="A920" s="657"/>
      <c r="B920" s="657"/>
      <c r="C920" s="657"/>
      <c r="D920" s="657"/>
      <c r="E920" s="657"/>
      <c r="F920" s="657"/>
      <c r="G920" s="657"/>
      <c r="H920" s="657"/>
      <c r="I920" s="657"/>
      <c r="L920" s="657"/>
      <c r="AA920" s="659"/>
      <c r="AB920" s="659"/>
      <c r="AC920" s="659"/>
      <c r="AD920" s="659"/>
      <c r="AE920" s="659"/>
      <c r="AF920" s="659"/>
      <c r="AG920" s="657"/>
    </row>
    <row r="921" spans="1:33" ht="10.5" customHeight="1" x14ac:dyDescent="0.2">
      <c r="A921" s="657"/>
      <c r="B921" s="657"/>
      <c r="C921" s="657"/>
      <c r="D921" s="657"/>
      <c r="E921" s="657"/>
      <c r="F921" s="657"/>
      <c r="G921" s="657"/>
      <c r="H921" s="657"/>
      <c r="I921" s="657"/>
      <c r="L921" s="657"/>
      <c r="AA921" s="659"/>
      <c r="AB921" s="659"/>
      <c r="AC921" s="659"/>
      <c r="AD921" s="659"/>
      <c r="AE921" s="659"/>
      <c r="AF921" s="659"/>
      <c r="AG921" s="657"/>
    </row>
    <row r="922" spans="1:33" ht="10.5" customHeight="1" x14ac:dyDescent="0.2">
      <c r="A922" s="657"/>
      <c r="B922" s="657"/>
      <c r="C922" s="657"/>
      <c r="D922" s="657"/>
      <c r="E922" s="657"/>
      <c r="F922" s="657"/>
      <c r="G922" s="657"/>
      <c r="H922" s="657"/>
      <c r="I922" s="657"/>
      <c r="L922" s="657"/>
      <c r="AA922" s="659"/>
      <c r="AB922" s="659"/>
      <c r="AC922" s="659"/>
      <c r="AD922" s="659"/>
      <c r="AE922" s="659"/>
      <c r="AF922" s="659"/>
      <c r="AG922" s="657"/>
    </row>
    <row r="923" spans="1:33" ht="10.5" customHeight="1" x14ac:dyDescent="0.2">
      <c r="A923" s="657"/>
      <c r="B923" s="657"/>
      <c r="C923" s="657"/>
      <c r="D923" s="657"/>
      <c r="E923" s="657"/>
      <c r="F923" s="657"/>
      <c r="G923" s="657"/>
      <c r="H923" s="657"/>
      <c r="I923" s="657"/>
      <c r="L923" s="657"/>
      <c r="AA923" s="659"/>
      <c r="AB923" s="659"/>
      <c r="AC923" s="659"/>
      <c r="AD923" s="659"/>
      <c r="AE923" s="659"/>
      <c r="AF923" s="659"/>
      <c r="AG923" s="657"/>
    </row>
    <row r="924" spans="1:33" ht="10.5" customHeight="1" x14ac:dyDescent="0.2">
      <c r="A924" s="657"/>
      <c r="B924" s="657"/>
      <c r="C924" s="657"/>
      <c r="D924" s="657"/>
      <c r="E924" s="657"/>
      <c r="F924" s="657"/>
      <c r="G924" s="657"/>
      <c r="H924" s="657"/>
      <c r="I924" s="657"/>
      <c r="L924" s="657"/>
      <c r="AA924" s="659"/>
      <c r="AB924" s="659"/>
      <c r="AC924" s="659"/>
      <c r="AD924" s="659"/>
      <c r="AE924" s="659"/>
      <c r="AF924" s="659"/>
      <c r="AG924" s="657"/>
    </row>
    <row r="925" spans="1:33" ht="10.5" customHeight="1" x14ac:dyDescent="0.2">
      <c r="A925" s="657"/>
      <c r="B925" s="657"/>
      <c r="C925" s="657"/>
      <c r="D925" s="657"/>
      <c r="E925" s="657"/>
      <c r="F925" s="657"/>
      <c r="G925" s="657"/>
      <c r="H925" s="657"/>
      <c r="I925" s="657"/>
      <c r="L925" s="657"/>
      <c r="AA925" s="659"/>
      <c r="AB925" s="659"/>
      <c r="AC925" s="659"/>
      <c r="AD925" s="659"/>
      <c r="AE925" s="659"/>
      <c r="AF925" s="659"/>
      <c r="AG925" s="657"/>
    </row>
    <row r="926" spans="1:33" ht="10.5" customHeight="1" x14ac:dyDescent="0.2">
      <c r="A926" s="657"/>
      <c r="B926" s="657"/>
      <c r="C926" s="657"/>
      <c r="D926" s="657"/>
      <c r="E926" s="657"/>
      <c r="F926" s="657"/>
      <c r="G926" s="657"/>
      <c r="H926" s="657"/>
      <c r="I926" s="657"/>
      <c r="L926" s="657"/>
      <c r="AA926" s="659"/>
      <c r="AB926" s="659"/>
      <c r="AC926" s="659"/>
      <c r="AD926" s="659"/>
      <c r="AE926" s="659"/>
      <c r="AF926" s="659"/>
      <c r="AG926" s="657"/>
    </row>
    <row r="927" spans="1:33" ht="10.5" customHeight="1" x14ac:dyDescent="0.2">
      <c r="A927" s="657"/>
      <c r="B927" s="657"/>
      <c r="C927" s="657"/>
      <c r="D927" s="657"/>
      <c r="E927" s="657"/>
      <c r="F927" s="657"/>
      <c r="G927" s="657"/>
      <c r="H927" s="657"/>
      <c r="I927" s="657"/>
      <c r="L927" s="657"/>
      <c r="AA927" s="659"/>
      <c r="AB927" s="659"/>
      <c r="AC927" s="659"/>
      <c r="AD927" s="659"/>
      <c r="AE927" s="659"/>
      <c r="AF927" s="659"/>
      <c r="AG927" s="657"/>
    </row>
    <row r="928" spans="1:33" ht="10.5" customHeight="1" x14ac:dyDescent="0.2">
      <c r="A928" s="657"/>
      <c r="B928" s="657"/>
      <c r="C928" s="657"/>
      <c r="D928" s="657"/>
      <c r="E928" s="657"/>
      <c r="F928" s="657"/>
      <c r="G928" s="657"/>
      <c r="H928" s="657"/>
      <c r="I928" s="657"/>
      <c r="L928" s="657"/>
      <c r="AA928" s="659"/>
      <c r="AB928" s="659"/>
      <c r="AC928" s="659"/>
      <c r="AD928" s="659"/>
      <c r="AE928" s="659"/>
      <c r="AF928" s="659"/>
      <c r="AG928" s="657"/>
    </row>
    <row r="929" spans="1:33" ht="10.5" customHeight="1" x14ac:dyDescent="0.2">
      <c r="A929" s="657"/>
      <c r="B929" s="657"/>
      <c r="C929" s="657"/>
      <c r="D929" s="657"/>
      <c r="E929" s="657"/>
      <c r="F929" s="657"/>
      <c r="G929" s="657"/>
      <c r="H929" s="657"/>
      <c r="I929" s="657"/>
      <c r="L929" s="657"/>
      <c r="AA929" s="659"/>
      <c r="AB929" s="659"/>
      <c r="AC929" s="659"/>
      <c r="AD929" s="659"/>
      <c r="AE929" s="659"/>
      <c r="AF929" s="659"/>
      <c r="AG929" s="657"/>
    </row>
    <row r="930" spans="1:33" ht="10.5" customHeight="1" x14ac:dyDescent="0.2">
      <c r="A930" s="657"/>
      <c r="B930" s="657"/>
      <c r="C930" s="657"/>
      <c r="D930" s="657"/>
      <c r="E930" s="657"/>
      <c r="F930" s="657"/>
      <c r="G930" s="657"/>
      <c r="H930" s="657"/>
      <c r="I930" s="657"/>
      <c r="L930" s="657"/>
      <c r="AA930" s="659"/>
      <c r="AB930" s="659"/>
      <c r="AC930" s="659"/>
      <c r="AD930" s="659"/>
      <c r="AE930" s="659"/>
      <c r="AF930" s="659"/>
      <c r="AG930" s="657"/>
    </row>
    <row r="931" spans="1:33" ht="10.5" customHeight="1" x14ac:dyDescent="0.2">
      <c r="A931" s="657"/>
      <c r="B931" s="657"/>
      <c r="C931" s="657"/>
      <c r="D931" s="657"/>
      <c r="E931" s="657"/>
      <c r="F931" s="657"/>
      <c r="G931" s="657"/>
      <c r="H931" s="657"/>
      <c r="I931" s="657"/>
      <c r="L931" s="657"/>
      <c r="AA931" s="659"/>
      <c r="AB931" s="659"/>
      <c r="AC931" s="659"/>
      <c r="AD931" s="659"/>
      <c r="AE931" s="659"/>
      <c r="AF931" s="659"/>
      <c r="AG931" s="657"/>
    </row>
    <row r="932" spans="1:33" ht="10.5" customHeight="1" x14ac:dyDescent="0.2">
      <c r="A932" s="657"/>
      <c r="B932" s="657"/>
      <c r="C932" s="657"/>
      <c r="D932" s="657"/>
      <c r="E932" s="657"/>
      <c r="F932" s="657"/>
      <c r="G932" s="657"/>
      <c r="H932" s="657"/>
      <c r="I932" s="657"/>
      <c r="L932" s="657"/>
      <c r="AA932" s="659"/>
      <c r="AB932" s="659"/>
      <c r="AC932" s="659"/>
      <c r="AD932" s="659"/>
      <c r="AE932" s="659"/>
      <c r="AF932" s="659"/>
      <c r="AG932" s="657"/>
    </row>
    <row r="933" spans="1:33" ht="10.5" customHeight="1" x14ac:dyDescent="0.2">
      <c r="A933" s="657"/>
      <c r="B933" s="657"/>
      <c r="C933" s="657"/>
      <c r="D933" s="657"/>
      <c r="E933" s="657"/>
      <c r="F933" s="657"/>
      <c r="G933" s="657"/>
      <c r="H933" s="657"/>
      <c r="I933" s="657"/>
      <c r="L933" s="657"/>
      <c r="AA933" s="659"/>
      <c r="AB933" s="659"/>
      <c r="AC933" s="659"/>
      <c r="AD933" s="659"/>
      <c r="AE933" s="659"/>
      <c r="AF933" s="659"/>
      <c r="AG933" s="657"/>
    </row>
    <row r="934" spans="1:33" ht="10.5" customHeight="1" x14ac:dyDescent="0.2">
      <c r="A934" s="657"/>
      <c r="B934" s="657"/>
      <c r="C934" s="657"/>
      <c r="D934" s="657"/>
      <c r="E934" s="657"/>
      <c r="F934" s="657"/>
      <c r="G934" s="657"/>
      <c r="H934" s="657"/>
      <c r="I934" s="657"/>
      <c r="L934" s="657"/>
      <c r="AA934" s="659"/>
      <c r="AB934" s="659"/>
      <c r="AC934" s="659"/>
      <c r="AD934" s="659"/>
      <c r="AE934" s="659"/>
      <c r="AF934" s="659"/>
      <c r="AG934" s="657"/>
    </row>
    <row r="935" spans="1:33" ht="10.5" customHeight="1" x14ac:dyDescent="0.2">
      <c r="A935" s="657"/>
      <c r="B935" s="657"/>
      <c r="C935" s="657"/>
      <c r="D935" s="657"/>
      <c r="E935" s="657"/>
      <c r="F935" s="657"/>
      <c r="G935" s="657"/>
      <c r="H935" s="657"/>
      <c r="I935" s="657"/>
      <c r="L935" s="657"/>
      <c r="AA935" s="659"/>
      <c r="AB935" s="659"/>
      <c r="AC935" s="659"/>
      <c r="AD935" s="659"/>
      <c r="AE935" s="659"/>
      <c r="AF935" s="659"/>
      <c r="AG935" s="657"/>
    </row>
    <row r="936" spans="1:33" ht="10.5" customHeight="1" x14ac:dyDescent="0.2">
      <c r="A936" s="657"/>
      <c r="B936" s="657"/>
      <c r="C936" s="657"/>
      <c r="D936" s="657"/>
      <c r="E936" s="657"/>
      <c r="F936" s="657"/>
      <c r="G936" s="657"/>
      <c r="H936" s="657"/>
      <c r="I936" s="657"/>
      <c r="L936" s="657"/>
      <c r="AA936" s="659"/>
      <c r="AB936" s="659"/>
      <c r="AC936" s="659"/>
      <c r="AD936" s="659"/>
      <c r="AE936" s="659"/>
      <c r="AF936" s="659"/>
      <c r="AG936" s="657"/>
    </row>
    <row r="937" spans="1:33" ht="10.5" customHeight="1" x14ac:dyDescent="0.2">
      <c r="A937" s="657"/>
      <c r="B937" s="657"/>
      <c r="C937" s="657"/>
      <c r="D937" s="657"/>
      <c r="E937" s="657"/>
      <c r="F937" s="657"/>
      <c r="G937" s="657"/>
      <c r="H937" s="657"/>
      <c r="I937" s="657"/>
      <c r="L937" s="657"/>
      <c r="AA937" s="659"/>
      <c r="AB937" s="659"/>
      <c r="AC937" s="659"/>
      <c r="AD937" s="659"/>
      <c r="AE937" s="659"/>
      <c r="AF937" s="659"/>
      <c r="AG937" s="657"/>
    </row>
    <row r="938" spans="1:33" ht="10.5" customHeight="1" x14ac:dyDescent="0.2">
      <c r="A938" s="657"/>
      <c r="B938" s="657"/>
      <c r="C938" s="657"/>
      <c r="D938" s="657"/>
      <c r="E938" s="657"/>
      <c r="F938" s="657"/>
      <c r="G938" s="657"/>
      <c r="H938" s="657"/>
      <c r="I938" s="657"/>
      <c r="L938" s="657"/>
      <c r="AA938" s="659"/>
      <c r="AB938" s="659"/>
      <c r="AC938" s="659"/>
      <c r="AD938" s="659"/>
      <c r="AE938" s="659"/>
      <c r="AF938" s="659"/>
      <c r="AG938" s="657"/>
    </row>
    <row r="939" spans="1:33" ht="10.5" customHeight="1" x14ac:dyDescent="0.2">
      <c r="A939" s="657"/>
      <c r="B939" s="657"/>
      <c r="C939" s="657"/>
      <c r="D939" s="657"/>
      <c r="E939" s="657"/>
      <c r="F939" s="657"/>
      <c r="G939" s="657"/>
      <c r="H939" s="657"/>
      <c r="I939" s="657"/>
      <c r="L939" s="657"/>
      <c r="AA939" s="659"/>
      <c r="AB939" s="659"/>
      <c r="AC939" s="659"/>
      <c r="AD939" s="659"/>
      <c r="AE939" s="659"/>
      <c r="AF939" s="659"/>
      <c r="AG939" s="657"/>
    </row>
    <row r="940" spans="1:33" ht="10.5" customHeight="1" x14ac:dyDescent="0.2">
      <c r="A940" s="657"/>
      <c r="B940" s="657"/>
      <c r="C940" s="657"/>
      <c r="D940" s="657"/>
      <c r="E940" s="657"/>
      <c r="F940" s="657"/>
      <c r="G940" s="657"/>
      <c r="H940" s="657"/>
      <c r="I940" s="657"/>
      <c r="L940" s="657"/>
      <c r="AA940" s="659"/>
      <c r="AB940" s="659"/>
      <c r="AC940" s="659"/>
      <c r="AD940" s="659"/>
      <c r="AE940" s="659"/>
      <c r="AF940" s="659"/>
      <c r="AG940" s="657"/>
    </row>
    <row r="941" spans="1:33" ht="10.5" customHeight="1" x14ac:dyDescent="0.2">
      <c r="A941" s="657"/>
      <c r="B941" s="657"/>
      <c r="C941" s="657"/>
      <c r="D941" s="657"/>
      <c r="E941" s="657"/>
      <c r="F941" s="657"/>
      <c r="G941" s="657"/>
      <c r="H941" s="657"/>
      <c r="I941" s="657"/>
      <c r="L941" s="657"/>
      <c r="AA941" s="659"/>
      <c r="AB941" s="659"/>
      <c r="AC941" s="659"/>
      <c r="AD941" s="659"/>
      <c r="AE941" s="659"/>
      <c r="AF941" s="659"/>
      <c r="AG941" s="657"/>
    </row>
    <row r="942" spans="1:33" ht="10.5" customHeight="1" x14ac:dyDescent="0.2">
      <c r="A942" s="657"/>
      <c r="B942" s="657"/>
      <c r="C942" s="657"/>
      <c r="D942" s="657"/>
      <c r="E942" s="657"/>
      <c r="F942" s="657"/>
      <c r="G942" s="657"/>
      <c r="H942" s="657"/>
      <c r="I942" s="657"/>
      <c r="L942" s="657"/>
      <c r="AA942" s="659"/>
      <c r="AB942" s="659"/>
      <c r="AC942" s="659"/>
      <c r="AD942" s="659"/>
      <c r="AE942" s="659"/>
      <c r="AF942" s="659"/>
      <c r="AG942" s="657"/>
    </row>
    <row r="943" spans="1:33" ht="10.5" customHeight="1" x14ac:dyDescent="0.2">
      <c r="A943" s="657"/>
      <c r="B943" s="657"/>
      <c r="C943" s="657"/>
      <c r="D943" s="657"/>
      <c r="E943" s="657"/>
      <c r="F943" s="657"/>
      <c r="G943" s="657"/>
      <c r="H943" s="657"/>
      <c r="I943" s="657"/>
      <c r="L943" s="657"/>
      <c r="AA943" s="659"/>
      <c r="AB943" s="659"/>
      <c r="AC943" s="659"/>
      <c r="AD943" s="659"/>
      <c r="AE943" s="659"/>
      <c r="AF943" s="659"/>
      <c r="AG943" s="657"/>
    </row>
    <row r="944" spans="1:33" ht="10.5" customHeight="1" x14ac:dyDescent="0.2">
      <c r="A944" s="657"/>
      <c r="B944" s="657"/>
      <c r="C944" s="657"/>
      <c r="D944" s="657"/>
      <c r="E944" s="657"/>
      <c r="F944" s="657"/>
      <c r="G944" s="657"/>
      <c r="H944" s="657"/>
      <c r="I944" s="657"/>
      <c r="L944" s="657"/>
      <c r="AA944" s="659"/>
      <c r="AB944" s="659"/>
      <c r="AC944" s="659"/>
      <c r="AD944" s="659"/>
      <c r="AE944" s="659"/>
      <c r="AF944" s="659"/>
      <c r="AG944" s="657"/>
    </row>
    <row r="945" spans="1:33" ht="10.5" customHeight="1" x14ac:dyDescent="0.2">
      <c r="A945" s="657"/>
      <c r="B945" s="657"/>
      <c r="C945" s="657"/>
      <c r="D945" s="657"/>
      <c r="E945" s="657"/>
      <c r="F945" s="657"/>
      <c r="G945" s="657"/>
      <c r="H945" s="657"/>
      <c r="I945" s="657"/>
      <c r="L945" s="657"/>
      <c r="AA945" s="659"/>
      <c r="AB945" s="659"/>
      <c r="AC945" s="659"/>
      <c r="AD945" s="659"/>
      <c r="AE945" s="659"/>
      <c r="AF945" s="659"/>
      <c r="AG945" s="657"/>
    </row>
    <row r="946" spans="1:33" ht="10.5" customHeight="1" x14ac:dyDescent="0.2">
      <c r="A946" s="657"/>
      <c r="B946" s="657"/>
      <c r="C946" s="657"/>
      <c r="D946" s="657"/>
      <c r="E946" s="657"/>
      <c r="F946" s="657"/>
      <c r="G946" s="657"/>
      <c r="H946" s="657"/>
      <c r="I946" s="657"/>
      <c r="L946" s="657"/>
      <c r="AA946" s="659"/>
      <c r="AB946" s="659"/>
      <c r="AC946" s="659"/>
      <c r="AD946" s="659"/>
      <c r="AE946" s="659"/>
      <c r="AF946" s="659"/>
      <c r="AG946" s="657"/>
    </row>
    <row r="947" spans="1:33" ht="10.5" customHeight="1" x14ac:dyDescent="0.2">
      <c r="A947" s="657"/>
      <c r="B947" s="657"/>
      <c r="C947" s="657"/>
      <c r="D947" s="657"/>
      <c r="E947" s="657"/>
      <c r="F947" s="657"/>
      <c r="G947" s="657"/>
      <c r="H947" s="657"/>
      <c r="I947" s="657"/>
      <c r="L947" s="657"/>
      <c r="AA947" s="659"/>
      <c r="AB947" s="659"/>
      <c r="AC947" s="659"/>
      <c r="AD947" s="659"/>
      <c r="AE947" s="659"/>
      <c r="AF947" s="659"/>
      <c r="AG947" s="657"/>
    </row>
    <row r="948" spans="1:33" ht="10.5" customHeight="1" x14ac:dyDescent="0.2">
      <c r="A948" s="657"/>
      <c r="B948" s="657"/>
      <c r="C948" s="657"/>
      <c r="D948" s="657"/>
      <c r="E948" s="657"/>
      <c r="F948" s="657"/>
      <c r="G948" s="657"/>
      <c r="H948" s="657"/>
      <c r="I948" s="657"/>
      <c r="L948" s="657"/>
      <c r="AA948" s="659"/>
      <c r="AB948" s="659"/>
      <c r="AC948" s="659"/>
      <c r="AD948" s="659"/>
      <c r="AE948" s="659"/>
      <c r="AF948" s="659"/>
      <c r="AG948" s="657"/>
    </row>
    <row r="949" spans="1:33" ht="10.5" customHeight="1" x14ac:dyDescent="0.2">
      <c r="A949" s="657"/>
      <c r="B949" s="657"/>
      <c r="C949" s="657"/>
      <c r="D949" s="657"/>
      <c r="E949" s="657"/>
      <c r="F949" s="657"/>
      <c r="G949" s="657"/>
      <c r="H949" s="657"/>
      <c r="I949" s="657"/>
      <c r="L949" s="657"/>
      <c r="AA949" s="659"/>
      <c r="AB949" s="659"/>
      <c r="AC949" s="659"/>
      <c r="AD949" s="659"/>
      <c r="AE949" s="659"/>
      <c r="AF949" s="659"/>
      <c r="AG949" s="657"/>
    </row>
    <row r="950" spans="1:33" ht="10.5" customHeight="1" x14ac:dyDescent="0.2">
      <c r="A950" s="657"/>
      <c r="B950" s="657"/>
      <c r="C950" s="657"/>
      <c r="D950" s="657"/>
      <c r="E950" s="657"/>
      <c r="F950" s="657"/>
      <c r="G950" s="657"/>
      <c r="H950" s="657"/>
      <c r="I950" s="657"/>
      <c r="L950" s="657"/>
      <c r="AA950" s="659"/>
      <c r="AB950" s="659"/>
      <c r="AC950" s="659"/>
      <c r="AD950" s="659"/>
      <c r="AE950" s="659"/>
      <c r="AF950" s="659"/>
      <c r="AG950" s="657"/>
    </row>
    <row r="951" spans="1:33" ht="10.5" customHeight="1" x14ac:dyDescent="0.2">
      <c r="A951" s="657"/>
      <c r="B951" s="657"/>
      <c r="C951" s="657"/>
      <c r="D951" s="657"/>
      <c r="E951" s="657"/>
      <c r="F951" s="657"/>
      <c r="G951" s="657"/>
      <c r="H951" s="657"/>
      <c r="I951" s="657"/>
      <c r="L951" s="657"/>
      <c r="AA951" s="659"/>
      <c r="AB951" s="659"/>
      <c r="AC951" s="659"/>
      <c r="AD951" s="659"/>
      <c r="AE951" s="659"/>
      <c r="AF951" s="659"/>
      <c r="AG951" s="657"/>
    </row>
    <row r="952" spans="1:33" ht="10.5" customHeight="1" x14ac:dyDescent="0.2">
      <c r="A952" s="657"/>
      <c r="B952" s="657"/>
      <c r="C952" s="657"/>
      <c r="D952" s="657"/>
      <c r="E952" s="657"/>
      <c r="F952" s="657"/>
      <c r="G952" s="657"/>
      <c r="H952" s="657"/>
      <c r="I952" s="657"/>
      <c r="L952" s="657"/>
      <c r="AA952" s="659"/>
      <c r="AB952" s="659"/>
      <c r="AC952" s="659"/>
      <c r="AD952" s="659"/>
      <c r="AE952" s="659"/>
      <c r="AF952" s="659"/>
      <c r="AG952" s="657"/>
    </row>
    <row r="953" spans="1:33" ht="10.5" customHeight="1" x14ac:dyDescent="0.2">
      <c r="A953" s="657"/>
      <c r="B953" s="657"/>
      <c r="C953" s="657"/>
      <c r="D953" s="657"/>
      <c r="E953" s="657"/>
      <c r="F953" s="657"/>
      <c r="G953" s="657"/>
      <c r="H953" s="657"/>
      <c r="I953" s="657"/>
      <c r="L953" s="657"/>
      <c r="AA953" s="659"/>
      <c r="AB953" s="659"/>
      <c r="AC953" s="659"/>
      <c r="AD953" s="659"/>
      <c r="AE953" s="659"/>
      <c r="AF953" s="659"/>
      <c r="AG953" s="657"/>
    </row>
    <row r="954" spans="1:33" ht="10.5" customHeight="1" x14ac:dyDescent="0.2">
      <c r="A954" s="657"/>
      <c r="B954" s="657"/>
      <c r="C954" s="657"/>
      <c r="D954" s="657"/>
      <c r="E954" s="657"/>
      <c r="F954" s="657"/>
      <c r="G954" s="657"/>
      <c r="H954" s="657"/>
      <c r="I954" s="657"/>
      <c r="L954" s="657"/>
      <c r="AA954" s="659"/>
      <c r="AB954" s="659"/>
      <c r="AC954" s="659"/>
      <c r="AD954" s="659"/>
      <c r="AE954" s="659"/>
      <c r="AF954" s="659"/>
      <c r="AG954" s="657"/>
    </row>
    <row r="955" spans="1:33" ht="10.5" customHeight="1" x14ac:dyDescent="0.2">
      <c r="A955" s="657"/>
      <c r="B955" s="657"/>
      <c r="C955" s="657"/>
      <c r="D955" s="657"/>
      <c r="E955" s="657"/>
      <c r="F955" s="657"/>
      <c r="G955" s="657"/>
      <c r="H955" s="657"/>
      <c r="I955" s="657"/>
      <c r="L955" s="657"/>
      <c r="AA955" s="659"/>
      <c r="AB955" s="659"/>
      <c r="AC955" s="659"/>
      <c r="AD955" s="659"/>
      <c r="AE955" s="659"/>
      <c r="AF955" s="659"/>
      <c r="AG955" s="657"/>
    </row>
    <row r="956" spans="1:33" ht="10.5" customHeight="1" x14ac:dyDescent="0.2">
      <c r="A956" s="657"/>
      <c r="B956" s="657"/>
      <c r="C956" s="657"/>
      <c r="D956" s="657"/>
      <c r="E956" s="657"/>
      <c r="F956" s="657"/>
      <c r="G956" s="657"/>
      <c r="H956" s="657"/>
      <c r="I956" s="657"/>
      <c r="L956" s="657"/>
      <c r="AA956" s="659"/>
      <c r="AB956" s="659"/>
      <c r="AC956" s="659"/>
      <c r="AD956" s="659"/>
      <c r="AE956" s="659"/>
      <c r="AF956" s="659"/>
      <c r="AG956" s="657"/>
    </row>
    <row r="957" spans="1:33" ht="10.5" customHeight="1" x14ac:dyDescent="0.2">
      <c r="A957" s="657"/>
      <c r="B957" s="657"/>
      <c r="C957" s="657"/>
      <c r="D957" s="657"/>
      <c r="E957" s="657"/>
      <c r="F957" s="657"/>
      <c r="G957" s="657"/>
      <c r="H957" s="657"/>
      <c r="I957" s="657"/>
      <c r="L957" s="657"/>
      <c r="AA957" s="659"/>
      <c r="AB957" s="659"/>
      <c r="AC957" s="659"/>
      <c r="AD957" s="659"/>
      <c r="AE957" s="659"/>
      <c r="AF957" s="659"/>
      <c r="AG957" s="657"/>
    </row>
    <row r="958" spans="1:33" ht="10.5" customHeight="1" x14ac:dyDescent="0.2">
      <c r="A958" s="657"/>
      <c r="B958" s="657"/>
      <c r="C958" s="657"/>
      <c r="D958" s="657"/>
      <c r="E958" s="657"/>
      <c r="F958" s="657"/>
      <c r="G958" s="657"/>
      <c r="H958" s="657"/>
      <c r="I958" s="657"/>
      <c r="L958" s="657"/>
      <c r="AA958" s="659"/>
      <c r="AB958" s="659"/>
      <c r="AC958" s="659"/>
      <c r="AD958" s="659"/>
      <c r="AE958" s="659"/>
      <c r="AF958" s="659"/>
      <c r="AG958" s="657"/>
    </row>
    <row r="959" spans="1:33" ht="10.5" customHeight="1" x14ac:dyDescent="0.2">
      <c r="A959" s="657"/>
      <c r="B959" s="657"/>
      <c r="C959" s="657"/>
      <c r="D959" s="657"/>
      <c r="E959" s="657"/>
      <c r="F959" s="657"/>
      <c r="G959" s="657"/>
      <c r="H959" s="657"/>
      <c r="I959" s="657"/>
      <c r="L959" s="657"/>
      <c r="AA959" s="659"/>
      <c r="AB959" s="659"/>
      <c r="AC959" s="659"/>
      <c r="AD959" s="659"/>
      <c r="AE959" s="659"/>
      <c r="AF959" s="659"/>
      <c r="AG959" s="657"/>
    </row>
    <row r="960" spans="1:33" ht="10.5" customHeight="1" x14ac:dyDescent="0.2">
      <c r="A960" s="657"/>
      <c r="B960" s="657"/>
      <c r="C960" s="657"/>
      <c r="D960" s="657"/>
      <c r="E960" s="657"/>
      <c r="F960" s="657"/>
      <c r="G960" s="657"/>
      <c r="H960" s="657"/>
      <c r="I960" s="657"/>
      <c r="L960" s="657"/>
      <c r="AA960" s="659"/>
      <c r="AB960" s="659"/>
      <c r="AC960" s="659"/>
      <c r="AD960" s="659"/>
      <c r="AE960" s="659"/>
      <c r="AF960" s="659"/>
      <c r="AG960" s="657"/>
    </row>
    <row r="961" spans="1:33" ht="10.5" customHeight="1" x14ac:dyDescent="0.2">
      <c r="A961" s="657"/>
      <c r="B961" s="657"/>
      <c r="C961" s="657"/>
      <c r="D961" s="657"/>
      <c r="E961" s="657"/>
      <c r="F961" s="657"/>
      <c r="G961" s="657"/>
      <c r="H961" s="657"/>
      <c r="I961" s="657"/>
      <c r="L961" s="657"/>
      <c r="AA961" s="659"/>
      <c r="AB961" s="659"/>
      <c r="AC961" s="659"/>
      <c r="AD961" s="659"/>
      <c r="AE961" s="659"/>
      <c r="AF961" s="659"/>
      <c r="AG961" s="657"/>
    </row>
    <row r="962" spans="1:33" ht="10.5" customHeight="1" x14ac:dyDescent="0.2">
      <c r="A962" s="657"/>
      <c r="B962" s="657"/>
      <c r="C962" s="657"/>
      <c r="D962" s="657"/>
      <c r="E962" s="657"/>
      <c r="F962" s="657"/>
      <c r="G962" s="657"/>
      <c r="H962" s="657"/>
      <c r="I962" s="657"/>
      <c r="L962" s="657"/>
      <c r="AA962" s="659"/>
      <c r="AB962" s="659"/>
      <c r="AC962" s="659"/>
      <c r="AD962" s="659"/>
      <c r="AE962" s="659"/>
      <c r="AF962" s="659"/>
      <c r="AG962" s="657"/>
    </row>
    <row r="963" spans="1:33" ht="10.5" customHeight="1" x14ac:dyDescent="0.2">
      <c r="A963" s="657"/>
      <c r="B963" s="657"/>
      <c r="C963" s="657"/>
      <c r="D963" s="657"/>
      <c r="E963" s="657"/>
      <c r="F963" s="657"/>
      <c r="G963" s="657"/>
      <c r="H963" s="657"/>
      <c r="I963" s="657"/>
      <c r="L963" s="657"/>
      <c r="AA963" s="659"/>
      <c r="AB963" s="659"/>
      <c r="AC963" s="659"/>
      <c r="AD963" s="659"/>
      <c r="AE963" s="659"/>
      <c r="AF963" s="659"/>
      <c r="AG963" s="657"/>
    </row>
    <row r="964" spans="1:33" ht="10.5" customHeight="1" x14ac:dyDescent="0.2">
      <c r="A964" s="657"/>
      <c r="B964" s="657"/>
      <c r="C964" s="657"/>
      <c r="D964" s="657"/>
      <c r="E964" s="657"/>
      <c r="F964" s="657"/>
      <c r="G964" s="657"/>
      <c r="H964" s="657"/>
      <c r="I964" s="657"/>
      <c r="L964" s="657"/>
      <c r="AA964" s="659"/>
      <c r="AB964" s="659"/>
      <c r="AC964" s="659"/>
      <c r="AD964" s="659"/>
      <c r="AE964" s="659"/>
      <c r="AF964" s="659"/>
      <c r="AG964" s="657"/>
    </row>
    <row r="965" spans="1:33" ht="10.5" customHeight="1" x14ac:dyDescent="0.2">
      <c r="A965" s="657"/>
      <c r="B965" s="657"/>
      <c r="C965" s="657"/>
      <c r="D965" s="657"/>
      <c r="E965" s="657"/>
      <c r="F965" s="657"/>
      <c r="G965" s="657"/>
      <c r="H965" s="657"/>
      <c r="I965" s="657"/>
      <c r="L965" s="657"/>
      <c r="AA965" s="659"/>
      <c r="AB965" s="659"/>
      <c r="AC965" s="659"/>
      <c r="AD965" s="659"/>
      <c r="AE965" s="659"/>
      <c r="AF965" s="659"/>
      <c r="AG965" s="657"/>
    </row>
    <row r="966" spans="1:33" ht="10.5" customHeight="1" x14ac:dyDescent="0.2">
      <c r="A966" s="657"/>
      <c r="B966" s="657"/>
      <c r="C966" s="657"/>
      <c r="D966" s="657"/>
      <c r="E966" s="657"/>
      <c r="F966" s="657"/>
      <c r="G966" s="657"/>
      <c r="H966" s="657"/>
      <c r="I966" s="657"/>
      <c r="L966" s="657"/>
      <c r="AA966" s="659"/>
      <c r="AB966" s="659"/>
      <c r="AC966" s="659"/>
      <c r="AD966" s="659"/>
      <c r="AE966" s="659"/>
      <c r="AF966" s="659"/>
      <c r="AG966" s="657"/>
    </row>
    <row r="967" spans="1:33" ht="10.5" customHeight="1" x14ac:dyDescent="0.2">
      <c r="A967" s="657"/>
      <c r="B967" s="657"/>
      <c r="C967" s="657"/>
      <c r="D967" s="657"/>
      <c r="E967" s="657"/>
      <c r="F967" s="657"/>
      <c r="G967" s="657"/>
      <c r="H967" s="657"/>
      <c r="I967" s="657"/>
      <c r="L967" s="657"/>
      <c r="AA967" s="659"/>
      <c r="AB967" s="659"/>
      <c r="AC967" s="659"/>
      <c r="AD967" s="659"/>
      <c r="AE967" s="659"/>
      <c r="AF967" s="659"/>
      <c r="AG967" s="657"/>
    </row>
    <row r="968" spans="1:33" ht="10.5" customHeight="1" x14ac:dyDescent="0.2">
      <c r="A968" s="657"/>
      <c r="B968" s="657"/>
      <c r="C968" s="657"/>
      <c r="D968" s="657"/>
      <c r="E968" s="657"/>
      <c r="F968" s="657"/>
      <c r="G968" s="657"/>
      <c r="H968" s="657"/>
      <c r="I968" s="657"/>
      <c r="L968" s="657"/>
      <c r="AA968" s="659"/>
      <c r="AB968" s="659"/>
      <c r="AC968" s="659"/>
      <c r="AD968" s="659"/>
      <c r="AE968" s="659"/>
      <c r="AF968" s="659"/>
      <c r="AG968" s="657"/>
    </row>
    <row r="969" spans="1:33" ht="10.5" customHeight="1" x14ac:dyDescent="0.2">
      <c r="A969" s="657"/>
      <c r="B969" s="657"/>
      <c r="C969" s="657"/>
      <c r="D969" s="657"/>
      <c r="E969" s="657"/>
      <c r="F969" s="657"/>
      <c r="G969" s="657"/>
      <c r="H969" s="657"/>
      <c r="I969" s="657"/>
      <c r="L969" s="657"/>
      <c r="AA969" s="659"/>
      <c r="AB969" s="659"/>
      <c r="AC969" s="659"/>
      <c r="AD969" s="659"/>
      <c r="AE969" s="659"/>
      <c r="AF969" s="659"/>
      <c r="AG969" s="657"/>
    </row>
    <row r="970" spans="1:33" ht="10.5" customHeight="1" x14ac:dyDescent="0.2">
      <c r="A970" s="657"/>
      <c r="B970" s="657"/>
      <c r="C970" s="657"/>
      <c r="D970" s="657"/>
      <c r="E970" s="657"/>
      <c r="F970" s="657"/>
      <c r="G970" s="657"/>
      <c r="H970" s="657"/>
      <c r="I970" s="657"/>
      <c r="L970" s="657"/>
      <c r="AA970" s="659"/>
      <c r="AB970" s="659"/>
      <c r="AC970" s="659"/>
      <c r="AD970" s="659"/>
      <c r="AE970" s="659"/>
      <c r="AF970" s="659"/>
      <c r="AG970" s="657"/>
    </row>
    <row r="971" spans="1:33" ht="10.5" customHeight="1" x14ac:dyDescent="0.2">
      <c r="A971" s="657"/>
      <c r="B971" s="657"/>
      <c r="C971" s="657"/>
      <c r="D971" s="657"/>
      <c r="E971" s="657"/>
      <c r="F971" s="657"/>
      <c r="G971" s="657"/>
      <c r="H971" s="657"/>
      <c r="I971" s="657"/>
      <c r="L971" s="657"/>
      <c r="AA971" s="659"/>
      <c r="AB971" s="659"/>
      <c r="AC971" s="659"/>
      <c r="AD971" s="659"/>
      <c r="AE971" s="659"/>
      <c r="AF971" s="659"/>
      <c r="AG971" s="657"/>
    </row>
    <row r="972" spans="1:33" ht="10.5" customHeight="1" x14ac:dyDescent="0.2">
      <c r="A972" s="657"/>
      <c r="B972" s="657"/>
      <c r="C972" s="657"/>
      <c r="D972" s="657"/>
      <c r="E972" s="657"/>
      <c r="F972" s="657"/>
      <c r="G972" s="657"/>
      <c r="H972" s="657"/>
      <c r="I972" s="657"/>
      <c r="L972" s="657"/>
      <c r="AA972" s="659"/>
      <c r="AB972" s="659"/>
      <c r="AC972" s="659"/>
      <c r="AD972" s="659"/>
      <c r="AE972" s="659"/>
      <c r="AF972" s="659"/>
      <c r="AG972" s="657"/>
    </row>
    <row r="973" spans="1:33" ht="10.5" customHeight="1" x14ac:dyDescent="0.2">
      <c r="A973" s="657"/>
      <c r="B973" s="657"/>
      <c r="C973" s="657"/>
      <c r="D973" s="657"/>
      <c r="E973" s="657"/>
      <c r="F973" s="657"/>
      <c r="G973" s="657"/>
      <c r="H973" s="657"/>
      <c r="I973" s="657"/>
      <c r="L973" s="657"/>
      <c r="AA973" s="659"/>
      <c r="AB973" s="659"/>
      <c r="AC973" s="659"/>
      <c r="AD973" s="659"/>
      <c r="AE973" s="659"/>
      <c r="AF973" s="659"/>
      <c r="AG973" s="657"/>
    </row>
    <row r="974" spans="1:33" ht="10.5" customHeight="1" x14ac:dyDescent="0.2">
      <c r="A974" s="657"/>
      <c r="B974" s="657"/>
      <c r="C974" s="657"/>
      <c r="D974" s="657"/>
      <c r="E974" s="657"/>
      <c r="F974" s="657"/>
      <c r="G974" s="657"/>
      <c r="H974" s="657"/>
      <c r="I974" s="657"/>
      <c r="L974" s="657"/>
      <c r="AA974" s="659"/>
      <c r="AB974" s="659"/>
      <c r="AC974" s="659"/>
      <c r="AD974" s="659"/>
      <c r="AE974" s="659"/>
      <c r="AF974" s="659"/>
      <c r="AG974" s="657"/>
    </row>
    <row r="975" spans="1:33" ht="10.5" customHeight="1" x14ac:dyDescent="0.2">
      <c r="A975" s="657"/>
      <c r="B975" s="657"/>
      <c r="C975" s="657"/>
      <c r="D975" s="657"/>
      <c r="E975" s="657"/>
      <c r="F975" s="657"/>
      <c r="G975" s="657"/>
      <c r="H975" s="657"/>
      <c r="I975" s="657"/>
      <c r="L975" s="657"/>
      <c r="AA975" s="659"/>
      <c r="AB975" s="659"/>
      <c r="AC975" s="659"/>
      <c r="AD975" s="659"/>
      <c r="AE975" s="659"/>
      <c r="AF975" s="659"/>
      <c r="AG975" s="657"/>
    </row>
    <row r="976" spans="1:33" ht="10.5" customHeight="1" x14ac:dyDescent="0.2">
      <c r="A976" s="657"/>
      <c r="B976" s="657"/>
      <c r="C976" s="657"/>
      <c r="D976" s="657"/>
      <c r="E976" s="657"/>
      <c r="F976" s="657"/>
      <c r="G976" s="657"/>
      <c r="H976" s="657"/>
      <c r="I976" s="657"/>
      <c r="L976" s="657"/>
      <c r="AA976" s="659"/>
      <c r="AB976" s="659"/>
      <c r="AC976" s="659"/>
      <c r="AD976" s="659"/>
      <c r="AE976" s="659"/>
      <c r="AF976" s="659"/>
      <c r="AG976" s="657"/>
    </row>
    <row r="977" spans="1:33" ht="10.5" customHeight="1" x14ac:dyDescent="0.2">
      <c r="A977" s="657"/>
      <c r="B977" s="657"/>
      <c r="C977" s="657"/>
      <c r="D977" s="657"/>
      <c r="E977" s="657"/>
      <c r="F977" s="657"/>
      <c r="G977" s="657"/>
      <c r="H977" s="657"/>
      <c r="I977" s="657"/>
      <c r="L977" s="657"/>
      <c r="AA977" s="659"/>
      <c r="AB977" s="659"/>
      <c r="AC977" s="659"/>
      <c r="AD977" s="659"/>
      <c r="AE977" s="659"/>
      <c r="AF977" s="659"/>
      <c r="AG977" s="657"/>
    </row>
    <row r="978" spans="1:33" ht="10.5" customHeight="1" x14ac:dyDescent="0.2">
      <c r="A978" s="657"/>
      <c r="B978" s="657"/>
      <c r="C978" s="657"/>
      <c r="D978" s="657"/>
      <c r="E978" s="657"/>
      <c r="F978" s="657"/>
      <c r="G978" s="657"/>
      <c r="H978" s="657"/>
      <c r="I978" s="657"/>
      <c r="L978" s="657"/>
      <c r="AA978" s="659"/>
      <c r="AB978" s="659"/>
      <c r="AC978" s="659"/>
      <c r="AD978" s="659"/>
      <c r="AE978" s="659"/>
      <c r="AF978" s="659"/>
      <c r="AG978" s="657"/>
    </row>
    <row r="979" spans="1:33" ht="10.5" customHeight="1" x14ac:dyDescent="0.2">
      <c r="A979" s="657"/>
      <c r="B979" s="657"/>
      <c r="C979" s="657"/>
      <c r="D979" s="657"/>
      <c r="E979" s="657"/>
      <c r="F979" s="657"/>
      <c r="G979" s="657"/>
      <c r="H979" s="657"/>
      <c r="I979" s="657"/>
      <c r="L979" s="657"/>
      <c r="AA979" s="659"/>
      <c r="AB979" s="659"/>
      <c r="AC979" s="659"/>
      <c r="AD979" s="659"/>
      <c r="AE979" s="659"/>
      <c r="AF979" s="659"/>
      <c r="AG979" s="657"/>
    </row>
    <row r="980" spans="1:33" ht="10.5" customHeight="1" x14ac:dyDescent="0.2">
      <c r="A980" s="657"/>
      <c r="B980" s="657"/>
      <c r="C980" s="657"/>
      <c r="D980" s="657"/>
      <c r="E980" s="657"/>
      <c r="F980" s="657"/>
      <c r="G980" s="657"/>
      <c r="H980" s="657"/>
      <c r="I980" s="657"/>
      <c r="L980" s="657"/>
      <c r="AA980" s="659"/>
      <c r="AB980" s="659"/>
      <c r="AC980" s="659"/>
      <c r="AD980" s="659"/>
      <c r="AE980" s="659"/>
      <c r="AF980" s="659"/>
      <c r="AG980" s="657"/>
    </row>
    <row r="981" spans="1:33" ht="10.5" customHeight="1" x14ac:dyDescent="0.2">
      <c r="A981" s="657"/>
      <c r="B981" s="657"/>
      <c r="C981" s="657"/>
      <c r="D981" s="657"/>
      <c r="E981" s="657"/>
      <c r="F981" s="657"/>
      <c r="G981" s="657"/>
      <c r="H981" s="657"/>
      <c r="I981" s="657"/>
      <c r="L981" s="657"/>
      <c r="AA981" s="659"/>
      <c r="AB981" s="659"/>
      <c r="AC981" s="659"/>
      <c r="AD981" s="659"/>
      <c r="AE981" s="659"/>
      <c r="AF981" s="659"/>
      <c r="AG981" s="657"/>
    </row>
    <row r="982" spans="1:33" ht="10.5" customHeight="1" x14ac:dyDescent="0.2">
      <c r="A982" s="657"/>
      <c r="B982" s="657"/>
      <c r="C982" s="657"/>
      <c r="D982" s="657"/>
      <c r="E982" s="657"/>
      <c r="F982" s="657"/>
      <c r="G982" s="657"/>
      <c r="H982" s="657"/>
      <c r="I982" s="657"/>
      <c r="L982" s="657"/>
      <c r="AA982" s="659"/>
      <c r="AB982" s="659"/>
      <c r="AC982" s="659"/>
      <c r="AD982" s="659"/>
      <c r="AE982" s="659"/>
      <c r="AF982" s="659"/>
      <c r="AG982" s="657"/>
    </row>
    <row r="983" spans="1:33" ht="10.5" customHeight="1" x14ac:dyDescent="0.2">
      <c r="A983" s="657"/>
      <c r="B983" s="657"/>
      <c r="C983" s="657"/>
      <c r="D983" s="657"/>
      <c r="E983" s="657"/>
      <c r="F983" s="657"/>
      <c r="G983" s="657"/>
      <c r="H983" s="657"/>
      <c r="I983" s="657"/>
      <c r="L983" s="657"/>
      <c r="AA983" s="659"/>
      <c r="AB983" s="659"/>
      <c r="AC983" s="659"/>
      <c r="AD983" s="659"/>
      <c r="AE983" s="659"/>
      <c r="AF983" s="659"/>
      <c r="AG983" s="657"/>
    </row>
    <row r="984" spans="1:33" ht="10.5" customHeight="1" x14ac:dyDescent="0.2">
      <c r="A984" s="657"/>
      <c r="B984" s="657"/>
      <c r="C984" s="657"/>
      <c r="D984" s="657"/>
      <c r="E984" s="657"/>
      <c r="F984" s="657"/>
      <c r="G984" s="657"/>
      <c r="H984" s="657"/>
      <c r="I984" s="657"/>
      <c r="L984" s="657"/>
      <c r="AA984" s="659"/>
      <c r="AB984" s="659"/>
      <c r="AC984" s="659"/>
      <c r="AD984" s="659"/>
      <c r="AE984" s="659"/>
      <c r="AF984" s="659"/>
      <c r="AG984" s="657"/>
    </row>
    <row r="985" spans="1:33" ht="10.5" customHeight="1" x14ac:dyDescent="0.2">
      <c r="A985" s="657"/>
      <c r="B985" s="657"/>
      <c r="C985" s="657"/>
      <c r="D985" s="657"/>
      <c r="E985" s="657"/>
      <c r="F985" s="657"/>
      <c r="G985" s="657"/>
      <c r="H985" s="657"/>
      <c r="I985" s="657"/>
      <c r="L985" s="657"/>
      <c r="AA985" s="659"/>
      <c r="AB985" s="659"/>
      <c r="AC985" s="659"/>
      <c r="AD985" s="659"/>
      <c r="AE985" s="659"/>
      <c r="AF985" s="659"/>
      <c r="AG985" s="657"/>
    </row>
    <row r="986" spans="1:33" ht="10.5" customHeight="1" x14ac:dyDescent="0.2">
      <c r="A986" s="657"/>
      <c r="B986" s="657"/>
      <c r="C986" s="657"/>
      <c r="D986" s="657"/>
      <c r="E986" s="657"/>
      <c r="F986" s="657"/>
      <c r="G986" s="657"/>
      <c r="H986" s="657"/>
      <c r="I986" s="657"/>
      <c r="L986" s="657"/>
      <c r="AA986" s="659"/>
      <c r="AB986" s="659"/>
      <c r="AC986" s="659"/>
      <c r="AD986" s="659"/>
      <c r="AE986" s="659"/>
      <c r="AF986" s="659"/>
      <c r="AG986" s="657"/>
    </row>
    <row r="987" spans="1:33" ht="10.5" customHeight="1" x14ac:dyDescent="0.2">
      <c r="A987" s="657"/>
      <c r="B987" s="657"/>
      <c r="C987" s="657"/>
      <c r="D987" s="657"/>
      <c r="E987" s="657"/>
      <c r="F987" s="657"/>
      <c r="G987" s="657"/>
      <c r="H987" s="657"/>
      <c r="I987" s="657"/>
      <c r="L987" s="657"/>
      <c r="AA987" s="659"/>
      <c r="AB987" s="659"/>
      <c r="AC987" s="659"/>
      <c r="AD987" s="659"/>
      <c r="AE987" s="659"/>
      <c r="AF987" s="659"/>
      <c r="AG987" s="657"/>
    </row>
    <row r="988" spans="1:33" ht="10.5" customHeight="1" x14ac:dyDescent="0.2">
      <c r="A988" s="657"/>
      <c r="B988" s="657"/>
      <c r="C988" s="657"/>
      <c r="D988" s="657"/>
      <c r="E988" s="657"/>
      <c r="F988" s="657"/>
      <c r="G988" s="657"/>
      <c r="H988" s="657"/>
      <c r="I988" s="657"/>
      <c r="L988" s="657"/>
      <c r="AA988" s="659"/>
      <c r="AB988" s="659"/>
      <c r="AC988" s="659"/>
      <c r="AD988" s="659"/>
      <c r="AE988" s="659"/>
      <c r="AF988" s="659"/>
      <c r="AG988" s="657"/>
    </row>
    <row r="989" spans="1:33" ht="10.5" customHeight="1" x14ac:dyDescent="0.2">
      <c r="A989" s="657"/>
      <c r="B989" s="657"/>
      <c r="C989" s="657"/>
      <c r="D989" s="657"/>
      <c r="E989" s="657"/>
      <c r="F989" s="657"/>
      <c r="G989" s="657"/>
      <c r="H989" s="657"/>
      <c r="I989" s="657"/>
      <c r="L989" s="657"/>
      <c r="AA989" s="659"/>
      <c r="AB989" s="659"/>
      <c r="AC989" s="659"/>
      <c r="AD989" s="659"/>
      <c r="AE989" s="659"/>
      <c r="AF989" s="659"/>
      <c r="AG989" s="657"/>
    </row>
    <row r="990" spans="1:33" ht="10.5" customHeight="1" x14ac:dyDescent="0.2">
      <c r="A990" s="657"/>
      <c r="B990" s="657"/>
      <c r="C990" s="657"/>
      <c r="D990" s="657"/>
      <c r="E990" s="657"/>
      <c r="F990" s="657"/>
      <c r="G990" s="657"/>
      <c r="H990" s="657"/>
      <c r="I990" s="657"/>
      <c r="L990" s="657"/>
      <c r="AA990" s="659"/>
      <c r="AB990" s="659"/>
      <c r="AC990" s="659"/>
      <c r="AD990" s="659"/>
      <c r="AE990" s="659"/>
      <c r="AF990" s="659"/>
      <c r="AG990" s="657"/>
    </row>
    <row r="991" spans="1:33" ht="10.5" customHeight="1" x14ac:dyDescent="0.2">
      <c r="A991" s="657"/>
      <c r="B991" s="657"/>
      <c r="C991" s="657"/>
      <c r="D991" s="657"/>
      <c r="E991" s="657"/>
      <c r="F991" s="657"/>
      <c r="G991" s="657"/>
      <c r="H991" s="657"/>
      <c r="I991" s="657"/>
      <c r="L991" s="657"/>
      <c r="AA991" s="659"/>
      <c r="AB991" s="659"/>
      <c r="AC991" s="659"/>
      <c r="AD991" s="659"/>
      <c r="AE991" s="659"/>
      <c r="AF991" s="659"/>
      <c r="AG991" s="657"/>
    </row>
    <row r="992" spans="1:33" ht="10.5" customHeight="1" x14ac:dyDescent="0.2">
      <c r="A992" s="657"/>
      <c r="B992" s="657"/>
      <c r="C992" s="657"/>
      <c r="D992" s="657"/>
      <c r="E992" s="657"/>
      <c r="F992" s="657"/>
      <c r="G992" s="657"/>
      <c r="H992" s="657"/>
      <c r="I992" s="657"/>
      <c r="L992" s="657"/>
      <c r="AA992" s="659"/>
      <c r="AB992" s="659"/>
      <c r="AC992" s="659"/>
      <c r="AD992" s="659"/>
      <c r="AE992" s="659"/>
      <c r="AF992" s="659"/>
      <c r="AG992" s="657"/>
    </row>
    <row r="993" spans="1:33" ht="10.5" customHeight="1" x14ac:dyDescent="0.2">
      <c r="A993" s="657"/>
      <c r="B993" s="657"/>
      <c r="C993" s="657"/>
      <c r="D993" s="657"/>
      <c r="E993" s="657"/>
      <c r="F993" s="657"/>
      <c r="G993" s="657"/>
      <c r="H993" s="657"/>
      <c r="I993" s="657"/>
      <c r="L993" s="657"/>
      <c r="AA993" s="659"/>
      <c r="AB993" s="659"/>
      <c r="AC993" s="659"/>
      <c r="AD993" s="659"/>
      <c r="AE993" s="659"/>
      <c r="AF993" s="659"/>
      <c r="AG993" s="657"/>
    </row>
    <row r="994" spans="1:33" ht="10.5" customHeight="1" x14ac:dyDescent="0.2">
      <c r="A994" s="657"/>
      <c r="B994" s="657"/>
      <c r="C994" s="657"/>
      <c r="D994" s="657"/>
      <c r="E994" s="657"/>
      <c r="F994" s="657"/>
      <c r="G994" s="657"/>
      <c r="H994" s="657"/>
      <c r="I994" s="657"/>
      <c r="L994" s="657"/>
      <c r="AA994" s="659"/>
      <c r="AB994" s="659"/>
      <c r="AC994" s="659"/>
      <c r="AD994" s="659"/>
      <c r="AE994" s="659"/>
      <c r="AF994" s="659"/>
      <c r="AG994" s="657"/>
    </row>
    <row r="995" spans="1:33" ht="10.5" customHeight="1" x14ac:dyDescent="0.2">
      <c r="A995" s="657"/>
      <c r="B995" s="657"/>
      <c r="C995" s="657"/>
      <c r="D995" s="657"/>
      <c r="E995" s="657"/>
      <c r="F995" s="657"/>
      <c r="G995" s="657"/>
      <c r="H995" s="657"/>
      <c r="I995" s="657"/>
      <c r="L995" s="657"/>
      <c r="AA995" s="659"/>
      <c r="AB995" s="659"/>
      <c r="AC995" s="659"/>
      <c r="AD995" s="659"/>
      <c r="AE995" s="659"/>
      <c r="AF995" s="659"/>
      <c r="AG995" s="657"/>
    </row>
    <row r="996" spans="1:33" ht="10.5" customHeight="1" x14ac:dyDescent="0.2">
      <c r="A996" s="657"/>
      <c r="B996" s="657"/>
      <c r="C996" s="657"/>
      <c r="D996" s="657"/>
      <c r="E996" s="657"/>
      <c r="F996" s="657"/>
      <c r="G996" s="657"/>
      <c r="H996" s="657"/>
      <c r="I996" s="657"/>
      <c r="L996" s="657"/>
      <c r="AA996" s="659"/>
      <c r="AB996" s="659"/>
      <c r="AC996" s="659"/>
      <c r="AD996" s="659"/>
      <c r="AE996" s="659"/>
      <c r="AF996" s="659"/>
      <c r="AG996" s="657"/>
    </row>
    <row r="997" spans="1:33" ht="10.5" customHeight="1" x14ac:dyDescent="0.2">
      <c r="A997" s="657"/>
      <c r="B997" s="657"/>
      <c r="C997" s="657"/>
      <c r="D997" s="657"/>
      <c r="E997" s="657"/>
      <c r="F997" s="657"/>
      <c r="G997" s="657"/>
      <c r="H997" s="657"/>
      <c r="I997" s="657"/>
      <c r="L997" s="657"/>
      <c r="AA997" s="659"/>
      <c r="AB997" s="659"/>
      <c r="AC997" s="659"/>
      <c r="AD997" s="659"/>
      <c r="AE997" s="659"/>
      <c r="AF997" s="659"/>
      <c r="AG997" s="657"/>
    </row>
    <row r="998" spans="1:33" ht="10.5" customHeight="1" x14ac:dyDescent="0.2">
      <c r="A998" s="657"/>
      <c r="B998" s="657"/>
      <c r="C998" s="657"/>
      <c r="D998" s="657"/>
      <c r="E998" s="657"/>
      <c r="F998" s="657"/>
      <c r="G998" s="657"/>
      <c r="H998" s="657"/>
      <c r="I998" s="657"/>
      <c r="L998" s="657"/>
      <c r="AA998" s="659"/>
      <c r="AB998" s="659"/>
      <c r="AC998" s="659"/>
      <c r="AD998" s="659"/>
      <c r="AE998" s="659"/>
      <c r="AF998" s="659"/>
      <c r="AG998" s="657"/>
    </row>
  </sheetData>
  <mergeCells count="27">
    <mergeCell ref="B7:D7"/>
    <mergeCell ref="A1:I1"/>
    <mergeCell ref="C2:E2"/>
    <mergeCell ref="A3:I3"/>
    <mergeCell ref="B5:D5"/>
    <mergeCell ref="B6:E6"/>
    <mergeCell ref="A40:C40"/>
    <mergeCell ref="B8:F8"/>
    <mergeCell ref="B9:D9"/>
    <mergeCell ref="B11:E11"/>
    <mergeCell ref="A14:I14"/>
    <mergeCell ref="G26:H26"/>
    <mergeCell ref="G27:H27"/>
    <mergeCell ref="G28:H28"/>
    <mergeCell ref="G29:H29"/>
    <mergeCell ref="G33:H33"/>
    <mergeCell ref="G35:H35"/>
    <mergeCell ref="G36:H36"/>
    <mergeCell ref="A49:C49"/>
    <mergeCell ref="A50:C50"/>
    <mergeCell ref="A51:C51"/>
    <mergeCell ref="A41:C41"/>
    <mergeCell ref="A42:C42"/>
    <mergeCell ref="A43:C43"/>
    <mergeCell ref="A44:C45"/>
    <mergeCell ref="A46:C47"/>
    <mergeCell ref="A48:C48"/>
  </mergeCells>
  <dataValidations count="4">
    <dataValidation type="list" allowBlank="1" showInputMessage="1" showErrorMessage="1" prompt=" - " sqref="G32" xr:uid="{370BE1E5-4150-4CDB-BE9B-0A47AE73E26D}">
      <formula1>$AG$98:$AG$114</formula1>
    </dataValidation>
    <dataValidation type="custom" allowBlank="1" showInputMessage="1" showErrorMessage="1" prompt=" - " sqref="B22 B24" xr:uid="{B6103948-78E2-4C06-A31E-759742213CCC}">
      <formula1>B22&lt;=50%</formula1>
    </dataValidation>
    <dataValidation type="custom" allowBlank="1" showInputMessage="1" showErrorMessage="1" prompt=" - " sqref="B20" xr:uid="{CF475672-29E0-421A-B1DA-0AC0D66A98E9}">
      <formula1>B20&lt;=10%</formula1>
    </dataValidation>
    <dataValidation type="list" allowBlank="1" showInputMessage="1" showErrorMessage="1" prompt=" - " sqref="C2" xr:uid="{32ED96AC-ADBA-436F-8FA3-2A088398A137}">
      <formula1>$AA$2:$AA$3</formula1>
    </dataValidation>
  </dataValidations>
  <pageMargins left="0.7" right="0.7" top="0.75" bottom="0.75" header="0" footer="0"/>
  <pageSetup scale="76" orientation="landscape" r:id="rId1"/>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C96669-6096-4DD2-B710-69EE20A1E85A}">
  <sheetPr>
    <tabColor rgb="FF92D050"/>
  </sheetPr>
  <dimension ref="A2:P112"/>
  <sheetViews>
    <sheetView view="pageBreakPreview" topLeftCell="A86" zoomScale="55" zoomScaleNormal="48" zoomScaleSheetLayoutView="55" workbookViewId="0">
      <selection activeCell="B101" sqref="B101"/>
    </sheetView>
  </sheetViews>
  <sheetFormatPr baseColWidth="10" defaultColWidth="11.625" defaultRowHeight="12.75" x14ac:dyDescent="0.3"/>
  <cols>
    <col min="1" max="1" width="11.625" style="387"/>
    <col min="2" max="2" width="44.875" style="324" customWidth="1"/>
    <col min="3" max="3" width="25.75" style="324" customWidth="1"/>
    <col min="4" max="4" width="25.75" style="381" customWidth="1"/>
    <col min="5" max="5" width="25.75" style="328" customWidth="1"/>
    <col min="6" max="6" width="28.75" style="328" bestFit="1" customWidth="1"/>
    <col min="7" max="7" width="15.25" style="324" bestFit="1" customWidth="1"/>
    <col min="8" max="8" width="20" style="324" bestFit="1" customWidth="1"/>
    <col min="9" max="9" width="22.125" style="324" bestFit="1" customWidth="1"/>
    <col min="10" max="10" width="22.375" style="324" bestFit="1" customWidth="1"/>
    <col min="11" max="11" width="20.75" style="324" bestFit="1" customWidth="1"/>
    <col min="12" max="12" width="22.375" style="324" bestFit="1" customWidth="1"/>
    <col min="13" max="13" width="22.125" style="324" bestFit="1" customWidth="1"/>
    <col min="14" max="14" width="22.375" style="324" bestFit="1" customWidth="1"/>
    <col min="15" max="16" width="22.375" style="324" customWidth="1"/>
    <col min="17" max="16384" width="11.625" style="324"/>
  </cols>
  <sheetData>
    <row r="2" spans="1:16" x14ac:dyDescent="0.3">
      <c r="A2" s="887" t="s">
        <v>1029</v>
      </c>
      <c r="B2" s="887"/>
      <c r="C2" s="887"/>
      <c r="D2" s="887"/>
      <c r="E2" s="887"/>
      <c r="F2" s="887"/>
      <c r="G2" s="887"/>
      <c r="H2" s="887"/>
      <c r="I2" s="887"/>
      <c r="J2" s="887"/>
      <c r="K2" s="887"/>
      <c r="L2" s="887"/>
      <c r="M2" s="887"/>
      <c r="N2" s="887"/>
      <c r="O2" s="887"/>
      <c r="P2" s="514"/>
    </row>
    <row r="3" spans="1:16" x14ac:dyDescent="0.3">
      <c r="A3" s="887" t="str">
        <f>+PPTO!C2</f>
        <v xml:space="preserve">CONSTRUCCIÓN CENTRO DÍA GERONTOLÓGICO CORREGIMIENTO SAN JOSÉ DEL NUS DEL MUNICIPIO DE SAN ROQUE ANTIOQUIA </v>
      </c>
      <c r="B3" s="887"/>
      <c r="C3" s="887"/>
      <c r="D3" s="887"/>
      <c r="E3" s="887"/>
      <c r="F3" s="887"/>
      <c r="G3" s="887"/>
      <c r="H3" s="887"/>
      <c r="I3" s="887"/>
      <c r="J3" s="887"/>
      <c r="K3" s="887"/>
      <c r="L3" s="887"/>
      <c r="M3" s="887"/>
      <c r="N3" s="887"/>
      <c r="O3" s="887"/>
      <c r="P3" s="514"/>
    </row>
    <row r="4" spans="1:16" x14ac:dyDescent="0.3">
      <c r="A4" s="887"/>
      <c r="B4" s="887"/>
      <c r="C4" s="887"/>
      <c r="D4" s="887"/>
      <c r="E4" s="887"/>
      <c r="F4" s="887"/>
      <c r="G4" s="887"/>
      <c r="H4" s="887"/>
      <c r="I4" s="887"/>
      <c r="J4" s="887"/>
      <c r="K4" s="887"/>
      <c r="L4" s="887"/>
      <c r="M4" s="887"/>
      <c r="N4" s="887"/>
      <c r="O4" s="887"/>
      <c r="P4" s="514"/>
    </row>
    <row r="5" spans="1:16" x14ac:dyDescent="0.3">
      <c r="A5" s="887"/>
      <c r="B5" s="887"/>
      <c r="C5" s="887"/>
      <c r="D5" s="887"/>
      <c r="E5" s="887"/>
      <c r="F5" s="887"/>
      <c r="G5" s="887"/>
      <c r="H5" s="887"/>
      <c r="I5" s="887"/>
      <c r="J5" s="887"/>
      <c r="K5" s="887"/>
      <c r="L5" s="887"/>
      <c r="M5" s="887"/>
      <c r="N5" s="887"/>
      <c r="O5" s="887"/>
      <c r="P5" s="514"/>
    </row>
    <row r="6" spans="1:16" x14ac:dyDescent="0.3">
      <c r="A6" s="887"/>
      <c r="B6" s="887"/>
      <c r="C6" s="887"/>
      <c r="D6" s="887"/>
      <c r="E6" s="887"/>
      <c r="F6" s="887"/>
      <c r="G6" s="887"/>
      <c r="H6" s="887"/>
      <c r="I6" s="887"/>
      <c r="J6" s="887"/>
      <c r="K6" s="887"/>
      <c r="L6" s="887"/>
      <c r="M6" s="887"/>
      <c r="N6" s="887"/>
      <c r="O6" s="887"/>
      <c r="P6" s="514"/>
    </row>
    <row r="7" spans="1:16" s="386" customFormat="1" ht="20.25" x14ac:dyDescent="0.3">
      <c r="A7" s="892" t="s">
        <v>1030</v>
      </c>
      <c r="B7" s="893"/>
      <c r="C7" s="893"/>
      <c r="D7" s="893"/>
      <c r="E7" s="893"/>
      <c r="F7" s="894"/>
      <c r="G7" s="385" t="s">
        <v>1031</v>
      </c>
      <c r="H7" s="385" t="s">
        <v>1032</v>
      </c>
      <c r="I7" s="385" t="s">
        <v>1033</v>
      </c>
      <c r="J7" s="385" t="s">
        <v>1034</v>
      </c>
      <c r="K7" s="385" t="s">
        <v>1035</v>
      </c>
      <c r="L7" s="385" t="s">
        <v>1036</v>
      </c>
      <c r="M7" s="385" t="s">
        <v>1037</v>
      </c>
      <c r="N7" s="385" t="s">
        <v>1038</v>
      </c>
      <c r="O7" s="385" t="s">
        <v>1039</v>
      </c>
      <c r="P7" s="385" t="s">
        <v>1040</v>
      </c>
    </row>
    <row r="8" spans="1:16" x14ac:dyDescent="0.3">
      <c r="A8" s="891" t="s">
        <v>1041</v>
      </c>
      <c r="B8" s="891"/>
      <c r="C8" s="891"/>
      <c r="D8" s="891"/>
      <c r="E8" s="891"/>
      <c r="F8" s="891"/>
      <c r="G8" s="326"/>
      <c r="H8" s="326"/>
      <c r="I8" s="326"/>
      <c r="J8" s="326"/>
      <c r="K8" s="326"/>
      <c r="L8" s="326"/>
      <c r="M8" s="326"/>
      <c r="N8" s="326"/>
      <c r="O8" s="326"/>
      <c r="P8" s="326"/>
    </row>
    <row r="9" spans="1:16" ht="36.6" customHeight="1" x14ac:dyDescent="0.3">
      <c r="A9" s="384">
        <v>0</v>
      </c>
      <c r="B9" s="890" t="s">
        <v>1042</v>
      </c>
      <c r="C9" s="890"/>
      <c r="D9" s="890"/>
      <c r="E9" s="890"/>
      <c r="F9" s="890"/>
      <c r="G9" s="380"/>
      <c r="H9" s="380"/>
      <c r="I9" s="326"/>
      <c r="J9" s="326"/>
      <c r="K9" s="326"/>
      <c r="L9" s="326"/>
      <c r="M9" s="326"/>
      <c r="N9" s="326"/>
      <c r="O9" s="326"/>
      <c r="P9" s="326"/>
    </row>
    <row r="10" spans="1:16" x14ac:dyDescent="0.3">
      <c r="A10" s="384"/>
      <c r="B10" s="507" t="s">
        <v>1043</v>
      </c>
      <c r="C10" s="384"/>
      <c r="D10" s="401"/>
      <c r="E10" s="379"/>
      <c r="F10" s="379"/>
      <c r="G10" s="384"/>
      <c r="H10" s="384"/>
      <c r="I10" s="384"/>
      <c r="J10" s="384"/>
      <c r="K10" s="384"/>
      <c r="L10" s="384"/>
      <c r="M10" s="384"/>
      <c r="N10" s="384"/>
      <c r="O10" s="384"/>
      <c r="P10" s="384"/>
    </row>
    <row r="11" spans="1:16" ht="38.25" x14ac:dyDescent="0.3">
      <c r="A11" s="384">
        <f>+PPTO!B9</f>
        <v>1.1000000000000001</v>
      </c>
      <c r="B11" s="326" t="str">
        <f>+PPTO!C9</f>
        <v xml:space="preserve">Localizacion, trazado y Replanteo, se incluye suministro de cuadrilla topografíca para rectificación de cartera, verificación de alineamientos, desarrollo de planos. </v>
      </c>
      <c r="C11" s="326" t="str">
        <f>+PPTO!D9</f>
        <v>DIA</v>
      </c>
      <c r="D11" s="326">
        <f>+PPTO!E9</f>
        <v>3</v>
      </c>
      <c r="E11" s="502">
        <f>+PPTO!F9</f>
        <v>583075</v>
      </c>
      <c r="F11" s="502">
        <f>+PPTO!G9</f>
        <v>1749225</v>
      </c>
      <c r="G11" s="505"/>
      <c r="H11" s="326"/>
      <c r="I11" s="382">
        <f>+F11</f>
        <v>1749225</v>
      </c>
      <c r="J11" s="326"/>
      <c r="K11" s="326"/>
      <c r="L11" s="326"/>
      <c r="M11" s="326"/>
      <c r="N11" s="326"/>
      <c r="O11" s="326"/>
      <c r="P11" s="326"/>
    </row>
    <row r="12" spans="1:16" ht="38.25" x14ac:dyDescent="0.3">
      <c r="A12" s="384">
        <f>+PPTO!B10</f>
        <v>1.2</v>
      </c>
      <c r="B12" s="326" t="str">
        <f>+PPTO!C10</f>
        <v>Excavación mecanica de capa organica Incluye: (Excavacion mecanica, cargue y votada de material sobrante a la escombrera)</v>
      </c>
      <c r="C12" s="326" t="str">
        <f>+PPTO!D10</f>
        <v>M3</v>
      </c>
      <c r="D12" s="326">
        <f>+PPTO!E10</f>
        <v>67.069999999999993</v>
      </c>
      <c r="E12" s="502">
        <f>+PPTO!F10</f>
        <v>114541</v>
      </c>
      <c r="F12" s="502">
        <f>+PPTO!G10</f>
        <v>7682264.8699999992</v>
      </c>
      <c r="G12" s="326"/>
      <c r="H12" s="326"/>
      <c r="I12" s="382">
        <f>+F12</f>
        <v>7682264.8699999992</v>
      </c>
      <c r="J12" s="326"/>
      <c r="K12" s="326"/>
      <c r="L12" s="326"/>
      <c r="M12" s="326"/>
      <c r="N12" s="326"/>
      <c r="O12" s="326"/>
      <c r="P12" s="326"/>
    </row>
    <row r="13" spans="1:16" ht="76.5" x14ac:dyDescent="0.3">
      <c r="A13" s="384">
        <f>+PPTO!B11</f>
        <v>1.3</v>
      </c>
      <c r="B13" s="326" t="str">
        <f>+PPTO!C11</f>
        <v>Instalación de CERRAMIENTO PROVISIONAL en tela verde con una altura de 2,1 m. Incluye suministro, transporte, instalación y desmonte de la tela y estructura en larguero común, excavación manual en cualquier material y todos los demás elementos necesarios para su correcta instalación.</v>
      </c>
      <c r="C13" s="326" t="str">
        <f>+PPTO!D11</f>
        <v>ML</v>
      </c>
      <c r="D13" s="326">
        <f>+PPTO!E11</f>
        <v>168.07</v>
      </c>
      <c r="E13" s="502">
        <f>+PPTO!F11</f>
        <v>37142</v>
      </c>
      <c r="F13" s="502">
        <f>+PPTO!G11</f>
        <v>6242455.9399999995</v>
      </c>
      <c r="G13" s="326"/>
      <c r="H13" s="326"/>
      <c r="I13" s="382">
        <f>+F13</f>
        <v>6242455.9399999995</v>
      </c>
      <c r="J13" s="326"/>
      <c r="K13" s="326"/>
      <c r="L13" s="326"/>
      <c r="M13" s="326"/>
      <c r="N13" s="326"/>
      <c r="O13" s="326"/>
      <c r="P13" s="326"/>
    </row>
    <row r="14" spans="1:16" x14ac:dyDescent="0.3">
      <c r="A14" s="384">
        <f>+PPTO!B12</f>
        <v>2</v>
      </c>
      <c r="B14" s="507" t="str">
        <f>+PPTO!C12</f>
        <v>EXCAVACIONES Y LLENOS</v>
      </c>
      <c r="C14" s="384">
        <f>+PPTO!D12</f>
        <v>0</v>
      </c>
      <c r="D14" s="384">
        <f>+PPTO!E12</f>
        <v>0</v>
      </c>
      <c r="E14" s="379">
        <f>+PPTO!F12</f>
        <v>0</v>
      </c>
      <c r="F14" s="379">
        <f>+PPTO!G12</f>
        <v>0</v>
      </c>
      <c r="G14" s="384"/>
      <c r="H14" s="384"/>
      <c r="I14" s="506"/>
      <c r="J14" s="384"/>
      <c r="K14" s="384"/>
      <c r="L14" s="384"/>
      <c r="M14" s="384"/>
      <c r="N14" s="384"/>
      <c r="O14" s="384"/>
      <c r="P14" s="384"/>
    </row>
    <row r="15" spans="1:16" ht="51" x14ac:dyDescent="0.3">
      <c r="A15" s="384">
        <f>+PPTO!B13</f>
        <v>2.1</v>
      </c>
      <c r="B15" s="326" t="str">
        <f>+PPTO!C13</f>
        <v xml:space="preserve">EXCAVACIÓN de material heterogéneo DE 0-2 m., bajo cualquier grado de humedad. Incluye: roca descompuesta, bolas de roca de volumen inferior a 0.035 m³. Incluye botada </v>
      </c>
      <c r="C15" s="326" t="str">
        <f>+PPTO!D13</f>
        <v>M3</v>
      </c>
      <c r="D15" s="326">
        <f>+PPTO!E13</f>
        <v>124.67</v>
      </c>
      <c r="E15" s="502">
        <f>+PPTO!F13</f>
        <v>73235</v>
      </c>
      <c r="F15" s="502">
        <f>+PPTO!G13</f>
        <v>9130207.4499999993</v>
      </c>
      <c r="G15" s="326"/>
      <c r="H15" s="326"/>
      <c r="I15" s="382">
        <f t="shared" ref="I15:I16" si="0">+F15</f>
        <v>9130207.4499999993</v>
      </c>
      <c r="J15" s="326"/>
      <c r="K15" s="326"/>
      <c r="L15" s="326"/>
      <c r="M15" s="326"/>
      <c r="N15" s="326"/>
      <c r="O15" s="326"/>
      <c r="P15" s="326"/>
    </row>
    <row r="16" spans="1:16" ht="76.5" x14ac:dyDescent="0.3">
      <c r="A16" s="384">
        <f>+PPTO!B14</f>
        <v>2.2000000000000002</v>
      </c>
      <c r="B16" s="326" t="str">
        <f>+PPTO!C14</f>
        <v>LLENOS CON MATERIAL DE PRESTAMO, compactados mecánicamente hasta obtener una densidad del 98% de la máxima obtenida en el ensayo del Próctor modificado. Incluye el suministro, transporte, colocación de la arenilla, la compactación de la misma y transporte interno. Y su medida será en sitio ya compactado.</v>
      </c>
      <c r="C16" s="326" t="str">
        <f>+PPTO!D14</f>
        <v>M3</v>
      </c>
      <c r="D16" s="326">
        <f>+PPTO!E14</f>
        <v>122.05</v>
      </c>
      <c r="E16" s="502">
        <f>+PPTO!F14</f>
        <v>134804</v>
      </c>
      <c r="F16" s="502">
        <f>+PPTO!G14</f>
        <v>16452828.199999999</v>
      </c>
      <c r="G16" s="326"/>
      <c r="H16" s="326"/>
      <c r="I16" s="382">
        <f t="shared" si="0"/>
        <v>16452828.199999999</v>
      </c>
      <c r="J16" s="326"/>
      <c r="K16" s="326"/>
      <c r="L16" s="326"/>
      <c r="M16" s="326"/>
      <c r="N16" s="326"/>
      <c r="O16" s="326"/>
      <c r="P16" s="326"/>
    </row>
    <row r="17" spans="1:16" s="508" customFormat="1" x14ac:dyDescent="0.3">
      <c r="A17" s="507">
        <f>+PPTO!B15</f>
        <v>3</v>
      </c>
      <c r="B17" s="507" t="str">
        <f>+PPTO!C15</f>
        <v xml:space="preserve">ESTRUCTURA Y CONCRETOS </v>
      </c>
      <c r="C17" s="507">
        <f>+PPTO!D15</f>
        <v>0</v>
      </c>
      <c r="D17" s="507">
        <f>+PPTO!E15</f>
        <v>0</v>
      </c>
      <c r="E17" s="509">
        <f>+PPTO!F15</f>
        <v>0</v>
      </c>
      <c r="F17" s="509">
        <f>+PPTO!G15</f>
        <v>0</v>
      </c>
      <c r="G17" s="507"/>
      <c r="H17" s="507"/>
      <c r="I17" s="509">
        <f>+F17/2</f>
        <v>0</v>
      </c>
      <c r="J17" s="509">
        <f>+I17</f>
        <v>0</v>
      </c>
      <c r="K17" s="507"/>
      <c r="L17" s="507"/>
      <c r="M17" s="507"/>
      <c r="N17" s="507"/>
      <c r="O17" s="507"/>
      <c r="P17" s="507"/>
    </row>
    <row r="18" spans="1:16" s="508" customFormat="1" x14ac:dyDescent="0.3">
      <c r="A18" s="507">
        <f>+PPTO!B16</f>
        <v>3.1</v>
      </c>
      <c r="B18" s="507" t="str">
        <f>+PPTO!C16</f>
        <v>CIMENTACIONES</v>
      </c>
      <c r="C18" s="507">
        <f>+PPTO!D16</f>
        <v>0</v>
      </c>
      <c r="D18" s="507" t="str">
        <f>+PPTO!E16</f>
        <v/>
      </c>
      <c r="E18" s="509">
        <f>+PPTO!F16</f>
        <v>0</v>
      </c>
      <c r="F18" s="509">
        <f>+PPTO!G16</f>
        <v>0</v>
      </c>
      <c r="G18" s="507"/>
      <c r="H18" s="507"/>
      <c r="I18" s="507"/>
      <c r="J18" s="507"/>
      <c r="K18" s="507"/>
      <c r="L18" s="507"/>
      <c r="M18" s="507"/>
      <c r="N18" s="507"/>
      <c r="O18" s="507"/>
      <c r="P18" s="507"/>
    </row>
    <row r="19" spans="1:16" ht="63.75" x14ac:dyDescent="0.3">
      <c r="A19" s="384" t="str">
        <f>+PPTO!B17</f>
        <v>3,1,1</v>
      </c>
      <c r="B19" s="326" t="str">
        <f>+PPTO!C17</f>
        <v>Suministro, transporte y colocación de concreto de 14 Mpa para SOLADO, con un espesor DE 0.05 m. Incluye el suministro y el transporte del concreto y todos los demás elementos necesarios para su correcta construcción, incluye acarreo interno.</v>
      </c>
      <c r="C19" s="326" t="str">
        <f>+PPTO!D17</f>
        <v>M2</v>
      </c>
      <c r="D19" s="326">
        <f>+PPTO!E17</f>
        <v>82.98</v>
      </c>
      <c r="E19" s="502">
        <f>+PPTO!F17</f>
        <v>57121</v>
      </c>
      <c r="F19" s="502">
        <f>+PPTO!G17</f>
        <v>4739900.58</v>
      </c>
      <c r="G19" s="326"/>
      <c r="H19" s="326"/>
      <c r="I19" s="326"/>
      <c r="J19" s="382">
        <f>+F19</f>
        <v>4739900.58</v>
      </c>
      <c r="K19" s="326"/>
      <c r="L19" s="326"/>
      <c r="M19" s="326"/>
      <c r="N19" s="326"/>
      <c r="O19" s="326"/>
      <c r="P19" s="326"/>
    </row>
    <row r="20" spans="1:16" ht="114.75" x14ac:dyDescent="0.3">
      <c r="A20" s="384" t="str">
        <f>+PPTO!B18</f>
        <v>3,1,2</v>
      </c>
      <c r="B20" s="326" t="str">
        <f>+PPTO!C18</f>
        <v>Construcción de LOSA MACIZA en concreto de 21 MPa., con un ESPESOR DE 10 cm. Incluye suministro, transporte y la colocación del concreto, vibrado, protección y curado para estructuras, de acuerdo a las diferentes dimensiones establecidas en los planos y todos los demás elementos necesarios para su correcto vaciado, se incluye acero de refuerzo con doble malla electrosoldada D084 y plastico para evitar el contacto directo de la losa con el terreno</v>
      </c>
      <c r="C20" s="326" t="str">
        <f>+PPTO!D18</f>
        <v>M2</v>
      </c>
      <c r="D20" s="326">
        <f>+PPTO!E18</f>
        <v>405.36</v>
      </c>
      <c r="E20" s="502">
        <f>+PPTO!F18</f>
        <v>242084</v>
      </c>
      <c r="F20" s="502">
        <f>+PPTO!G18</f>
        <v>98131170.24000001</v>
      </c>
      <c r="G20" s="326"/>
      <c r="H20" s="326"/>
      <c r="J20" s="380">
        <f>+K20</f>
        <v>49065585.120000005</v>
      </c>
      <c r="K20" s="380">
        <f>+F20/2</f>
        <v>49065585.120000005</v>
      </c>
      <c r="L20" s="326"/>
      <c r="M20" s="326"/>
      <c r="N20" s="326"/>
      <c r="O20" s="326"/>
      <c r="P20" s="326"/>
    </row>
    <row r="21" spans="1:16" ht="51" x14ac:dyDescent="0.3">
      <c r="A21" s="384" t="str">
        <f>+PPTO!B19</f>
        <v>3,1,3</v>
      </c>
      <c r="B21" s="326" t="str">
        <f>+PPTO!C19</f>
        <v>Suministro, transporte y colocación de concreto para vigas de fundación 0,3 x 0,3 IIncluye: concreto 21MPa, vibrado y todo para su correcta construcción. El acero se pagará en su respectivo ITEM.</v>
      </c>
      <c r="C21" s="326" t="str">
        <f>+PPTO!D19</f>
        <v>ML</v>
      </c>
      <c r="D21" s="326">
        <f>+PPTO!E19</f>
        <v>183.25</v>
      </c>
      <c r="E21" s="502">
        <f>+PPTO!F19</f>
        <v>108824</v>
      </c>
      <c r="F21" s="502">
        <f>+PPTO!G19</f>
        <v>19941998</v>
      </c>
      <c r="G21" s="326"/>
      <c r="H21" s="326"/>
      <c r="I21" s="326"/>
      <c r="J21" s="380">
        <f>+F21/2</f>
        <v>9970999</v>
      </c>
      <c r="K21" s="380">
        <f>+J21</f>
        <v>9970999</v>
      </c>
      <c r="L21" s="326"/>
      <c r="N21" s="326"/>
      <c r="O21" s="326"/>
      <c r="P21" s="326"/>
    </row>
    <row r="22" spans="1:16" ht="63.75" x14ac:dyDescent="0.3">
      <c r="A22" s="384" t="str">
        <f>+PPTO!B20</f>
        <v>3,1,4</v>
      </c>
      <c r="B22" s="326" t="str">
        <f>+PPTO!C20</f>
        <v>Suministro, transporte y colocación de concreto para cimentación superficilaes tipo zapatas, incluye pedestales de 0,40 x 0,40 x 1,30: y bases de 1,0 x 1,0 x 0,3 Incluye concreto 21MPa. El acero se pagará en su respectivo ITEM.</v>
      </c>
      <c r="C22" s="326" t="str">
        <f>+PPTO!D20</f>
        <v>M3</v>
      </c>
      <c r="D22" s="326">
        <f>+PPTO!E20</f>
        <v>14.22</v>
      </c>
      <c r="E22" s="502">
        <f>+PPTO!F20</f>
        <v>596612</v>
      </c>
      <c r="F22" s="502">
        <f>+PPTO!G20</f>
        <v>8483822.6400000006</v>
      </c>
      <c r="G22" s="326"/>
      <c r="H22" s="326"/>
      <c r="I22" s="326"/>
      <c r="J22" s="382">
        <f>+F22</f>
        <v>8483822.6400000006</v>
      </c>
      <c r="K22" s="326"/>
      <c r="L22" s="326"/>
      <c r="M22" s="326"/>
      <c r="N22" s="326"/>
      <c r="O22" s="326"/>
      <c r="P22" s="326"/>
    </row>
    <row r="23" spans="1:16" s="508" customFormat="1" x14ac:dyDescent="0.3">
      <c r="A23" s="507">
        <f>+PPTO!B21</f>
        <v>3.2</v>
      </c>
      <c r="B23" s="507" t="str">
        <f>+PPTO!C21</f>
        <v xml:space="preserve">ESTRUCTURA </v>
      </c>
      <c r="C23" s="507">
        <f>+PPTO!D21</f>
        <v>0</v>
      </c>
      <c r="D23" s="507" t="str">
        <f>+PPTO!E21</f>
        <v/>
      </c>
      <c r="E23" s="509">
        <f>+PPTO!F21</f>
        <v>0</v>
      </c>
      <c r="F23" s="509">
        <f>+PPTO!G21</f>
        <v>0</v>
      </c>
      <c r="G23" s="507"/>
      <c r="H23" s="507"/>
      <c r="I23" s="507">
        <f>+F23/2</f>
        <v>0</v>
      </c>
      <c r="J23" s="507">
        <f>+I23</f>
        <v>0</v>
      </c>
      <c r="K23" s="507"/>
      <c r="L23" s="507"/>
      <c r="M23" s="507"/>
      <c r="N23" s="507"/>
      <c r="O23" s="507"/>
      <c r="P23" s="507"/>
    </row>
    <row r="24" spans="1:16" ht="51" x14ac:dyDescent="0.3">
      <c r="A24" s="384" t="str">
        <f>+PPTO!B22</f>
        <v>3,2,1</v>
      </c>
      <c r="B24" s="326" t="str">
        <f>+PPTO!C22</f>
        <v>Suministro, transporte y colocación de concreto para columnas de 0.30 x 0.30, h= 2.70m,  Incluye: formaleta, concreto 21MPa, vibrado y todo para su correcta instalación. El acero se pagará en su respectivo ITEM.</v>
      </c>
      <c r="C24" s="326" t="str">
        <f>+PPTO!D22</f>
        <v>ML</v>
      </c>
      <c r="D24" s="326">
        <f>+PPTO!E22</f>
        <v>75.600000000000009</v>
      </c>
      <c r="E24" s="502">
        <f>+PPTO!F22</f>
        <v>204169</v>
      </c>
      <c r="F24" s="502">
        <f>+PPTO!G22</f>
        <v>15435176.400000002</v>
      </c>
      <c r="G24" s="326"/>
      <c r="H24" s="326"/>
      <c r="I24" s="326"/>
      <c r="J24" s="326"/>
      <c r="K24" s="380">
        <f>+F24</f>
        <v>15435176.400000002</v>
      </c>
      <c r="L24" s="326"/>
      <c r="M24" s="326"/>
      <c r="N24" s="326"/>
      <c r="O24" s="326"/>
      <c r="P24" s="326"/>
    </row>
    <row r="25" spans="1:16" ht="38.25" x14ac:dyDescent="0.3">
      <c r="A25" s="384" t="str">
        <f>+PPTO!B23</f>
        <v>3,2,2</v>
      </c>
      <c r="B25" s="326" t="str">
        <f>+PPTO!C23</f>
        <v>Suministro, transporte y colocación de concreto para vigas de amarre, de 0.25 x 0.30,  Incluye: ( formaleta y concreto 21MPa), el acero se pagará en su respectivo ITEM.</v>
      </c>
      <c r="C25" s="326" t="str">
        <f>+PPTO!D23</f>
        <v>ML</v>
      </c>
      <c r="D25" s="326">
        <f>+PPTO!E23</f>
        <v>183.25</v>
      </c>
      <c r="E25" s="502">
        <f>+PPTO!F23</f>
        <v>227690</v>
      </c>
      <c r="F25" s="502">
        <f>+PPTO!G23</f>
        <v>41724192.5</v>
      </c>
      <c r="G25" s="326"/>
      <c r="H25" s="326"/>
      <c r="I25" s="326"/>
      <c r="J25" s="505"/>
      <c r="K25" s="382">
        <f>+E25</f>
        <v>227690</v>
      </c>
      <c r="L25" s="326"/>
      <c r="M25" s="326"/>
      <c r="N25" s="326"/>
      <c r="O25" s="326"/>
      <c r="P25" s="326"/>
    </row>
    <row r="26" spans="1:16" ht="38.25" x14ac:dyDescent="0.3">
      <c r="A26" s="384" t="str">
        <f>+PPTO!B24</f>
        <v>3,2,3</v>
      </c>
      <c r="B26" s="326" t="str">
        <f>+PPTO!C24</f>
        <v>Dovelas en concreto GRAUTING para amarre de mampostería 10x15x30 incluye acero de refuerzo con varilla de 1/2</v>
      </c>
      <c r="C26" s="326" t="str">
        <f>+PPTO!D24</f>
        <v>ML</v>
      </c>
      <c r="D26" s="326">
        <f>+PPTO!E24</f>
        <v>361.8</v>
      </c>
      <c r="E26" s="502">
        <f>+PPTO!F24</f>
        <v>32266</v>
      </c>
      <c r="F26" s="502">
        <f>+PPTO!G24</f>
        <v>11673838.800000001</v>
      </c>
      <c r="G26" s="326"/>
      <c r="H26" s="326"/>
      <c r="I26" s="326"/>
      <c r="J26" s="505"/>
      <c r="K26" s="380">
        <f>+F26/2</f>
        <v>5836919.4000000004</v>
      </c>
      <c r="L26" s="380">
        <f>+F26/2</f>
        <v>5836919.4000000004</v>
      </c>
      <c r="M26" s="326"/>
      <c r="N26" s="326"/>
      <c r="O26" s="326"/>
      <c r="P26" s="326"/>
    </row>
    <row r="27" spans="1:16" s="508" customFormat="1" x14ac:dyDescent="0.3">
      <c r="A27" s="507">
        <f>+PPTO!B25</f>
        <v>3.3</v>
      </c>
      <c r="B27" s="507" t="str">
        <f>+PPTO!C25</f>
        <v xml:space="preserve">CUBIERTA </v>
      </c>
      <c r="C27" s="507">
        <f>+PPTO!D25</f>
        <v>0</v>
      </c>
      <c r="D27" s="507" t="str">
        <f>+PPTO!E25</f>
        <v/>
      </c>
      <c r="E27" s="509">
        <f>+PPTO!F25</f>
        <v>0</v>
      </c>
      <c r="F27" s="509">
        <f>+PPTO!G25</f>
        <v>0</v>
      </c>
      <c r="G27" s="507"/>
      <c r="H27" s="507"/>
      <c r="I27" s="507"/>
      <c r="J27" s="507"/>
      <c r="K27" s="507"/>
      <c r="L27" s="509">
        <f>+F27/2</f>
        <v>0</v>
      </c>
      <c r="M27" s="509">
        <f>+L27</f>
        <v>0</v>
      </c>
      <c r="N27" s="507"/>
      <c r="O27" s="507"/>
      <c r="P27" s="507"/>
    </row>
    <row r="28" spans="1:16" ht="102" x14ac:dyDescent="0.3">
      <c r="A28" s="384" t="str">
        <f>+PPTO!B26</f>
        <v>3,3,1</v>
      </c>
      <c r="B28" s="326" t="str">
        <f>+PPTO!C26</f>
        <v>Suministro, transporte e instalación de estructura metalica para cubierta, suministro y transporte de perfiles tipo PHR 254X67X2mm, platinas, uniones, soldaduras de acabado o presentación, anclajes y pernos a estructura de concreto. Incluye transporte a sitio e izaje. Todos los elementos deben llevar dos manos de pintura anticorrosiva, color por definir. tambien incluye obra falsa y todo el equipo y la herramienta necesaria para el montaje.</v>
      </c>
      <c r="C28" s="326" t="str">
        <f>+PPTO!D26</f>
        <v>KG</v>
      </c>
      <c r="D28" s="326">
        <f>+PPTO!E26</f>
        <v>6000.92</v>
      </c>
      <c r="E28" s="502">
        <f>+PPTO!F26</f>
        <v>26995</v>
      </c>
      <c r="F28" s="502">
        <f>+PPTO!G26</f>
        <v>161994835.40000001</v>
      </c>
      <c r="G28" s="326"/>
      <c r="H28" s="326"/>
      <c r="I28" s="326"/>
      <c r="J28" s="326"/>
      <c r="K28" s="326"/>
      <c r="L28" s="382">
        <f>+F28</f>
        <v>161994835.40000001</v>
      </c>
      <c r="M28" s="326"/>
      <c r="N28" s="326"/>
      <c r="O28" s="326"/>
      <c r="P28" s="326"/>
    </row>
    <row r="29" spans="1:16" ht="63.75" x14ac:dyDescent="0.3">
      <c r="A29" s="384" t="str">
        <f>+PPTO!B27</f>
        <v>3,3,2</v>
      </c>
      <c r="B29" s="326" t="str">
        <f>+PPTO!C27</f>
        <v>Suministro, transporte e instalación de cubierta tipo Teja Termoacustica Ecoroof UPVC 2.5mm Blanco 1.07 x 5.90 Mts. Incluye remates internos y externos de cubierta, tornillos autoroscantes y todo lo necesario para su correcta instalación. Según diseño.</v>
      </c>
      <c r="C29" s="326" t="str">
        <f>+PPTO!D27</f>
        <v>M2</v>
      </c>
      <c r="D29" s="326">
        <f>+PPTO!E27</f>
        <v>444.48</v>
      </c>
      <c r="E29" s="502">
        <f>+PPTO!F27</f>
        <v>111640</v>
      </c>
      <c r="F29" s="502">
        <f>+PPTO!G27</f>
        <v>49621747.200000003</v>
      </c>
      <c r="G29" s="326"/>
      <c r="H29" s="326"/>
      <c r="I29" s="326"/>
      <c r="J29" s="326"/>
      <c r="K29" s="326"/>
      <c r="L29" s="382">
        <f>+F29</f>
        <v>49621747.200000003</v>
      </c>
      <c r="M29" s="326"/>
      <c r="N29" s="326"/>
      <c r="O29" s="326"/>
      <c r="P29" s="326"/>
    </row>
    <row r="30" spans="1:16" s="508" customFormat="1" x14ac:dyDescent="0.3">
      <c r="A30" s="507">
        <f>+PPTO!B28</f>
        <v>3.4</v>
      </c>
      <c r="B30" s="507" t="str">
        <f>+PPTO!C28</f>
        <v xml:space="preserve">ACERO DE REFUERZO  </v>
      </c>
      <c r="C30" s="507">
        <f>+PPTO!D28</f>
        <v>0</v>
      </c>
      <c r="D30" s="507" t="str">
        <f>+PPTO!E28</f>
        <v/>
      </c>
      <c r="E30" s="509">
        <f>+PPTO!F28</f>
        <v>0</v>
      </c>
      <c r="F30" s="509">
        <f>+PPTO!G28</f>
        <v>0</v>
      </c>
      <c r="G30" s="507"/>
      <c r="H30" s="507"/>
      <c r="I30" s="507"/>
      <c r="J30" s="507"/>
      <c r="K30" s="507"/>
      <c r="L30" s="507"/>
      <c r="M30" s="507"/>
      <c r="N30" s="510">
        <f>+F30</f>
        <v>0</v>
      </c>
      <c r="O30" s="507"/>
      <c r="P30" s="507"/>
    </row>
    <row r="31" spans="1:16" ht="38.25" x14ac:dyDescent="0.3">
      <c r="A31" s="384" t="str">
        <f>+PPTO!B29</f>
        <v>3,4,1</v>
      </c>
      <c r="B31" s="326" t="str">
        <f>+PPTO!C29</f>
        <v xml:space="preserve">Suministro, figurado y armado de Acero de refuerzo 6000PSI, (se incluyen zapatas, vigas de fundación y vigas de amarre y columnas). </v>
      </c>
      <c r="C31" s="326" t="str">
        <f>+PPTO!D29</f>
        <v>KG</v>
      </c>
      <c r="D31" s="326">
        <f>+PPTO!E29</f>
        <v>8091.81</v>
      </c>
      <c r="E31" s="502">
        <f>+PPTO!F29</f>
        <v>12038</v>
      </c>
      <c r="F31" s="502">
        <f>+PPTO!G29</f>
        <v>97409208.780000001</v>
      </c>
      <c r="G31" s="326"/>
      <c r="H31" s="326"/>
      <c r="I31" s="380">
        <f>+$F$31/4</f>
        <v>24352302.195</v>
      </c>
      <c r="J31" s="380">
        <f t="shared" ref="J31:L31" si="1">+$F$31/4</f>
        <v>24352302.195</v>
      </c>
      <c r="K31" s="380">
        <f t="shared" si="1"/>
        <v>24352302.195</v>
      </c>
      <c r="L31" s="380">
        <f t="shared" si="1"/>
        <v>24352302.195</v>
      </c>
      <c r="M31" s="326"/>
      <c r="N31" s="326"/>
      <c r="O31" s="326"/>
      <c r="P31" s="326"/>
    </row>
    <row r="32" spans="1:16" s="508" customFormat="1" x14ac:dyDescent="0.3">
      <c r="A32" s="507">
        <f>+PPTO!B30</f>
        <v>4</v>
      </c>
      <c r="B32" s="507" t="str">
        <f>+PPTO!C30</f>
        <v>MAMPOSTERIA</v>
      </c>
      <c r="C32" s="507">
        <f>+PPTO!D30</f>
        <v>0</v>
      </c>
      <c r="D32" s="507" t="str">
        <f>+PPTO!E30</f>
        <v/>
      </c>
      <c r="E32" s="509">
        <f>+PPTO!F30</f>
        <v>0</v>
      </c>
      <c r="F32" s="509">
        <f>+PPTO!G30</f>
        <v>0</v>
      </c>
      <c r="G32" s="507"/>
      <c r="H32" s="507"/>
      <c r="I32" s="509">
        <f>+F32/2</f>
        <v>0</v>
      </c>
      <c r="J32" s="509">
        <f>+I32</f>
        <v>0</v>
      </c>
      <c r="K32" s="507"/>
      <c r="L32" s="507"/>
      <c r="M32" s="507"/>
      <c r="N32" s="507"/>
      <c r="O32" s="507"/>
      <c r="P32" s="507"/>
    </row>
    <row r="33" spans="1:16" ht="63.75" x14ac:dyDescent="0.3">
      <c r="A33" s="384">
        <f>+PPTO!B31</f>
        <v>4.0999999999999996</v>
      </c>
      <c r="B33" s="326" t="str">
        <f>+PPTO!C31</f>
        <v>Construcción de mampostería en ladrillo a la vista, de 10x15x30cm. Espesor de 15 cm. Incluye el suministro y transporte del ladrillo, el mortero de pega 1:4 espesor max=0.01 m y todos los demás elementos necesarios para su correcta construcción y funcionamiento.</v>
      </c>
      <c r="C33" s="326" t="str">
        <f>+PPTO!D31</f>
        <v>M2</v>
      </c>
      <c r="D33" s="326">
        <f>+PPTO!E31</f>
        <v>485.46</v>
      </c>
      <c r="E33" s="502">
        <f>+PPTO!F31</f>
        <v>187443</v>
      </c>
      <c r="F33" s="502">
        <f>+PPTO!G31</f>
        <v>90996078.780000001</v>
      </c>
      <c r="G33" s="326"/>
      <c r="H33" s="326"/>
      <c r="I33" s="326"/>
      <c r="J33" s="326"/>
      <c r="K33" s="380">
        <f>+F33/2</f>
        <v>45498039.390000001</v>
      </c>
      <c r="L33" s="380">
        <f>+F33/2</f>
        <v>45498039.390000001</v>
      </c>
      <c r="M33" s="326"/>
      <c r="N33" s="326"/>
      <c r="O33" s="326"/>
      <c r="P33" s="326"/>
    </row>
    <row r="34" spans="1:16" ht="63.75" x14ac:dyDescent="0.3">
      <c r="A34" s="384">
        <f>+PPTO!B32</f>
        <v>4.2</v>
      </c>
      <c r="B34" s="326" t="str">
        <f>+PPTO!C32</f>
        <v>Impermeabilización Sobrecimientos en bloque por medio de  IGOL denso plus o similar. Incluye mortero 1:4 espesor 2cm para revoque, pendientes, emulsión asfáltica, mediacaña, regata y todo lo necesario para su correcta construcción.. PRIMER NIVEL 80 cm</v>
      </c>
      <c r="C34" s="326" t="str">
        <f>+PPTO!D32</f>
        <v>M2</v>
      </c>
      <c r="D34" s="326">
        <f>+PPTO!E32</f>
        <v>287.68</v>
      </c>
      <c r="E34" s="502">
        <f>+PPTO!F32</f>
        <v>59120</v>
      </c>
      <c r="F34" s="502">
        <f>+PPTO!G32</f>
        <v>17007641.600000001</v>
      </c>
      <c r="G34" s="326"/>
      <c r="H34" s="326"/>
      <c r="I34" s="326"/>
      <c r="J34" s="326"/>
      <c r="K34" s="380">
        <f>+F34/2</f>
        <v>8503820.8000000007</v>
      </c>
      <c r="L34" s="380">
        <f>+K34</f>
        <v>8503820.8000000007</v>
      </c>
      <c r="M34" s="326"/>
      <c r="N34" s="326"/>
      <c r="O34" s="326"/>
      <c r="P34" s="326"/>
    </row>
    <row r="35" spans="1:16" ht="51" x14ac:dyDescent="0.3">
      <c r="A35" s="384">
        <f>+PPTO!B33</f>
        <v>4.3</v>
      </c>
      <c r="B35" s="326" t="str">
        <f>+PPTO!C33</f>
        <v>Colocación de revoque con mortero 1:4 impermeabilizado con sika 1 o equivalente en muros. Incluye suministro y transporte de materiales, fajas, ranuras, filetes y todos los demas elementos para su correcta construcció.</v>
      </c>
      <c r="C35" s="326" t="str">
        <f>+PPTO!D33</f>
        <v>M2</v>
      </c>
      <c r="D35" s="326">
        <f>+PPTO!E33</f>
        <v>706.54</v>
      </c>
      <c r="E35" s="502">
        <f>+PPTO!F33</f>
        <v>31990</v>
      </c>
      <c r="F35" s="502">
        <f>+PPTO!G33</f>
        <v>22602214.599999998</v>
      </c>
      <c r="G35" s="326"/>
      <c r="H35" s="326"/>
      <c r="I35" s="326"/>
      <c r="J35" s="326"/>
      <c r="K35" s="380">
        <f>+F35/3</f>
        <v>7534071.5333333323</v>
      </c>
      <c r="L35" s="380">
        <f>+F35/3</f>
        <v>7534071.5333333323</v>
      </c>
      <c r="M35" s="380">
        <f>+F35/3</f>
        <v>7534071.5333333323</v>
      </c>
      <c r="N35" s="326"/>
      <c r="O35" s="326"/>
      <c r="P35" s="326"/>
    </row>
    <row r="36" spans="1:16" ht="89.25" x14ac:dyDescent="0.3">
      <c r="A36" s="384">
        <f>+PPTO!B34</f>
        <v>4.4000000000000004</v>
      </c>
      <c r="B36" s="326" t="str">
        <f>+PPTO!C34</f>
        <v>Suministro, transporte y aplicación de hidrófugo impermeabilizante del tipo siliconite (Sika transparente o equivalente) o equivalente para mampostería de fachadas, con todos los elementos necesarios para su correcta instalación y funcionamiento, incluye a su vez lavado con  aplicación de ácido nítrico e hidrosolve proporción 1:1:5 para lavada de muros interiores</v>
      </c>
      <c r="C36" s="326" t="str">
        <f>+PPTO!D34</f>
        <v>M2</v>
      </c>
      <c r="D36" s="326">
        <f>+PPTO!E34</f>
        <v>264.38</v>
      </c>
      <c r="E36" s="502">
        <f>+PPTO!F34</f>
        <v>24661</v>
      </c>
      <c r="F36" s="502">
        <f>+PPTO!G34</f>
        <v>6519875.1799999997</v>
      </c>
      <c r="G36" s="326"/>
      <c r="H36" s="326"/>
      <c r="I36" s="326"/>
      <c r="J36" s="326"/>
      <c r="K36" s="326"/>
      <c r="L36" s="382">
        <f>+F36</f>
        <v>6519875.1799999997</v>
      </c>
      <c r="M36" s="502"/>
      <c r="N36" s="502"/>
      <c r="O36" s="326"/>
      <c r="P36" s="326"/>
    </row>
    <row r="37" spans="1:16" ht="38.25" x14ac:dyDescent="0.3">
      <c r="A37" s="384">
        <f>+PPTO!B35</f>
        <v>4.5</v>
      </c>
      <c r="B37" s="326" t="str">
        <f>+PPTO!C35</f>
        <v>Suministro, transporte y colocación de estuco en muros. Incluye fajas, ranuras, filetes, y todos los demás elementos necesarios para su correcta construcción.</v>
      </c>
      <c r="C37" s="326" t="str">
        <f>+PPTO!D35</f>
        <v>M2</v>
      </c>
      <c r="D37" s="326">
        <f>+PPTO!E35</f>
        <v>706.54</v>
      </c>
      <c r="E37" s="502">
        <f>+PPTO!F35</f>
        <v>29511</v>
      </c>
      <c r="F37" s="502">
        <f>+PPTO!G35</f>
        <v>20850701.939999998</v>
      </c>
      <c r="G37" s="326"/>
      <c r="H37" s="326"/>
      <c r="I37" s="326"/>
      <c r="J37" s="326"/>
      <c r="K37" s="326"/>
      <c r="L37" s="380">
        <f>+F37/2</f>
        <v>10425350.969999999</v>
      </c>
      <c r="M37" s="380">
        <f>+F37/2</f>
        <v>10425350.969999999</v>
      </c>
      <c r="N37" s="326"/>
      <c r="O37" s="505"/>
      <c r="P37" s="505"/>
    </row>
    <row r="38" spans="1:16" ht="38.25" x14ac:dyDescent="0.3">
      <c r="A38" s="384">
        <f>+PPTO!B36</f>
        <v>4.5999999999999996</v>
      </c>
      <c r="B38" s="326" t="str">
        <f>+PPTO!C36</f>
        <v xml:space="preserve">Suministro y aplicación de pintura tipo 1, tres manos, incluye la preparación de la superficie y todos los insumos necesarios para el desarrollo de la actividad. </v>
      </c>
      <c r="C38" s="326" t="str">
        <f>+PPTO!D36</f>
        <v>M2</v>
      </c>
      <c r="D38" s="326">
        <f>+PPTO!E36</f>
        <v>706.54</v>
      </c>
      <c r="E38" s="502">
        <f>+PPTO!F36</f>
        <v>31431</v>
      </c>
      <c r="F38" s="502">
        <f>+PPTO!G36</f>
        <v>22207258.739999998</v>
      </c>
      <c r="G38" s="326"/>
      <c r="H38" s="326"/>
      <c r="I38" s="326"/>
      <c r="J38" s="326"/>
      <c r="K38" s="326"/>
      <c r="L38" s="380">
        <f>+F38/2</f>
        <v>11103629.369999999</v>
      </c>
      <c r="M38" s="380">
        <f>+F38/2</f>
        <v>11103629.369999999</v>
      </c>
      <c r="N38" s="326"/>
      <c r="O38" s="326"/>
      <c r="P38" s="326"/>
    </row>
    <row r="39" spans="1:16" s="508" customFormat="1" x14ac:dyDescent="0.3">
      <c r="A39" s="507">
        <f>+PPTO!B37</f>
        <v>5</v>
      </c>
      <c r="B39" s="507" t="str">
        <f>+PPTO!C37</f>
        <v>OBRA BLANCA</v>
      </c>
      <c r="C39" s="507">
        <f>+PPTO!D37</f>
        <v>0</v>
      </c>
      <c r="D39" s="507" t="str">
        <f>+PPTO!E37</f>
        <v/>
      </c>
      <c r="E39" s="509">
        <f>+PPTO!F37</f>
        <v>0</v>
      </c>
      <c r="F39" s="509">
        <f>+PPTO!G37</f>
        <v>0</v>
      </c>
      <c r="G39" s="507"/>
      <c r="H39" s="507"/>
      <c r="I39" s="507"/>
      <c r="J39" s="507"/>
      <c r="K39" s="507"/>
      <c r="L39" s="507"/>
      <c r="M39" s="507"/>
      <c r="N39" s="507"/>
      <c r="O39" s="507"/>
      <c r="P39" s="507"/>
    </row>
    <row r="40" spans="1:16" ht="25.5" x14ac:dyDescent="0.3">
      <c r="A40" s="384">
        <f>+PPTO!B38</f>
        <v>5.0999999999999996</v>
      </c>
      <c r="B40" s="326" t="str">
        <f>+PPTO!C38</f>
        <v>Enchape de piso antideslizante incluye: mortero, pegante, cerámica antideslizante y lechada de limpieza.</v>
      </c>
      <c r="C40" s="326" t="str">
        <f>+PPTO!D38</f>
        <v>M2</v>
      </c>
      <c r="D40" s="326">
        <f>+PPTO!E38</f>
        <v>340.86</v>
      </c>
      <c r="E40" s="502">
        <f>+PPTO!F38</f>
        <v>129661</v>
      </c>
      <c r="F40" s="502">
        <f>+PPTO!G38</f>
        <v>44196248.460000001</v>
      </c>
      <c r="G40" s="326"/>
      <c r="H40" s="326"/>
      <c r="I40" s="326"/>
      <c r="J40" s="326"/>
      <c r="K40" s="380">
        <f>+F40/3</f>
        <v>14732082.82</v>
      </c>
      <c r="L40" s="380">
        <f>+F40/3</f>
        <v>14732082.82</v>
      </c>
      <c r="M40" s="380">
        <f>+F40/3</f>
        <v>14732082.82</v>
      </c>
      <c r="N40" s="502"/>
      <c r="O40" s="326"/>
      <c r="P40" s="326"/>
    </row>
    <row r="41" spans="1:16" ht="25.5" x14ac:dyDescent="0.3">
      <c r="A41" s="384">
        <f>+PPTO!B39</f>
        <v>5.2</v>
      </c>
      <c r="B41" s="326" t="str">
        <f>+PPTO!C39</f>
        <v>Enchape cocina pared sobre mesón incluye: pegante, cerámica y lechada de limpieza</v>
      </c>
      <c r="C41" s="326" t="str">
        <f>+PPTO!D39</f>
        <v>M2</v>
      </c>
      <c r="D41" s="326">
        <f>+PPTO!E39</f>
        <v>216.44</v>
      </c>
      <c r="E41" s="502">
        <f>+PPTO!F39</f>
        <v>97951</v>
      </c>
      <c r="F41" s="502">
        <f>+PPTO!G39</f>
        <v>21200514.440000001</v>
      </c>
      <c r="G41" s="326"/>
      <c r="H41" s="326"/>
      <c r="I41" s="326"/>
      <c r="J41" s="326"/>
      <c r="K41" s="380">
        <f>+F41/2</f>
        <v>10600257.220000001</v>
      </c>
      <c r="L41" s="380">
        <f>+F41/2</f>
        <v>10600257.220000001</v>
      </c>
      <c r="M41" s="326"/>
      <c r="N41" s="502"/>
      <c r="O41" s="326"/>
      <c r="P41" s="326"/>
    </row>
    <row r="42" spans="1:16" ht="25.5" x14ac:dyDescent="0.3">
      <c r="A42" s="384">
        <f>+PPTO!B40</f>
        <v>5.3</v>
      </c>
      <c r="B42" s="326" t="str">
        <f>+PPTO!C40</f>
        <v>Cielo en drywall local con fajas y dilatadores incluye: (estructura, placa, macilla y pintura)</v>
      </c>
      <c r="C42" s="326" t="str">
        <f>+PPTO!D40</f>
        <v>M2</v>
      </c>
      <c r="D42" s="326">
        <f>+PPTO!E40</f>
        <v>265.38</v>
      </c>
      <c r="E42" s="502">
        <f>+PPTO!F40</f>
        <v>103072.31486633158</v>
      </c>
      <c r="F42" s="502">
        <f>+PPTO!G40</f>
        <v>27353330.919227075</v>
      </c>
      <c r="G42" s="326"/>
      <c r="H42" s="326"/>
      <c r="I42" s="326"/>
      <c r="J42" s="326"/>
      <c r="K42" s="326"/>
      <c r="L42" s="326"/>
      <c r="M42" s="380">
        <f>+F42/2</f>
        <v>13676665.459613537</v>
      </c>
      <c r="N42" s="380">
        <f>+F42/2</f>
        <v>13676665.459613537</v>
      </c>
      <c r="O42" s="502"/>
      <c r="P42" s="502"/>
    </row>
    <row r="43" spans="1:16" ht="51" x14ac:dyDescent="0.3">
      <c r="A43" s="384">
        <f>+PPTO!B41</f>
        <v>5.4</v>
      </c>
      <c r="B43" s="326" t="str">
        <f>+PPTO!C41</f>
        <v xml:space="preserve">Suministro transporte e instalación de guarda escoba o zocalo en piso en baldosa del mismo color de la baldosa , incluye pega lechada y demás elementos necesarios para su correcta instalación. </v>
      </c>
      <c r="C43" s="326" t="str">
        <f>+PPTO!D41</f>
        <v>ML</v>
      </c>
      <c r="D43" s="326">
        <f>+PPTO!E41</f>
        <v>152.72</v>
      </c>
      <c r="E43" s="502">
        <f>+PPTO!F41</f>
        <v>36912.314866331581</v>
      </c>
      <c r="F43" s="502">
        <f>+PPTO!G41</f>
        <v>5637248.7263861587</v>
      </c>
      <c r="G43" s="326"/>
      <c r="H43" s="326"/>
      <c r="I43" s="326"/>
      <c r="J43" s="326"/>
      <c r="K43" s="326"/>
      <c r="L43" s="326"/>
      <c r="M43" s="380">
        <f>+F43/2</f>
        <v>2818624.3631930794</v>
      </c>
      <c r="N43" s="380">
        <f>+F43/2</f>
        <v>2818624.3631930794</v>
      </c>
      <c r="O43" s="326"/>
      <c r="P43" s="326"/>
    </row>
    <row r="44" spans="1:16" s="508" customFormat="1" x14ac:dyDescent="0.3">
      <c r="A44" s="507">
        <f>+PPTO!B42</f>
        <v>6</v>
      </c>
      <c r="B44" s="507" t="str">
        <f>+PPTO!C42</f>
        <v xml:space="preserve">INSTALACIONES ELECTRICAS </v>
      </c>
      <c r="C44" s="507">
        <f>+PPTO!D42</f>
        <v>0</v>
      </c>
      <c r="D44" s="507" t="str">
        <f>+PPTO!E42</f>
        <v/>
      </c>
      <c r="E44" s="509">
        <f>+PPTO!F42</f>
        <v>0</v>
      </c>
      <c r="F44" s="509">
        <f>+PPTO!G42</f>
        <v>0</v>
      </c>
      <c r="G44" s="507"/>
      <c r="H44" s="507"/>
      <c r="I44" s="507"/>
      <c r="J44" s="507"/>
      <c r="K44" s="507"/>
      <c r="L44" s="507"/>
      <c r="M44" s="507"/>
      <c r="N44" s="510">
        <f>+F44</f>
        <v>0</v>
      </c>
      <c r="O44" s="507"/>
      <c r="P44" s="507"/>
    </row>
    <row r="45" spans="1:16" ht="63.75" x14ac:dyDescent="0.3">
      <c r="A45" s="384">
        <f>+PPTO!B43</f>
        <v>6.1</v>
      </c>
      <c r="B45" s="326" t="str">
        <f>+PPTO!C43</f>
        <v>Suministro, transporte e instalación de salida para toma doble p/t. Incluye en tubería IMC, accesorios, alambre de cobre THHN-AWG- LS#12,  según cuadro de cargas y notas en planos, elementos para el correcto funcionamiento y aparato línea Génesis.</v>
      </c>
      <c r="C45" s="326" t="str">
        <f>+PPTO!D43</f>
        <v>UN</v>
      </c>
      <c r="D45" s="326">
        <f>+PPTO!E43</f>
        <v>23</v>
      </c>
      <c r="E45" s="502">
        <f>+PPTO!F43</f>
        <v>96826.663682495622</v>
      </c>
      <c r="F45" s="502">
        <f>+PPTO!G43</f>
        <v>2227013.2646973995</v>
      </c>
      <c r="G45" s="326"/>
      <c r="H45" s="326"/>
      <c r="I45" s="326"/>
      <c r="J45" s="380">
        <f>+F45/2</f>
        <v>1113506.6323486997</v>
      </c>
      <c r="K45" s="382">
        <f>+F45/2</f>
        <v>1113506.6323486997</v>
      </c>
      <c r="L45" s="326"/>
      <c r="M45" s="326"/>
      <c r="N45" s="326"/>
      <c r="O45" s="326"/>
      <c r="P45" s="326"/>
    </row>
    <row r="46" spans="1:16" ht="51" x14ac:dyDescent="0.3">
      <c r="A46" s="384">
        <f>+PPTO!B44</f>
        <v>6.2</v>
      </c>
      <c r="B46" s="326" t="str">
        <f>+PPTO!C44</f>
        <v>Suministro, transporte e instalación de salida eléctrica para toma GFCI. en  IMC 3/4", caja y accesorios, alambre de cobre THHN-AWG-LS #12, según cuadro de cargas y notas en planos, aparato línea Génesis.</v>
      </c>
      <c r="C46" s="326" t="str">
        <f>+PPTO!D44</f>
        <v>UN</v>
      </c>
      <c r="D46" s="326">
        <f>+PPTO!E44</f>
        <v>16</v>
      </c>
      <c r="E46" s="502">
        <f>+PPTO!F44</f>
        <v>122826.66368249562</v>
      </c>
      <c r="F46" s="502">
        <f>+PPTO!G44</f>
        <v>1965226.61891993</v>
      </c>
      <c r="G46" s="326"/>
      <c r="H46" s="326"/>
      <c r="I46" s="326"/>
      <c r="J46" s="380">
        <f t="shared" ref="J46:J61" si="2">+F46/2</f>
        <v>982613.30945996498</v>
      </c>
      <c r="K46" s="382">
        <f t="shared" ref="K46:K61" si="3">+F46/2</f>
        <v>982613.30945996498</v>
      </c>
      <c r="L46" s="326"/>
      <c r="M46" s="326"/>
      <c r="N46" s="326"/>
      <c r="O46" s="326"/>
      <c r="P46" s="326"/>
    </row>
    <row r="47" spans="1:16" ht="51" x14ac:dyDescent="0.3">
      <c r="A47" s="384">
        <f>+PPTO!B45</f>
        <v>6.3</v>
      </c>
      <c r="B47" s="326" t="str">
        <f>+PPTO!C45</f>
        <v>Suministro, transporte e instalación de salida para toma doble  especial p/t, en  PVC 1/2", caja y accesorios, alambre de cobre THHN-AWG- LS #12,  según cuadro de cargas y notas en planos. Toma para equipos especiales</v>
      </c>
      <c r="C47" s="326" t="str">
        <f>+PPTO!D45</f>
        <v>UN</v>
      </c>
      <c r="D47" s="326">
        <f>+PPTO!E45</f>
        <v>21</v>
      </c>
      <c r="E47" s="502">
        <f>+PPTO!F45</f>
        <v>100826.66368249562</v>
      </c>
      <c r="F47" s="502">
        <f>+PPTO!G45</f>
        <v>2117359.937332408</v>
      </c>
      <c r="G47" s="326"/>
      <c r="H47" s="326"/>
      <c r="I47" s="326"/>
      <c r="J47" s="380">
        <f t="shared" si="2"/>
        <v>1058679.968666204</v>
      </c>
      <c r="K47" s="382">
        <f t="shared" si="3"/>
        <v>1058679.968666204</v>
      </c>
      <c r="L47" s="326"/>
      <c r="M47" s="326"/>
      <c r="N47" s="326"/>
      <c r="O47" s="326"/>
      <c r="P47" s="326"/>
    </row>
    <row r="48" spans="1:16" ht="51" x14ac:dyDescent="0.3">
      <c r="A48" s="384">
        <f>+PPTO!B46</f>
        <v>6.4</v>
      </c>
      <c r="B48" s="326" t="str">
        <f>+PPTO!C46</f>
        <v>Suministro, transporte e instalación de salida eléctrica para toma 3x30A p/t. en  PVC 3/4", caja y accesorios, alambre de cobre THHN-AWG #10+12,  según cuadro de cargas y notas en planos. Toma levinton.</v>
      </c>
      <c r="C48" s="326" t="str">
        <f>+PPTO!D46</f>
        <v>UN</v>
      </c>
      <c r="D48" s="326">
        <f>+PPTO!E46</f>
        <v>9</v>
      </c>
      <c r="E48" s="502">
        <f>+PPTO!F46</f>
        <v>115051.66368249562</v>
      </c>
      <c r="F48" s="502">
        <f>+PPTO!G46</f>
        <v>1035464.9731424606</v>
      </c>
      <c r="G48" s="326"/>
      <c r="H48" s="326"/>
      <c r="I48" s="326"/>
      <c r="J48" s="380">
        <f t="shared" si="2"/>
        <v>517732.48657123029</v>
      </c>
      <c r="K48" s="382">
        <f t="shared" si="3"/>
        <v>517732.48657123029</v>
      </c>
      <c r="L48" s="326"/>
      <c r="M48" s="326"/>
      <c r="N48" s="326"/>
      <c r="O48" s="502"/>
      <c r="P48" s="502"/>
    </row>
    <row r="49" spans="1:16" ht="51" x14ac:dyDescent="0.3">
      <c r="A49" s="384">
        <f>+PPTO!B47</f>
        <v>6.5</v>
      </c>
      <c r="B49" s="326" t="str">
        <f>+PPTO!C47</f>
        <v xml:space="preserve">Suministro, transporte e instalación de salida para luminaria panel tipo LED de 24,2W, de cielo, con tubería EMT 1/2", según planos, alambre de cobre THHN-AWG #12 y todos los elementos para el correcto funcionamiento. </v>
      </c>
      <c r="C49" s="326" t="str">
        <f>+PPTO!D47</f>
        <v>UN</v>
      </c>
      <c r="D49" s="326">
        <f>+PPTO!E47</f>
        <v>41</v>
      </c>
      <c r="E49" s="502">
        <f>+PPTO!F47</f>
        <v>168778.78716582895</v>
      </c>
      <c r="F49" s="502">
        <f>+PPTO!G47</f>
        <v>6919930.2737989873</v>
      </c>
      <c r="G49" s="326"/>
      <c r="H49" s="326"/>
      <c r="I49" s="326"/>
      <c r="J49" s="380">
        <f t="shared" si="2"/>
        <v>3459965.1368994936</v>
      </c>
      <c r="K49" s="382">
        <f t="shared" si="3"/>
        <v>3459965.1368994936</v>
      </c>
      <c r="L49" s="326"/>
      <c r="M49" s="326"/>
      <c r="N49" s="326"/>
      <c r="O49" s="326"/>
      <c r="P49" s="326"/>
    </row>
    <row r="50" spans="1:16" ht="76.5" x14ac:dyDescent="0.3">
      <c r="A50" s="384">
        <f>+PPTO!B48</f>
        <v>6.6</v>
      </c>
      <c r="B50" s="326" t="str">
        <f>+PPTO!C48</f>
        <v xml:space="preserve">Suministro, transporte e instalación de salida para luminaria OJO BUEY TIPO INTERIOR (Panel led redondo 120V 12W), incrustada en losa, pared o mampostería.  Incluye  tubería PVC 1/2", según planos, accesorios, alambre de cobre THHN-AWG-LS #12, y todos los elementos para el correcto funcionamiento. </v>
      </c>
      <c r="C50" s="326" t="str">
        <f>+PPTO!D48</f>
        <v>UN</v>
      </c>
      <c r="D50" s="326">
        <f>+PPTO!E48</f>
        <v>23</v>
      </c>
      <c r="E50" s="502">
        <f>+PPTO!F48</f>
        <v>91268.663682495622</v>
      </c>
      <c r="F50" s="502">
        <f>+PPTO!G48</f>
        <v>2099179.2646973995</v>
      </c>
      <c r="G50" s="326"/>
      <c r="H50" s="326"/>
      <c r="I50" s="326"/>
      <c r="J50" s="380">
        <f t="shared" si="2"/>
        <v>1049589.6323486997</v>
      </c>
      <c r="K50" s="382">
        <f t="shared" si="3"/>
        <v>1049589.6323486997</v>
      </c>
      <c r="L50" s="326"/>
      <c r="M50" s="326"/>
      <c r="N50" s="326"/>
      <c r="O50" s="326"/>
      <c r="P50" s="326"/>
    </row>
    <row r="51" spans="1:16" ht="76.5" x14ac:dyDescent="0.3">
      <c r="A51" s="384">
        <f>+PPTO!B49</f>
        <v>6.7</v>
      </c>
      <c r="B51" s="326" t="str">
        <f>+PPTO!C49</f>
        <v xml:space="preserve">Suministro, transporte e instalación de salida para luminaria OJO BUEY TIPO INTERIOR Panel led redondo 120V 16W), incrustada en losa, pared o mampostería.  Incluye  tubería PVC 1/2", según planos, accesorios, alambre de cobre THHN-AWG-LS #12, y todos los elementos para el correcto funcionamiento. </v>
      </c>
      <c r="C51" s="326" t="str">
        <f>+PPTO!D49</f>
        <v>UN</v>
      </c>
      <c r="D51" s="326">
        <f>+PPTO!E49</f>
        <v>29</v>
      </c>
      <c r="E51" s="502">
        <f>+PPTO!F49</f>
        <v>96268.663682495622</v>
      </c>
      <c r="F51" s="502">
        <f>+PPTO!G49</f>
        <v>2791791.2467923732</v>
      </c>
      <c r="G51" s="326"/>
      <c r="H51" s="326"/>
      <c r="I51" s="326"/>
      <c r="J51" s="380">
        <f t="shared" si="2"/>
        <v>1395895.6233961866</v>
      </c>
      <c r="K51" s="382">
        <f t="shared" si="3"/>
        <v>1395895.6233961866</v>
      </c>
      <c r="L51" s="326"/>
      <c r="M51" s="326"/>
      <c r="N51" s="326"/>
      <c r="O51" s="326"/>
      <c r="P51" s="326"/>
    </row>
    <row r="52" spans="1:16" ht="38.25" x14ac:dyDescent="0.3">
      <c r="A52" s="384">
        <f>+PPTO!B50</f>
        <v>6.8</v>
      </c>
      <c r="B52" s="326" t="str">
        <f>+PPTO!C50</f>
        <v>Suministro, transporte e instalación de Tubería PVC de 1" para alimentación de circuitos, incluye  elementos para el correcto funcionamiento.</v>
      </c>
      <c r="C52" s="326" t="str">
        <f>+PPTO!D50</f>
        <v>ML</v>
      </c>
      <c r="D52" s="326">
        <f>+PPTO!E50</f>
        <v>187.53</v>
      </c>
      <c r="E52" s="502">
        <f>+PPTO!F50</f>
        <v>52467.249552374342</v>
      </c>
      <c r="F52" s="502">
        <f>+PPTO!G50</f>
        <v>9839183.3085567597</v>
      </c>
      <c r="G52" s="326"/>
      <c r="H52" s="326"/>
      <c r="I52" s="326"/>
      <c r="J52" s="380">
        <f t="shared" si="2"/>
        <v>4919591.6542783799</v>
      </c>
      <c r="K52" s="382">
        <f t="shared" si="3"/>
        <v>4919591.6542783799</v>
      </c>
      <c r="L52" s="326"/>
      <c r="M52" s="326"/>
      <c r="N52" s="326"/>
      <c r="O52" s="326"/>
      <c r="P52" s="326"/>
    </row>
    <row r="53" spans="1:16" ht="63.75" x14ac:dyDescent="0.3">
      <c r="A53" s="384">
        <f>+PPTO!B51</f>
        <v>6.9</v>
      </c>
      <c r="B53" s="326" t="str">
        <f>+PPTO!C51</f>
        <v>Suministro, transporte e instalación de tablero de distribución especial, tablero de distribución final y tabler de distribución final regulado, con espacio para totalizador y breackers. Incluye marcación elementos para el correcto funcionamiento.</v>
      </c>
      <c r="C53" s="326" t="str">
        <f>+PPTO!D51</f>
        <v>UN</v>
      </c>
      <c r="D53" s="326">
        <f>+PPTO!E51</f>
        <v>1</v>
      </c>
      <c r="E53" s="502">
        <f>+PPTO!F51</f>
        <v>1216174.1181118255</v>
      </c>
      <c r="F53" s="502">
        <f>+PPTO!G51</f>
        <v>1216174.1181118255</v>
      </c>
      <c r="G53" s="326"/>
      <c r="H53" s="326"/>
      <c r="I53" s="326"/>
      <c r="J53" s="380">
        <f t="shared" si="2"/>
        <v>608087.05905591277</v>
      </c>
      <c r="K53" s="382">
        <f t="shared" si="3"/>
        <v>608087.05905591277</v>
      </c>
      <c r="L53" s="326"/>
      <c r="M53" s="326"/>
      <c r="N53" s="326"/>
      <c r="O53" s="505"/>
      <c r="P53" s="505"/>
    </row>
    <row r="54" spans="1:16" ht="127.5" x14ac:dyDescent="0.3">
      <c r="A54" s="384">
        <f>+PPTO!B52</f>
        <v>6.1</v>
      </c>
      <c r="B54" s="326" t="str">
        <f>+PPTO!C52</f>
        <v xml:space="preserve">Suministro, transporte e instalación de materiales para salida interruptor sencillo (switche) eléctrico  mono polar de alumbrado 15 A. TIPO LEV referencia 1451, 10A, 125 V, según certificación RETIE y pruebas de conformidad UL. Incluye el interruptor, tapa, tubo emt, cajas 4"x4" met. Galv. Con tapa suplemento, adaptadores, curvas, pega pvc, conductores 12 AWG-CU-THHN/THWN-90ºC, conectores de conexión y empalme, tornillos, obra civil y demás elementos y accesorios para su correcta instalación y funcionamiento. </v>
      </c>
      <c r="C54" s="326" t="str">
        <f>+PPTO!D52</f>
        <v>UN</v>
      </c>
      <c r="D54" s="326">
        <f>+PPTO!E52</f>
        <v>8</v>
      </c>
      <c r="E54" s="502">
        <f>+PPTO!F52</f>
        <v>38658.831841247811</v>
      </c>
      <c r="F54" s="502">
        <f>+PPTO!G52</f>
        <v>309270.65472998249</v>
      </c>
      <c r="G54" s="326"/>
      <c r="H54" s="326"/>
      <c r="I54" s="326"/>
      <c r="J54" s="380">
        <f t="shared" si="2"/>
        <v>154635.32736499124</v>
      </c>
      <c r="K54" s="382">
        <f t="shared" si="3"/>
        <v>154635.32736499124</v>
      </c>
      <c r="L54" s="326"/>
      <c r="M54" s="326"/>
      <c r="N54" s="326"/>
      <c r="O54" s="505"/>
      <c r="P54" s="505"/>
    </row>
    <row r="55" spans="1:16" ht="127.5" x14ac:dyDescent="0.3">
      <c r="A55" s="384">
        <f>+PPTO!B53</f>
        <v>6.11</v>
      </c>
      <c r="B55" s="326" t="str">
        <f>+PPTO!C53</f>
        <v xml:space="preserve">Suministro, transporte e instalación de materiales para salida interruptor doble (switche) eléctrico  mono polar de alumbrado 15 A. TIPO LEV referencia 1451, 10A, 125 V, según certificación RETIE y pruebas de conformidad UL. Incluye el interruptor, tapa, tubo pvc, cajas 4"x4" met. Galv. Con tapa suplemento, adaptadores, curvas, pega pvc, conductores 12 AWG-CU-THHN/THWN-90ºC, conectores de conexión y empalme, tornillos, obra civil y demás elementos y accesorios para su correcta instalación y funcionamiento. </v>
      </c>
      <c r="C55" s="326" t="str">
        <f>+PPTO!D53</f>
        <v>UN</v>
      </c>
      <c r="D55" s="326">
        <f>+PPTO!E53</f>
        <v>2</v>
      </c>
      <c r="E55" s="502">
        <f>+PPTO!F53</f>
        <v>49664.831841247811</v>
      </c>
      <c r="F55" s="502">
        <f>+PPTO!G53</f>
        <v>99329.663682495622</v>
      </c>
      <c r="G55" s="326"/>
      <c r="H55" s="326"/>
      <c r="I55" s="326"/>
      <c r="J55" s="380">
        <f t="shared" si="2"/>
        <v>49664.831841247811</v>
      </c>
      <c r="K55" s="382">
        <f t="shared" si="3"/>
        <v>49664.831841247811</v>
      </c>
      <c r="L55" s="326"/>
      <c r="M55" s="326"/>
      <c r="N55" s="326"/>
      <c r="O55" s="505"/>
      <c r="P55" s="505"/>
    </row>
    <row r="56" spans="1:16" ht="127.5" x14ac:dyDescent="0.3">
      <c r="A56" s="384">
        <f>+PPTO!B54</f>
        <v>6.12</v>
      </c>
      <c r="B56" s="326" t="str">
        <f>+PPTO!C54</f>
        <v xml:space="preserve">Suministro, transporte e instalación de materiales para salida interruptor triple (switche) eléctrico  mono polar de alumbrado 15 A. TIPO LEV referencia 1451, 10A, 125 V, según certificación RETIE y pruebas de conformidad UL. Incluye el interruptor, tapa, tubo pvc, cajas 4"x4" met. Galv. Con tapa suplemento, adaptadores, curvas, pega pvc, conductores 12 AWG-CU-THHN/THWN-90ºC, conectores de conexión y empalme, tornillos, obra civil y demás elementos y accesorios para su correcta instalación y funcionamiento. </v>
      </c>
      <c r="C56" s="326" t="str">
        <f>+PPTO!D54</f>
        <v>UN</v>
      </c>
      <c r="D56" s="326">
        <f>+PPTO!E54</f>
        <v>8</v>
      </c>
      <c r="E56" s="502">
        <f>+PPTO!F54</f>
        <v>53498.831841247811</v>
      </c>
      <c r="F56" s="502">
        <f>+PPTO!G54</f>
        <v>427990.65472998249</v>
      </c>
      <c r="G56" s="326"/>
      <c r="H56" s="326"/>
      <c r="I56" s="326"/>
      <c r="J56" s="380">
        <f t="shared" si="2"/>
        <v>213995.32736499124</v>
      </c>
      <c r="K56" s="382">
        <f t="shared" si="3"/>
        <v>213995.32736499124</v>
      </c>
      <c r="L56" s="326"/>
      <c r="M56" s="326"/>
      <c r="N56" s="326"/>
      <c r="O56" s="505"/>
      <c r="P56" s="505"/>
    </row>
    <row r="57" spans="1:16" ht="51" x14ac:dyDescent="0.3">
      <c r="A57" s="384">
        <f>+PPTO!B55</f>
        <v>6.13</v>
      </c>
      <c r="B57" s="326" t="str">
        <f>+PPTO!C55</f>
        <v>Suministro, transporte e instalación de acometida monofásica en cables, incluye excavación, conectores, encintada y demás accesorios para su correcta instalación y funcionamiento según RETIE.</v>
      </c>
      <c r="C57" s="326" t="str">
        <f>+PPTO!D55</f>
        <v>ML</v>
      </c>
      <c r="D57" s="326">
        <f>+PPTO!E55</f>
        <v>25</v>
      </c>
      <c r="E57" s="502">
        <f>+PPTO!F55</f>
        <v>65545.118111825461</v>
      </c>
      <c r="F57" s="502">
        <f>+PPTO!G55</f>
        <v>1638627.9527956366</v>
      </c>
      <c r="G57" s="326"/>
      <c r="H57" s="326"/>
      <c r="I57" s="326"/>
      <c r="J57" s="380">
        <f t="shared" si="2"/>
        <v>819313.9763978183</v>
      </c>
      <c r="K57" s="382">
        <f t="shared" si="3"/>
        <v>819313.9763978183</v>
      </c>
      <c r="L57" s="326"/>
      <c r="M57" s="326"/>
      <c r="N57" s="326"/>
      <c r="O57" s="505"/>
      <c r="P57" s="505"/>
    </row>
    <row r="58" spans="1:16" ht="38.25" x14ac:dyDescent="0.3">
      <c r="A58" s="384">
        <f>+PPTO!B56</f>
        <v>6.14</v>
      </c>
      <c r="B58" s="326" t="str">
        <f>+PPTO!C56</f>
        <v>Suministro, transporte e instalación PUESTA A TIERRA Y APANTALLAMIENTO.  5/8'' x 2.4m incluye elementos para el correcto funcionamiento.</v>
      </c>
      <c r="C58" s="326" t="str">
        <f>+PPTO!D56</f>
        <v>GL</v>
      </c>
      <c r="D58" s="326">
        <f>+PPTO!E56</f>
        <v>1</v>
      </c>
      <c r="E58" s="502">
        <f>+PPTO!F56</f>
        <v>3687678.9448946035</v>
      </c>
      <c r="F58" s="502">
        <f>+PPTO!G56</f>
        <v>3687678.9448946035</v>
      </c>
      <c r="G58" s="326"/>
      <c r="H58" s="326"/>
      <c r="I58" s="326"/>
      <c r="J58" s="380">
        <f t="shared" si="2"/>
        <v>1843839.4724473017</v>
      </c>
      <c r="K58" s="382">
        <f t="shared" si="3"/>
        <v>1843839.4724473017</v>
      </c>
      <c r="L58" s="326"/>
      <c r="M58" s="326"/>
      <c r="N58" s="326"/>
      <c r="O58" s="326"/>
      <c r="P58" s="326"/>
    </row>
    <row r="59" spans="1:16" ht="51" x14ac:dyDescent="0.3">
      <c r="A59" s="384">
        <f>+PPTO!B57</f>
        <v>6.15</v>
      </c>
      <c r="B59" s="326" t="str">
        <f>+PPTO!C57</f>
        <v xml:space="preserve">Suministro, transporte e instalación de salida para luminaria de emergencia. Incluye tubería EMT 1/2", según planos, alambre de cobre THHN-AWG #12 y todos los elementos para el correcto funcionamiento. </v>
      </c>
      <c r="C59" s="326" t="str">
        <f>+PPTO!D57</f>
        <v>UN</v>
      </c>
      <c r="D59" s="326">
        <f>+PPTO!E57</f>
        <v>32</v>
      </c>
      <c r="E59" s="502">
        <f>+PPTO!F57</f>
        <v>196368.66368249562</v>
      </c>
      <c r="F59" s="502">
        <f>+PPTO!G57</f>
        <v>6283797.2378398599</v>
      </c>
      <c r="G59" s="326"/>
      <c r="H59" s="326"/>
      <c r="I59" s="326"/>
      <c r="J59" s="380">
        <f t="shared" si="2"/>
        <v>3141898.61891993</v>
      </c>
      <c r="K59" s="382">
        <f t="shared" si="3"/>
        <v>3141898.61891993</v>
      </c>
      <c r="L59" s="326"/>
      <c r="M59" s="326"/>
      <c r="N59" s="326"/>
      <c r="O59" s="326"/>
      <c r="P59" s="326"/>
    </row>
    <row r="60" spans="1:16" ht="25.5" x14ac:dyDescent="0.3">
      <c r="A60" s="384">
        <f>+PPTO!B58</f>
        <v>6.16</v>
      </c>
      <c r="B60" s="326" t="str">
        <f>+PPTO!C58</f>
        <v>Suministro, transporte e instalación de Rack de telecomunicaciones</v>
      </c>
      <c r="C60" s="326" t="str">
        <f>+PPTO!D58</f>
        <v>UN</v>
      </c>
      <c r="D60" s="326">
        <f>+PPTO!E58</f>
        <v>1</v>
      </c>
      <c r="E60" s="502">
        <f>+PPTO!F58</f>
        <v>1788026.2973266316</v>
      </c>
      <c r="F60" s="502">
        <f>+PPTO!G58</f>
        <v>1788026.2973266316</v>
      </c>
      <c r="G60" s="326"/>
      <c r="H60" s="326"/>
      <c r="I60" s="326"/>
      <c r="J60" s="380">
        <f t="shared" si="2"/>
        <v>894013.14866331581</v>
      </c>
      <c r="K60" s="382">
        <f t="shared" si="3"/>
        <v>894013.14866331581</v>
      </c>
      <c r="L60" s="326"/>
      <c r="M60" s="326"/>
      <c r="N60" s="326"/>
      <c r="O60" s="326"/>
      <c r="P60" s="326"/>
    </row>
    <row r="61" spans="1:16" ht="25.5" x14ac:dyDescent="0.3">
      <c r="A61" s="384">
        <f>+PPTO!B59</f>
        <v>6.17</v>
      </c>
      <c r="B61" s="326" t="str">
        <f>+PPTO!C59</f>
        <v>Suministro, transporte e instalación de puntos de conexión ethernet</v>
      </c>
      <c r="C61" s="326" t="str">
        <f>+PPTO!D59</f>
        <v>UN</v>
      </c>
      <c r="D61" s="326">
        <f>+PPTO!E59</f>
        <v>23</v>
      </c>
      <c r="E61" s="502">
        <f>+PPTO!F59</f>
        <v>153899.78716582895</v>
      </c>
      <c r="F61" s="502">
        <f>+PPTO!G59</f>
        <v>3539695.1048140661</v>
      </c>
      <c r="G61" s="326"/>
      <c r="H61" s="326"/>
      <c r="I61" s="326"/>
      <c r="J61" s="380">
        <f t="shared" si="2"/>
        <v>1769847.552407033</v>
      </c>
      <c r="K61" s="382">
        <f t="shared" si="3"/>
        <v>1769847.552407033</v>
      </c>
      <c r="L61" s="326"/>
      <c r="M61" s="326"/>
      <c r="N61" s="326"/>
      <c r="O61" s="326"/>
      <c r="P61" s="326"/>
    </row>
    <row r="62" spans="1:16" s="508" customFormat="1" x14ac:dyDescent="0.3">
      <c r="A62" s="507">
        <f>+PPTO!B60</f>
        <v>7</v>
      </c>
      <c r="B62" s="507" t="str">
        <f>+PPTO!C60</f>
        <v>INSTALACIONES SANITARIAS</v>
      </c>
      <c r="C62" s="507">
        <f>+PPTO!D60</f>
        <v>0</v>
      </c>
      <c r="D62" s="507" t="str">
        <f>+PPTO!E60</f>
        <v/>
      </c>
      <c r="E62" s="509">
        <f>+PPTO!F60</f>
        <v>0</v>
      </c>
      <c r="F62" s="509">
        <f>+PPTO!G60</f>
        <v>0</v>
      </c>
      <c r="G62" s="507"/>
      <c r="H62" s="507"/>
      <c r="I62" s="507"/>
      <c r="J62" s="507"/>
      <c r="K62" s="507"/>
      <c r="L62" s="507"/>
      <c r="M62" s="507"/>
      <c r="N62" s="510">
        <f t="shared" ref="N62" si="4">+F62</f>
        <v>0</v>
      </c>
      <c r="O62" s="507"/>
      <c r="P62" s="507"/>
    </row>
    <row r="63" spans="1:16" ht="51" x14ac:dyDescent="0.3">
      <c r="A63" s="384">
        <f>+PPTO!B61</f>
        <v>7.1</v>
      </c>
      <c r="B63" s="326" t="str">
        <f>+PPTO!C61</f>
        <v>SUMINISTRO, TRANSPORTE  E INSTALACION DE  Salidas abastos 1/2"  PVC presión, incluye 1m de tubería contempladas por salidas, accesorios y toda actividad adicional para su correcta instalación.</v>
      </c>
      <c r="C63" s="326" t="str">
        <f>+PPTO!D61</f>
        <v>UN</v>
      </c>
      <c r="D63" s="326">
        <f>+PPTO!E61</f>
        <v>36</v>
      </c>
      <c r="E63" s="502">
        <f>+PPTO!F61</f>
        <v>57880.393582914476</v>
      </c>
      <c r="F63" s="502">
        <f>+PPTO!G61</f>
        <v>2083694.1689849212</v>
      </c>
      <c r="G63" s="326"/>
      <c r="H63" s="326"/>
      <c r="I63" s="326"/>
      <c r="J63" s="380">
        <f>+F63/3</f>
        <v>694564.72299497377</v>
      </c>
      <c r="K63" s="380">
        <f>+F63/3</f>
        <v>694564.72299497377</v>
      </c>
      <c r="L63" s="380">
        <f>+F63/3</f>
        <v>694564.72299497377</v>
      </c>
      <c r="M63" s="326"/>
      <c r="N63" s="505"/>
      <c r="O63" s="326"/>
      <c r="P63" s="326"/>
    </row>
    <row r="64" spans="1:16" ht="76.5" x14ac:dyDescent="0.3">
      <c r="A64" s="384">
        <f>+PPTO!B62</f>
        <v>7.2</v>
      </c>
      <c r="B64" s="326" t="str">
        <f>+PPTO!C62</f>
        <v>SUMINISTRO, TRANSPORTE  E INSTALACION DE  Salidas sanitarias de 2" incluye: Accesorios, acoples y todo lo relacionado para su instalación de (lavadero, sanitario, lavamanos, ducha, etc.) incluye 2m de tubería contempladas por punto  y toda actividad adicional para su correcta instalación.</v>
      </c>
      <c r="C64" s="326" t="str">
        <f>+PPTO!D62</f>
        <v>UN</v>
      </c>
      <c r="D64" s="326">
        <f>+PPTO!E62</f>
        <v>36</v>
      </c>
      <c r="E64" s="502">
        <f>+PPTO!F62</f>
        <v>146505.39358291449</v>
      </c>
      <c r="F64" s="502">
        <f>+PPTO!G62</f>
        <v>5274194.1689849216</v>
      </c>
      <c r="G64" s="326"/>
      <c r="H64" s="326"/>
      <c r="I64" s="326"/>
      <c r="J64" s="380">
        <f t="shared" ref="J64:J72" si="5">+F64/3</f>
        <v>1758064.7229949739</v>
      </c>
      <c r="K64" s="380">
        <f t="shared" ref="K64:K72" si="6">+F64/3</f>
        <v>1758064.7229949739</v>
      </c>
      <c r="L64" s="380">
        <f t="shared" ref="L64:L72" si="7">+F64/3</f>
        <v>1758064.7229949739</v>
      </c>
      <c r="M64" s="326"/>
      <c r="N64" s="505"/>
      <c r="O64" s="326"/>
      <c r="P64" s="326"/>
    </row>
    <row r="65" spans="1:16" ht="63.75" x14ac:dyDescent="0.3">
      <c r="A65" s="384">
        <f>+PPTO!B63</f>
        <v>7.3</v>
      </c>
      <c r="B65" s="326" t="str">
        <f>+PPTO!C63</f>
        <v>SUMINISTRO, TRANSPORTE  E INSTALACION de tubería para Bajante sanitario en tubería de 3" PVC. Bajante de ventilación incluye: (tubería por m, amarres, accesorios de empalme, equipos de alturas y todo lo relacionado para su instalación, altura elemento 1,5m.máx)</v>
      </c>
      <c r="C65" s="326" t="str">
        <f>+PPTO!D63</f>
        <v>UND</v>
      </c>
      <c r="D65" s="326">
        <f>+PPTO!E63</f>
        <v>10</v>
      </c>
      <c r="E65" s="502">
        <f>+PPTO!F63</f>
        <v>136281.47229949737</v>
      </c>
      <c r="F65" s="502">
        <f>+PPTO!G63</f>
        <v>1362814.7229949737</v>
      </c>
      <c r="G65" s="326"/>
      <c r="H65" s="326"/>
      <c r="I65" s="326"/>
      <c r="J65" s="380">
        <f t="shared" si="5"/>
        <v>454271.5743316579</v>
      </c>
      <c r="K65" s="380">
        <f t="shared" si="6"/>
        <v>454271.5743316579</v>
      </c>
      <c r="L65" s="380">
        <f t="shared" si="7"/>
        <v>454271.5743316579</v>
      </c>
      <c r="M65" s="326"/>
      <c r="N65" s="505"/>
      <c r="O65" s="326"/>
      <c r="P65" s="326"/>
    </row>
    <row r="66" spans="1:16" ht="51" x14ac:dyDescent="0.3">
      <c r="A66" s="384">
        <f>+PPTO!B64</f>
        <v>7.4</v>
      </c>
      <c r="B66" s="326" t="str">
        <f>+PPTO!C64</f>
        <v>SUMINISTRO, TRANSPORTE  E INSTALACION de Tubería ALL D=4" en desagües primer piso incluye: excavación primer por metro lineal con pendiente, tubería, y accesorios.)</v>
      </c>
      <c r="C66" s="326" t="str">
        <f>+PPTO!D64</f>
        <v>ML</v>
      </c>
      <c r="D66" s="326">
        <f>+PPTO!E64</f>
        <v>121.84</v>
      </c>
      <c r="E66" s="502">
        <f>+PPTO!F64</f>
        <v>54390.288061080275</v>
      </c>
      <c r="F66" s="502">
        <f>+PPTO!G64</f>
        <v>6626912.6973620206</v>
      </c>
      <c r="G66" s="326"/>
      <c r="H66" s="326"/>
      <c r="I66" s="326"/>
      <c r="J66" s="380">
        <f t="shared" si="5"/>
        <v>2208970.8991206735</v>
      </c>
      <c r="K66" s="380">
        <f t="shared" si="6"/>
        <v>2208970.8991206735</v>
      </c>
      <c r="L66" s="380">
        <f t="shared" si="7"/>
        <v>2208970.8991206735</v>
      </c>
      <c r="M66" s="326"/>
      <c r="N66" s="505"/>
      <c r="O66" s="326"/>
      <c r="P66" s="326"/>
    </row>
    <row r="67" spans="1:16" ht="38.25" x14ac:dyDescent="0.3">
      <c r="A67" s="384">
        <f>+PPTO!B65</f>
        <v>7.5</v>
      </c>
      <c r="B67" s="326" t="str">
        <f>+PPTO!C65</f>
        <v>SUMINISTRO, TRANSPORTE  E INSTALACION de Tubería ALL D=6" en desagües primer piso incluye: excavación por metro lineal con pendiente, tubería, y accesorios.)</v>
      </c>
      <c r="C67" s="326" t="str">
        <f>+PPTO!D65</f>
        <v>ML</v>
      </c>
      <c r="D67" s="326">
        <f>+PPTO!E65</f>
        <v>43.26</v>
      </c>
      <c r="E67" s="502">
        <f>+PPTO!F65</f>
        <v>95340.288061080268</v>
      </c>
      <c r="F67" s="502">
        <f>+PPTO!G65</f>
        <v>4124420.8615223323</v>
      </c>
      <c r="G67" s="326"/>
      <c r="H67" s="326"/>
      <c r="I67" s="326"/>
      <c r="J67" s="380">
        <f t="shared" si="5"/>
        <v>1374806.9538407775</v>
      </c>
      <c r="K67" s="380">
        <f t="shared" si="6"/>
        <v>1374806.9538407775</v>
      </c>
      <c r="L67" s="380">
        <f t="shared" si="7"/>
        <v>1374806.9538407775</v>
      </c>
      <c r="M67" s="326"/>
      <c r="N67" s="505"/>
      <c r="O67" s="326"/>
      <c r="P67" s="326"/>
    </row>
    <row r="68" spans="1:16" ht="38.25" x14ac:dyDescent="0.3">
      <c r="A68" s="384">
        <f>+PPTO!B66</f>
        <v>7.6</v>
      </c>
      <c r="B68" s="326" t="str">
        <f>+PPTO!C66</f>
        <v>SUMINISTRO, TRANSPORTE  E INSTALACION de Tubería PVC 4" en desagües primer piso incluye: excavación por metro lineal con pendiente, tubería, y accesorios.)</v>
      </c>
      <c r="C68" s="326" t="str">
        <f>+PPTO!D66</f>
        <v>ML</v>
      </c>
      <c r="D68" s="326">
        <f>+PPTO!E66</f>
        <v>95.83</v>
      </c>
      <c r="E68" s="502">
        <f>+PPTO!F66</f>
        <v>54390.288061080275</v>
      </c>
      <c r="F68" s="502">
        <f>+PPTO!G66</f>
        <v>5212221.3048933223</v>
      </c>
      <c r="G68" s="326"/>
      <c r="H68" s="326"/>
      <c r="I68" s="326"/>
      <c r="J68" s="380">
        <f t="shared" si="5"/>
        <v>1737407.1016311075</v>
      </c>
      <c r="K68" s="380">
        <f t="shared" si="6"/>
        <v>1737407.1016311075</v>
      </c>
      <c r="L68" s="380">
        <f t="shared" si="7"/>
        <v>1737407.1016311075</v>
      </c>
      <c r="M68" s="326"/>
      <c r="N68" s="505"/>
      <c r="O68" s="326"/>
      <c r="P68" s="326"/>
    </row>
    <row r="69" spans="1:16" ht="51" x14ac:dyDescent="0.3">
      <c r="A69" s="384">
        <f>+PPTO!B67</f>
        <v>7.7</v>
      </c>
      <c r="B69" s="326" t="str">
        <f>+PPTO!C67</f>
        <v xml:space="preserve"> SUMINISTRO, TRANSPORTE  E INSTALACION de Canastilla para lavaplatos con rejilla extraíble, set de tubería y empaques incluidos para evitar fugas, dos mangueras de alimentación con acoples para el agua</v>
      </c>
      <c r="C69" s="326" t="str">
        <f>+PPTO!D67</f>
        <v>UN</v>
      </c>
      <c r="D69" s="326">
        <f>+PPTO!E67</f>
        <v>3</v>
      </c>
      <c r="E69" s="502">
        <f>+PPTO!F67</f>
        <v>1201476.2361497488</v>
      </c>
      <c r="F69" s="502">
        <f>+PPTO!G67</f>
        <v>3604428.7084492464</v>
      </c>
      <c r="G69" s="326"/>
      <c r="H69" s="326"/>
      <c r="I69" s="326"/>
      <c r="J69" s="380">
        <f t="shared" si="5"/>
        <v>1201476.2361497488</v>
      </c>
      <c r="K69" s="380">
        <f t="shared" si="6"/>
        <v>1201476.2361497488</v>
      </c>
      <c r="L69" s="380">
        <f t="shared" si="7"/>
        <v>1201476.2361497488</v>
      </c>
      <c r="M69" s="326"/>
      <c r="N69" s="505"/>
      <c r="O69" s="326"/>
      <c r="P69" s="326"/>
    </row>
    <row r="70" spans="1:16" ht="51" x14ac:dyDescent="0.3">
      <c r="A70" s="384">
        <f>+PPTO!B68</f>
        <v>7.8</v>
      </c>
      <c r="B70" s="326" t="str">
        <f>+PPTO!C68</f>
        <v>SUMINISTO, TRANSPORTE E INSTALACION DE CANOA EN LAMINA GALVANIZADA Cal .22 d/ 0.40 m. Suministro e instalación con 2 manos de anticorrosivo WASH PRIMER + esmalte + anclaje a muro + sikaflex 1A</v>
      </c>
      <c r="C70" s="326" t="str">
        <f>+PPTO!D68</f>
        <v>ml</v>
      </c>
      <c r="D70" s="326">
        <f>+PPTO!E68</f>
        <v>102.64</v>
      </c>
      <c r="E70" s="502">
        <f>+PPTO!F68</f>
        <v>109112.78716582895</v>
      </c>
      <c r="F70" s="502">
        <f>+PPTO!G68</f>
        <v>11199336.474700684</v>
      </c>
      <c r="G70" s="326"/>
      <c r="H70" s="326"/>
      <c r="I70" s="326"/>
      <c r="J70" s="380">
        <f t="shared" si="5"/>
        <v>3733112.1582335611</v>
      </c>
      <c r="K70" s="380">
        <f t="shared" si="6"/>
        <v>3733112.1582335611</v>
      </c>
      <c r="L70" s="380">
        <f t="shared" si="7"/>
        <v>3733112.1582335611</v>
      </c>
      <c r="M70" s="326"/>
      <c r="N70" s="505"/>
      <c r="O70" s="326"/>
      <c r="P70" s="326"/>
    </row>
    <row r="71" spans="1:16" ht="25.5" x14ac:dyDescent="0.3">
      <c r="A71" s="384">
        <f>+PPTO!B69</f>
        <v>7.9</v>
      </c>
      <c r="B71" s="326" t="str">
        <f>+PPTO!C69</f>
        <v>SUMINISTO, TRANSPORTE E INSTALACION de embudos en lamina galvanizada Cal .26</v>
      </c>
      <c r="C71" s="326" t="str">
        <f>+PPTO!D69</f>
        <v>UN</v>
      </c>
      <c r="D71" s="326">
        <f>+PPTO!E69</f>
        <v>12</v>
      </c>
      <c r="E71" s="502">
        <f>+PPTO!F69</f>
        <v>49781.415920623906</v>
      </c>
      <c r="F71" s="502">
        <f>+PPTO!G69</f>
        <v>597376.9910474869</v>
      </c>
      <c r="G71" s="326"/>
      <c r="H71" s="326"/>
      <c r="I71" s="326"/>
      <c r="J71" s="380">
        <f t="shared" si="5"/>
        <v>199125.66368249562</v>
      </c>
      <c r="K71" s="380">
        <f t="shared" si="6"/>
        <v>199125.66368249562</v>
      </c>
      <c r="L71" s="380">
        <f t="shared" si="7"/>
        <v>199125.66368249562</v>
      </c>
      <c r="M71" s="326"/>
      <c r="N71" s="505"/>
      <c r="O71" s="326"/>
      <c r="P71" s="326"/>
    </row>
    <row r="72" spans="1:16" ht="38.25" x14ac:dyDescent="0.3">
      <c r="A72" s="384">
        <f>+PPTO!B70</f>
        <v>7.1</v>
      </c>
      <c r="B72" s="326" t="str">
        <f>+PPTO!C70</f>
        <v>suministro y construcción de caja sanitaria de 80x80 cm vaciada en concreto de 21MPa,  incluye tapa reforzada y todo lo requerido para su construcción .</v>
      </c>
      <c r="C72" s="326" t="str">
        <f>+PPTO!D70</f>
        <v>UN</v>
      </c>
      <c r="D72" s="326">
        <f>+PPTO!E70</f>
        <v>6</v>
      </c>
      <c r="E72" s="502">
        <f>+PPTO!F70</f>
        <v>675761</v>
      </c>
      <c r="F72" s="502">
        <f>+PPTO!G70</f>
        <v>4054566</v>
      </c>
      <c r="G72" s="326"/>
      <c r="H72" s="326"/>
      <c r="I72" s="326"/>
      <c r="J72" s="380">
        <f t="shared" si="5"/>
        <v>1351522</v>
      </c>
      <c r="K72" s="380">
        <f t="shared" si="6"/>
        <v>1351522</v>
      </c>
      <c r="L72" s="380">
        <f t="shared" si="7"/>
        <v>1351522</v>
      </c>
      <c r="M72" s="326"/>
      <c r="N72" s="326"/>
      <c r="O72" s="326"/>
      <c r="P72" s="326"/>
    </row>
    <row r="73" spans="1:16" s="508" customFormat="1" x14ac:dyDescent="0.3">
      <c r="A73" s="507">
        <f>+PPTO!B71</f>
        <v>8</v>
      </c>
      <c r="B73" s="507" t="str">
        <f>+PPTO!C71</f>
        <v>CARPINTERIA METALICA Y DE MADERA</v>
      </c>
      <c r="C73" s="507">
        <f>+PPTO!D71</f>
        <v>0</v>
      </c>
      <c r="D73" s="507">
        <f>+PPTO!E71</f>
        <v>0</v>
      </c>
      <c r="E73" s="509">
        <f>+PPTO!F71</f>
        <v>0</v>
      </c>
      <c r="F73" s="509">
        <f>+PPTO!G71</f>
        <v>0</v>
      </c>
      <c r="G73" s="507"/>
      <c r="H73" s="507"/>
      <c r="I73" s="507"/>
      <c r="J73" s="507"/>
      <c r="K73" s="507"/>
      <c r="L73" s="507"/>
      <c r="M73" s="507"/>
      <c r="N73" s="507"/>
      <c r="O73" s="510"/>
      <c r="P73" s="510"/>
    </row>
    <row r="74" spans="1:16" ht="51" x14ac:dyDescent="0.3">
      <c r="A74" s="384">
        <f>+PPTO!B72</f>
        <v>8.1</v>
      </c>
      <c r="B74" s="326" t="str">
        <f>+PPTO!C72</f>
        <v>Suministro e instalación de ventanas en aluminio mate o negro, sistema fijo corredizo 50-20 y vidrio claro 6mm. Incluye alfajía, sello y todos sus accesorios para su correcta instalación y funcionamiento</v>
      </c>
      <c r="C74" s="326" t="str">
        <f>+PPTO!D72</f>
        <v xml:space="preserve"> M2</v>
      </c>
      <c r="D74" s="326">
        <f>+PPTO!E72</f>
        <v>50</v>
      </c>
      <c r="E74" s="502">
        <f>+PPTO!F72</f>
        <v>526186.14866331581</v>
      </c>
      <c r="F74" s="502">
        <f>+PPTO!G72</f>
        <v>26309307.433165789</v>
      </c>
      <c r="G74" s="326"/>
      <c r="H74" s="326"/>
      <c r="I74" s="326"/>
      <c r="J74" s="326"/>
      <c r="K74" s="326"/>
      <c r="L74" s="380">
        <f>+F74/2</f>
        <v>13154653.716582894</v>
      </c>
      <c r="M74" s="326"/>
      <c r="N74" s="382">
        <f>+F74/2</f>
        <v>13154653.716582894</v>
      </c>
      <c r="O74" s="505"/>
      <c r="P74" s="505"/>
    </row>
    <row r="75" spans="1:16" ht="51" x14ac:dyDescent="0.3">
      <c r="A75" s="384">
        <f>+PPTO!B73</f>
        <v>8.1999999999999993</v>
      </c>
      <c r="B75" s="326" t="str">
        <f>+PPTO!C73</f>
        <v xml:space="preserve">Suministro e instalación de Puerta metálica: ala incrustada en perfil metálico cerramiento en perfiles tipo Z y marco metálico. Incluye sello y todos sus accesorios para su correcta instalación y funcionamiento.Color negro mate                                                                                                           </v>
      </c>
      <c r="C75" s="326" t="str">
        <f>+PPTO!D73</f>
        <v xml:space="preserve"> M2</v>
      </c>
      <c r="D75" s="326">
        <f>+PPTO!E73</f>
        <v>39.159999999999997</v>
      </c>
      <c r="E75" s="502">
        <f>+PPTO!F73</f>
        <v>611167.14866331581</v>
      </c>
      <c r="F75" s="502">
        <f>+PPTO!G73</f>
        <v>23933305.541655444</v>
      </c>
      <c r="G75" s="326"/>
      <c r="H75" s="326"/>
      <c r="I75" s="326"/>
      <c r="J75" s="326"/>
      <c r="K75" s="326"/>
      <c r="L75" s="380">
        <f t="shared" ref="L75:L78" si="8">+F75/2</f>
        <v>11966652.770827722</v>
      </c>
      <c r="M75" s="326"/>
      <c r="N75" s="382">
        <f t="shared" ref="N75:N78" si="9">+F75/2</f>
        <v>11966652.770827722</v>
      </c>
      <c r="O75" s="326"/>
      <c r="P75" s="326"/>
    </row>
    <row r="76" spans="1:16" ht="51" x14ac:dyDescent="0.3">
      <c r="A76" s="384">
        <f>+PPTO!B74</f>
        <v>8.3000000000000007</v>
      </c>
      <c r="B76" s="326" t="str">
        <f>+PPTO!C74</f>
        <v xml:space="preserve">Suministro e instalación de ventanas con rejilla metálica: perfil metálico con rejillas tipo persiana Incluye sello y todos sus accesorios para su correcta instalación y funcionamiento. Color negro mate                                                                                                           </v>
      </c>
      <c r="C76" s="326" t="str">
        <f>+PPTO!D74</f>
        <v>UN</v>
      </c>
      <c r="D76" s="326">
        <f>+PPTO!E74</f>
        <v>1</v>
      </c>
      <c r="E76" s="502">
        <f>+PPTO!F74</f>
        <v>311167.14866331581</v>
      </c>
      <c r="F76" s="502">
        <f>+PPTO!G74</f>
        <v>311167.14866331581</v>
      </c>
      <c r="G76" s="326"/>
      <c r="H76" s="326"/>
      <c r="I76" s="326"/>
      <c r="J76" s="326"/>
      <c r="K76" s="326"/>
      <c r="L76" s="380">
        <f t="shared" si="8"/>
        <v>155583.5743316579</v>
      </c>
      <c r="M76" s="326"/>
      <c r="N76" s="382">
        <f t="shared" si="9"/>
        <v>155583.5743316579</v>
      </c>
      <c r="O76" s="505"/>
      <c r="P76" s="505"/>
    </row>
    <row r="77" spans="1:16" ht="51" x14ac:dyDescent="0.3">
      <c r="A77" s="384">
        <f>+PPTO!B75</f>
        <v>8.4</v>
      </c>
      <c r="B77" s="326" t="str">
        <f>+PPTO!C75</f>
        <v>Suministro e Instalación Divisiones de sanitarios en Acero Inox , Calibre 20 Satinado, con puertas y Tabiques en altura de 1600mm SAE 304 , Incluye Cerrojos , Percheros , Parales Altura de 1800mm.</v>
      </c>
      <c r="C77" s="326" t="str">
        <f>+PPTO!D75</f>
        <v>m2</v>
      </c>
      <c r="D77" s="326">
        <f>+PPTO!E75</f>
        <v>25.6</v>
      </c>
      <c r="E77" s="502">
        <f>+PPTO!F75</f>
        <v>527882.62973266316</v>
      </c>
      <c r="F77" s="502">
        <f>+PPTO!G75</f>
        <v>13513795.321156178</v>
      </c>
      <c r="G77" s="326"/>
      <c r="H77" s="326"/>
      <c r="I77" s="326"/>
      <c r="J77" s="326"/>
      <c r="K77" s="326"/>
      <c r="L77" s="380">
        <f t="shared" si="8"/>
        <v>6756897.6605780888</v>
      </c>
      <c r="M77" s="326"/>
      <c r="N77" s="382">
        <f t="shared" si="9"/>
        <v>6756897.6605780888</v>
      </c>
      <c r="O77" s="326"/>
      <c r="P77" s="326"/>
    </row>
    <row r="78" spans="1:16" ht="51" x14ac:dyDescent="0.3">
      <c r="A78" s="384">
        <f>+PPTO!B76</f>
        <v>8.5</v>
      </c>
      <c r="B78" s="326" t="str">
        <f>+PPTO!C76</f>
        <v>Suministro e Instalación Divisiones de orinales en Acero Inox , Calibre 20 Satinado, con puertas y Tabiques en altura de 1600mm SAE 304 , Incluye Cerrojos , Percheros , Parales Altura de 1800mm.</v>
      </c>
      <c r="C78" s="326" t="str">
        <f>+PPTO!D76</f>
        <v>m2</v>
      </c>
      <c r="D78" s="326">
        <f>+PPTO!E76</f>
        <v>4.2</v>
      </c>
      <c r="E78" s="502">
        <f>+PPTO!F76</f>
        <v>426756.62973266316</v>
      </c>
      <c r="F78" s="502">
        <f>+PPTO!G76</f>
        <v>1792377.8448771853</v>
      </c>
      <c r="G78" s="326"/>
      <c r="H78" s="326"/>
      <c r="I78" s="326"/>
      <c r="J78" s="326"/>
      <c r="K78" s="326"/>
      <c r="L78" s="380">
        <f t="shared" si="8"/>
        <v>896188.92243859265</v>
      </c>
      <c r="M78" s="326"/>
      <c r="N78" s="382">
        <f t="shared" si="9"/>
        <v>896188.92243859265</v>
      </c>
      <c r="O78" s="502"/>
      <c r="P78" s="502"/>
    </row>
    <row r="79" spans="1:16" s="508" customFormat="1" x14ac:dyDescent="0.3">
      <c r="A79" s="507">
        <f>+PPTO!B77</f>
        <v>9</v>
      </c>
      <c r="B79" s="507" t="str">
        <f>+PPTO!C77</f>
        <v>MUEBLES EQUIPOS DE COCINA</v>
      </c>
      <c r="C79" s="507">
        <f>+PPTO!D77</f>
        <v>0</v>
      </c>
      <c r="D79" s="507">
        <f>+PPTO!E77</f>
        <v>0</v>
      </c>
      <c r="E79" s="509">
        <f>+PPTO!F77</f>
        <v>0</v>
      </c>
      <c r="F79" s="509">
        <f>+PPTO!G77</f>
        <v>0</v>
      </c>
      <c r="G79" s="507"/>
      <c r="H79" s="507"/>
      <c r="I79" s="507"/>
      <c r="J79" s="507"/>
      <c r="K79" s="507"/>
      <c r="L79" s="507"/>
      <c r="M79" s="507"/>
      <c r="N79" s="507"/>
      <c r="O79" s="509"/>
      <c r="P79" s="509"/>
    </row>
    <row r="80" spans="1:16" ht="25.5" x14ac:dyDescent="0.3">
      <c r="A80" s="384">
        <f>+PPTO!B78</f>
        <v>9.1</v>
      </c>
      <c r="B80" s="326" t="str">
        <f>+PPTO!C78</f>
        <v>Cocina tipo industrial. Incluye: Mesones en  Acero inoxidable, campana con ducto, abastos, estufa</v>
      </c>
      <c r="C80" s="326" t="str">
        <f>+PPTO!D78</f>
        <v>UN</v>
      </c>
      <c r="D80" s="326">
        <f>+PPTO!E78</f>
        <v>1</v>
      </c>
      <c r="E80" s="502">
        <f>+PPTO!F78</f>
        <v>20551821.486633159</v>
      </c>
      <c r="F80" s="502">
        <f>+PPTO!G78</f>
        <v>20551821.486633159</v>
      </c>
      <c r="G80" s="326"/>
      <c r="H80" s="326"/>
      <c r="I80" s="326"/>
      <c r="J80" s="326"/>
      <c r="K80" s="326"/>
      <c r="L80" s="326"/>
      <c r="M80" s="382">
        <f>+F80</f>
        <v>20551821.486633159</v>
      </c>
      <c r="N80" s="326"/>
      <c r="O80" s="502"/>
      <c r="P80" s="502"/>
    </row>
    <row r="81" spans="1:16" s="508" customFormat="1" x14ac:dyDescent="0.3">
      <c r="A81" s="507">
        <f>+PPTO!B79</f>
        <v>10</v>
      </c>
      <c r="B81" s="507" t="str">
        <f>+PPTO!C79</f>
        <v>MUEBLES Y APARATOS SANITARIOS</v>
      </c>
      <c r="C81" s="507">
        <f>+PPTO!D79</f>
        <v>0</v>
      </c>
      <c r="D81" s="507">
        <f>+PPTO!E79</f>
        <v>0</v>
      </c>
      <c r="E81" s="509">
        <f>+PPTO!F79</f>
        <v>0</v>
      </c>
      <c r="F81" s="509">
        <f>+PPTO!G79</f>
        <v>0</v>
      </c>
      <c r="G81" s="507"/>
      <c r="H81" s="507"/>
      <c r="I81" s="507"/>
      <c r="J81" s="507"/>
      <c r="K81" s="507"/>
      <c r="L81" s="507"/>
      <c r="M81" s="507"/>
      <c r="N81" s="507"/>
      <c r="O81" s="509"/>
      <c r="P81" s="509"/>
    </row>
    <row r="82" spans="1:16" ht="51" x14ac:dyDescent="0.3">
      <c r="A82" s="384">
        <f>+PPTO!B80</f>
        <v>10.1</v>
      </c>
      <c r="B82" s="326" t="str">
        <f>+PPTO!C80</f>
        <v>Suministro e instalación de Sanitarios, incluye: accesorios PVC, Sanitario Manantial blanco según detalle del proyecto, grifería y todo lo necesario para su correcta instalación</v>
      </c>
      <c r="C82" s="326" t="str">
        <f>+PPTO!D80</f>
        <v>UN</v>
      </c>
      <c r="D82" s="326">
        <f>+PPTO!E80</f>
        <v>8</v>
      </c>
      <c r="E82" s="502">
        <f>+PPTO!F80</f>
        <v>575398.51893065264</v>
      </c>
      <c r="F82" s="502">
        <f>+PPTO!G80</f>
        <v>4603188.1514452212</v>
      </c>
      <c r="G82" s="326"/>
      <c r="H82" s="326"/>
      <c r="I82" s="326"/>
      <c r="J82" s="326"/>
      <c r="K82" s="326"/>
      <c r="L82" s="326"/>
      <c r="M82" s="326"/>
      <c r="N82" s="382">
        <f>+F82</f>
        <v>4603188.1514452212</v>
      </c>
      <c r="O82" s="502"/>
      <c r="P82" s="502"/>
    </row>
    <row r="83" spans="1:16" ht="51" x14ac:dyDescent="0.3">
      <c r="A83" s="384">
        <f>+PPTO!B81</f>
        <v>10.199999999999999</v>
      </c>
      <c r="B83" s="326" t="str">
        <f>+PPTO!C81</f>
        <v>Suministro e instalación de Orinales, incluye: accesorios PVC, Orinal arrecife corona o similar según detalle del proyecto, grifería, y todo lo necesario para su correcta instalación</v>
      </c>
      <c r="C83" s="326" t="str">
        <f>+PPTO!D81</f>
        <v>UN</v>
      </c>
      <c r="D83" s="326">
        <f>+PPTO!E81</f>
        <v>3</v>
      </c>
      <c r="E83" s="502">
        <f>+PPTO!F81</f>
        <v>645398.51893065264</v>
      </c>
      <c r="F83" s="502">
        <f>+PPTO!G81</f>
        <v>1936195.5567919579</v>
      </c>
      <c r="G83" s="326"/>
      <c r="H83" s="326"/>
      <c r="I83" s="326"/>
      <c r="J83" s="326"/>
      <c r="K83" s="326"/>
      <c r="L83" s="326"/>
      <c r="M83" s="326"/>
      <c r="N83" s="382">
        <f t="shared" ref="N83:N90" si="10">+F83</f>
        <v>1936195.5567919579</v>
      </c>
      <c r="O83" s="326"/>
      <c r="P83" s="326"/>
    </row>
    <row r="84" spans="1:16" ht="76.5" x14ac:dyDescent="0.3">
      <c r="A84" s="384">
        <f>+PPTO!B82</f>
        <v>10.3</v>
      </c>
      <c r="B84" s="326" t="str">
        <f>+PPTO!C82</f>
        <v>Colocación e instalación de Lavamanos, incluye: accesorios PVC, lavamanos corona o equivalente color blanco, grifería metálica antivandálica, de push ref 71100 de Grival o equivalente, abasto metálico y todos los demás elementos necesarios para su correcta instalación y funcionamiento.</v>
      </c>
      <c r="C84" s="326" t="str">
        <f>+PPTO!D82</f>
        <v>UN</v>
      </c>
      <c r="D84" s="326">
        <f>+PPTO!E82</f>
        <v>9</v>
      </c>
      <c r="E84" s="502">
        <f>+PPTO!F82</f>
        <v>921097.20406432112</v>
      </c>
      <c r="F84" s="502">
        <f>+PPTO!G82</f>
        <v>8289874.8365788897</v>
      </c>
      <c r="G84" s="326"/>
      <c r="H84" s="326"/>
      <c r="I84" s="326"/>
      <c r="J84" s="326"/>
      <c r="K84" s="326"/>
      <c r="L84" s="326"/>
      <c r="M84" s="326"/>
      <c r="N84" s="382">
        <f t="shared" si="10"/>
        <v>8289874.8365788897</v>
      </c>
      <c r="O84" s="502"/>
      <c r="P84" s="502"/>
    </row>
    <row r="85" spans="1:16" ht="38.25" x14ac:dyDescent="0.3">
      <c r="A85" s="384">
        <f>+PPTO!B83</f>
        <v>10.4</v>
      </c>
      <c r="B85" s="326" t="str">
        <f>+PPTO!C83</f>
        <v>Suministr e instalación de Kit para duchas (Rejilla de piso, griferia y todo lo necesario para su correcto funcionamiento)</v>
      </c>
      <c r="C85" s="326" t="str">
        <f>+PPTO!D83</f>
        <v>UN</v>
      </c>
      <c r="D85" s="326">
        <f>+PPTO!E83</f>
        <v>2</v>
      </c>
      <c r="E85" s="502">
        <f>+PPTO!F83</f>
        <v>358014.66368249565</v>
      </c>
      <c r="F85" s="502">
        <f>+PPTO!G83</f>
        <v>716029.3273649913</v>
      </c>
      <c r="G85" s="326"/>
      <c r="H85" s="326"/>
      <c r="I85" s="326"/>
      <c r="J85" s="326"/>
      <c r="K85" s="326"/>
      <c r="L85" s="326"/>
      <c r="M85" s="326"/>
      <c r="N85" s="382">
        <f t="shared" si="10"/>
        <v>716029.3273649913</v>
      </c>
      <c r="O85" s="502"/>
      <c r="P85" s="502"/>
    </row>
    <row r="86" spans="1:16" ht="38.25" x14ac:dyDescent="0.3">
      <c r="A86" s="384">
        <f>+PPTO!B84</f>
        <v>10.5</v>
      </c>
      <c r="B86" s="326" t="str">
        <f>+PPTO!C84</f>
        <v>Suministro e instalación de Lava escobas prefabricado de 70x70x25cm Granito y cemento blanco (incluye llave boca manguera)</v>
      </c>
      <c r="C86" s="326" t="str">
        <f>+PPTO!D84</f>
        <v>UN</v>
      </c>
      <c r="D86" s="326">
        <f>+PPTO!E84</f>
        <v>1</v>
      </c>
      <c r="E86" s="502">
        <f>+PPTO!F84</f>
        <v>356439.39358291449</v>
      </c>
      <c r="F86" s="502">
        <f>+PPTO!G84</f>
        <v>356439.39358291449</v>
      </c>
      <c r="G86" s="326"/>
      <c r="H86" s="326"/>
      <c r="I86" s="326"/>
      <c r="J86" s="326"/>
      <c r="K86" s="326"/>
      <c r="L86" s="326"/>
      <c r="M86" s="326"/>
      <c r="N86" s="382">
        <f t="shared" si="10"/>
        <v>356439.39358291449</v>
      </c>
      <c r="O86" s="326"/>
      <c r="P86" s="326"/>
    </row>
    <row r="87" spans="1:16" ht="76.5" x14ac:dyDescent="0.3">
      <c r="A87" s="384">
        <f>+PPTO!B85</f>
        <v>10.6</v>
      </c>
      <c r="B87" s="326" t="str">
        <f>+PPTO!C85</f>
        <v>Colocación e instalación de Lavamanos PMR, incluye: accesorios PVC, lavamanos corona o equivalente color blanco, grifería metálica antivandálica, de push ref 71100 de Grival o equivalente, abasto metálico y todos los demás elementos necesarios para su correcta instalación y funcionamiento.</v>
      </c>
      <c r="C87" s="326" t="str">
        <f>+PPTO!D85</f>
        <v>UN</v>
      </c>
      <c r="D87" s="326">
        <f>+PPTO!E85</f>
        <v>3</v>
      </c>
      <c r="E87" s="502">
        <f>+PPTO!F85</f>
        <v>893501.7755080401</v>
      </c>
      <c r="F87" s="502">
        <f>+PPTO!G85</f>
        <v>2680505.3265241203</v>
      </c>
      <c r="G87" s="326"/>
      <c r="H87" s="326"/>
      <c r="I87" s="326"/>
      <c r="J87" s="326"/>
      <c r="K87" s="326"/>
      <c r="L87" s="326"/>
      <c r="M87" s="326"/>
      <c r="N87" s="382">
        <f t="shared" si="10"/>
        <v>2680505.3265241203</v>
      </c>
      <c r="O87" s="326"/>
      <c r="P87" s="326"/>
    </row>
    <row r="88" spans="1:16" ht="38.25" x14ac:dyDescent="0.3">
      <c r="A88" s="384">
        <f>+PPTO!B86</f>
        <v>10.7</v>
      </c>
      <c r="B88" s="326" t="str">
        <f>+PPTO!C86</f>
        <v>Suministro e instalación de Mesones prefabricados en quartzone. Color a definir, incluye todo lo necesario para su correcto funcionamiento</v>
      </c>
      <c r="C88" s="326" t="str">
        <f>+PPTO!D86</f>
        <v>ML</v>
      </c>
      <c r="D88" s="326">
        <f>+PPTO!E86</f>
        <v>9.8000000000000007</v>
      </c>
      <c r="E88" s="502">
        <f>+PPTO!F86</f>
        <v>528201.31486633164</v>
      </c>
      <c r="F88" s="502">
        <f>+PPTO!G86</f>
        <v>5176372.8856900502</v>
      </c>
      <c r="G88" s="326"/>
      <c r="H88" s="326"/>
      <c r="I88" s="326"/>
      <c r="J88" s="326"/>
      <c r="K88" s="326"/>
      <c r="L88" s="326"/>
      <c r="M88" s="326"/>
      <c r="N88" s="382">
        <f t="shared" si="10"/>
        <v>5176372.8856900502</v>
      </c>
      <c r="O88" s="326"/>
      <c r="P88" s="326"/>
    </row>
    <row r="89" spans="1:16" ht="38.25" x14ac:dyDescent="0.3">
      <c r="A89" s="384">
        <f>+PPTO!B87</f>
        <v>10.8</v>
      </c>
      <c r="B89" s="326" t="str">
        <f>+PPTO!C87</f>
        <v>Suministro e instalacion de barras de seguridad en acero inoxidable L=60cm, incluye accesorios y todos los elementos para su correcta instalacion</v>
      </c>
      <c r="C89" s="326" t="str">
        <f>+PPTO!D87</f>
        <v>UN</v>
      </c>
      <c r="D89" s="326">
        <f>+PPTO!E87</f>
        <v>15</v>
      </c>
      <c r="E89" s="502">
        <f>+PPTO!F87</f>
        <v>199301.31486633158</v>
      </c>
      <c r="F89" s="502">
        <f>+PPTO!G87</f>
        <v>2989519.7229949739</v>
      </c>
      <c r="G89" s="326"/>
      <c r="H89" s="326"/>
      <c r="I89" s="326"/>
      <c r="J89" s="326"/>
      <c r="K89" s="326"/>
      <c r="L89" s="326"/>
      <c r="M89" s="326"/>
      <c r="N89" s="382">
        <f t="shared" si="10"/>
        <v>2989519.7229949739</v>
      </c>
      <c r="O89" s="326"/>
      <c r="P89" s="326"/>
    </row>
    <row r="90" spans="1:16" ht="25.5" x14ac:dyDescent="0.3">
      <c r="A90" s="384">
        <f>+PPTO!B88</f>
        <v>10.9</v>
      </c>
      <c r="B90" s="326" t="str">
        <f>+PPTO!C88</f>
        <v>Suministro e instalación de tanque de abastecimiento de 1200Lt</v>
      </c>
      <c r="C90" s="326" t="str">
        <f>+PPTO!D88</f>
        <v>UN</v>
      </c>
      <c r="D90" s="326">
        <f>+PPTO!E88</f>
        <v>1</v>
      </c>
      <c r="E90" s="502">
        <f>+PPTO!F88</f>
        <v>3195276.1486633159</v>
      </c>
      <c r="F90" s="502">
        <f>+PPTO!G88</f>
        <v>3195276.1486633159</v>
      </c>
      <c r="G90" s="326"/>
      <c r="H90" s="326"/>
      <c r="I90" s="326"/>
      <c r="J90" s="326"/>
      <c r="K90" s="326"/>
      <c r="L90" s="326"/>
      <c r="M90" s="326"/>
      <c r="N90" s="382">
        <f t="shared" si="10"/>
        <v>3195276.1486633159</v>
      </c>
      <c r="O90" s="326"/>
      <c r="P90" s="326"/>
    </row>
    <row r="91" spans="1:16" s="508" customFormat="1" x14ac:dyDescent="0.3">
      <c r="A91" s="507">
        <f>+PPTO!B89</f>
        <v>11</v>
      </c>
      <c r="B91" s="507" t="str">
        <f>+PPTO!C89</f>
        <v>Red contra incendios</v>
      </c>
      <c r="C91" s="507">
        <f>+PPTO!D89</f>
        <v>0</v>
      </c>
      <c r="D91" s="507">
        <f>+PPTO!E89</f>
        <v>0</v>
      </c>
      <c r="E91" s="509">
        <f>+PPTO!F89</f>
        <v>0</v>
      </c>
      <c r="F91" s="509">
        <f>+PPTO!G89</f>
        <v>0</v>
      </c>
      <c r="G91" s="507"/>
      <c r="H91" s="507"/>
      <c r="I91" s="507"/>
      <c r="J91" s="507"/>
      <c r="K91" s="507"/>
      <c r="L91" s="507"/>
      <c r="M91" s="507"/>
      <c r="N91" s="507"/>
      <c r="O91" s="507"/>
      <c r="P91" s="507"/>
    </row>
    <row r="92" spans="1:16" ht="25.5" x14ac:dyDescent="0.3">
      <c r="A92" s="384">
        <f>+PPTO!B90</f>
        <v>11.1</v>
      </c>
      <c r="B92" s="326" t="str">
        <f>+PPTO!C90</f>
        <v>Suministro transporte e instalacion de detector inteligente de humo con alarma sonora.</v>
      </c>
      <c r="C92" s="326" t="str">
        <f>+PPTO!D90</f>
        <v>UN</v>
      </c>
      <c r="D92" s="326">
        <f>+PPTO!E90</f>
        <v>38</v>
      </c>
      <c r="E92" s="502">
        <f>+PPTO!F90</f>
        <v>183148.12951359441</v>
      </c>
      <c r="F92" s="502">
        <f>+PPTO!G90</f>
        <v>6959628.921516588</v>
      </c>
      <c r="G92" s="326"/>
      <c r="H92" s="326"/>
      <c r="I92" s="326"/>
      <c r="J92" s="326"/>
      <c r="K92" s="326"/>
      <c r="L92" s="326"/>
      <c r="M92" s="326"/>
      <c r="N92" s="382">
        <f>+F92</f>
        <v>6959628.921516588</v>
      </c>
      <c r="O92" s="326"/>
      <c r="P92" s="326"/>
    </row>
    <row r="93" spans="1:16" ht="38.25" x14ac:dyDescent="0.3">
      <c r="A93" s="384">
        <f>+PPTO!B91</f>
        <v>11.2</v>
      </c>
      <c r="B93" s="326" t="str">
        <f>+PPTO!C91</f>
        <v>Suministro transporte e instalacion de Extintor multiproposito de polvo químico seco 10 Libras Con manguera</v>
      </c>
      <c r="C93" s="326" t="str">
        <f>+PPTO!D91</f>
        <v>UN</v>
      </c>
      <c r="D93" s="326">
        <f>+PPTO!E91</f>
        <v>5</v>
      </c>
      <c r="E93" s="502">
        <f>+PPTO!F91</f>
        <v>104801.31486633158</v>
      </c>
      <c r="F93" s="502">
        <f>+PPTO!G91</f>
        <v>524006.5743316579</v>
      </c>
      <c r="G93" s="326"/>
      <c r="H93" s="326"/>
      <c r="I93" s="326"/>
      <c r="J93" s="326"/>
      <c r="K93" s="326"/>
      <c r="L93" s="326"/>
      <c r="M93" s="326"/>
      <c r="N93" s="382">
        <f t="shared" ref="N93:N94" si="11">+F93</f>
        <v>524006.5743316579</v>
      </c>
      <c r="O93" s="326"/>
      <c r="P93" s="326"/>
    </row>
    <row r="94" spans="1:16" ht="25.5" x14ac:dyDescent="0.3">
      <c r="A94" s="384">
        <f>+PPTO!B92</f>
        <v>11.3</v>
      </c>
      <c r="B94" s="326" t="str">
        <f>+PPTO!C92</f>
        <v>Suministro transporte e instalacion de Extintor TIPO K 10 Libras Con manguera</v>
      </c>
      <c r="C94" s="326" t="str">
        <f>+PPTO!D92</f>
        <v>UN</v>
      </c>
      <c r="D94" s="326">
        <f>+PPTO!E92</f>
        <v>1</v>
      </c>
      <c r="E94" s="502">
        <f>+PPTO!F92</f>
        <v>113701.31486633158</v>
      </c>
      <c r="F94" s="502">
        <f>+PPTO!G92</f>
        <v>113701.31486633158</v>
      </c>
      <c r="G94" s="326"/>
      <c r="H94" s="326"/>
      <c r="I94" s="326"/>
      <c r="J94" s="326"/>
      <c r="K94" s="326"/>
      <c r="L94" s="326"/>
      <c r="M94" s="326"/>
      <c r="N94" s="382">
        <f t="shared" si="11"/>
        <v>113701.31486633158</v>
      </c>
      <c r="O94" s="326"/>
      <c r="P94" s="326"/>
    </row>
    <row r="95" spans="1:16" s="508" customFormat="1" x14ac:dyDescent="0.3">
      <c r="A95" s="507">
        <f>+PPTO!B93</f>
        <v>12</v>
      </c>
      <c r="B95" s="507" t="str">
        <f>+PPTO!C93</f>
        <v>OBRAS EXTERIORES Y PAISAJISMO</v>
      </c>
      <c r="C95" s="507">
        <f>+PPTO!D93</f>
        <v>0</v>
      </c>
      <c r="D95" s="507">
        <f>+PPTO!E93</f>
        <v>0</v>
      </c>
      <c r="E95" s="509">
        <f>+PPTO!F93</f>
        <v>0</v>
      </c>
      <c r="F95" s="509">
        <f>+PPTO!G93</f>
        <v>0</v>
      </c>
      <c r="G95" s="507"/>
      <c r="H95" s="507"/>
      <c r="I95" s="507"/>
      <c r="J95" s="507"/>
      <c r="K95" s="507"/>
      <c r="L95" s="507"/>
      <c r="M95" s="507"/>
      <c r="N95" s="507"/>
      <c r="O95" s="507"/>
      <c r="P95" s="507"/>
    </row>
    <row r="96" spans="1:16" ht="38.25" x14ac:dyDescent="0.3">
      <c r="A96" s="384">
        <f>+PPTO!B94</f>
        <v>12.1</v>
      </c>
      <c r="B96" s="326" t="str">
        <f>+PPTO!C94</f>
        <v>Suministro, transporte e instalación de materas en concreto incluye tierra, planta ornamental según caracteristicas del Municipio</v>
      </c>
      <c r="C96" s="326" t="str">
        <f>+PPTO!D94</f>
        <v>UN</v>
      </c>
      <c r="D96" s="326">
        <f>+PPTO!E94</f>
        <v>14</v>
      </c>
      <c r="E96" s="502">
        <f>+PPTO!F94</f>
        <v>295691.29878666665</v>
      </c>
      <c r="F96" s="502">
        <f>+PPTO!G94</f>
        <v>4139678.183013333</v>
      </c>
      <c r="G96" s="326"/>
      <c r="H96" s="326"/>
      <c r="I96" s="326"/>
      <c r="J96" s="326"/>
      <c r="K96" s="326"/>
      <c r="L96" s="326"/>
      <c r="M96" s="326"/>
      <c r="N96" s="382">
        <f>+F96</f>
        <v>4139678.183013333</v>
      </c>
      <c r="O96" s="326"/>
      <c r="P96" s="326"/>
    </row>
    <row r="97" spans="1:16" x14ac:dyDescent="0.3">
      <c r="A97" s="384">
        <f>+PPTO!B95</f>
        <v>12.2</v>
      </c>
      <c r="B97" s="326" t="str">
        <f>+PPTO!C95</f>
        <v xml:space="preserve">Suministro, transporte e instalación de adoquín </v>
      </c>
      <c r="C97" s="326" t="str">
        <f>+PPTO!D95</f>
        <v>M2</v>
      </c>
      <c r="D97" s="326">
        <f>+PPTO!E95</f>
        <v>272.01</v>
      </c>
      <c r="E97" s="502">
        <f>+PPTO!F95</f>
        <v>146659.52477721931</v>
      </c>
      <c r="F97" s="502">
        <f>+PPTO!G95</f>
        <v>39892857.334651425</v>
      </c>
      <c r="G97" s="326"/>
      <c r="H97" s="326"/>
      <c r="I97" s="326"/>
      <c r="J97" s="326"/>
      <c r="K97" s="326"/>
      <c r="L97" s="326"/>
      <c r="M97" s="326"/>
      <c r="N97" s="382">
        <f t="shared" ref="N97:N99" si="12">+F97</f>
        <v>39892857.334651425</v>
      </c>
      <c r="O97" s="326"/>
      <c r="P97" s="326"/>
    </row>
    <row r="98" spans="1:16" x14ac:dyDescent="0.3">
      <c r="A98" s="384">
        <f>+PPTO!B96</f>
        <v>12.3</v>
      </c>
      <c r="B98" s="326" t="str">
        <f>+PPTO!C96</f>
        <v>Suministro e instalación de Gimnasio al aire libre</v>
      </c>
      <c r="C98" s="326" t="str">
        <f>+PPTO!D96</f>
        <v>UN</v>
      </c>
      <c r="D98" s="326">
        <f>+PPTO!E96</f>
        <v>1</v>
      </c>
      <c r="E98" s="325">
        <f>+PPTO!F96</f>
        <v>114230377.05968881</v>
      </c>
      <c r="F98" s="325">
        <f>+PPTO!G96</f>
        <v>114230377.05968881</v>
      </c>
      <c r="G98" s="326"/>
      <c r="H98" s="326"/>
      <c r="I98" s="326"/>
      <c r="J98" s="326"/>
      <c r="K98" s="326"/>
      <c r="L98" s="326"/>
      <c r="M98" s="326"/>
      <c r="N98" s="382">
        <f t="shared" si="12"/>
        <v>114230377.05968881</v>
      </c>
      <c r="O98" s="326"/>
      <c r="P98" s="326"/>
    </row>
    <row r="99" spans="1:16" x14ac:dyDescent="0.3">
      <c r="A99" s="895" t="s">
        <v>1044</v>
      </c>
      <c r="B99" s="895"/>
      <c r="C99" s="895"/>
      <c r="D99" s="895"/>
      <c r="E99" s="895"/>
      <c r="F99" s="895"/>
      <c r="G99" s="326"/>
      <c r="H99" s="326"/>
      <c r="I99" s="326"/>
      <c r="J99" s="326"/>
      <c r="K99" s="326"/>
      <c r="L99" s="326"/>
      <c r="M99" s="326"/>
      <c r="N99" s="382">
        <f t="shared" si="12"/>
        <v>0</v>
      </c>
      <c r="O99" s="326"/>
      <c r="P99" s="326"/>
    </row>
    <row r="100" spans="1:16" x14ac:dyDescent="0.3">
      <c r="A100" s="384">
        <v>0</v>
      </c>
      <c r="B100" s="890" t="s">
        <v>1045</v>
      </c>
      <c r="C100" s="890"/>
      <c r="D100" s="890"/>
      <c r="E100" s="890"/>
      <c r="F100" s="890"/>
      <c r="G100" s="515"/>
      <c r="H100" s="515"/>
      <c r="I100" s="515"/>
      <c r="J100" s="515"/>
      <c r="K100" s="515"/>
      <c r="L100" s="515"/>
      <c r="M100" s="515"/>
      <c r="N100" s="515"/>
      <c r="O100" s="383"/>
      <c r="P100" s="383"/>
    </row>
    <row r="101" spans="1:16" x14ac:dyDescent="0.3">
      <c r="A101" s="388"/>
      <c r="B101" s="388"/>
      <c r="C101" s="388"/>
      <c r="D101" s="511"/>
      <c r="E101" s="512"/>
      <c r="F101" s="512"/>
      <c r="G101" s="388"/>
      <c r="H101" s="388"/>
      <c r="I101" s="388"/>
      <c r="J101" s="388"/>
      <c r="K101" s="388"/>
      <c r="L101" s="388"/>
      <c r="M101" s="388"/>
      <c r="N101" s="388"/>
      <c r="O101" s="388"/>
      <c r="P101" s="388"/>
    </row>
    <row r="102" spans="1:16" x14ac:dyDescent="0.3">
      <c r="A102" s="388"/>
      <c r="B102" s="388"/>
      <c r="C102" s="388"/>
      <c r="D102" s="511"/>
      <c r="E102" s="512"/>
      <c r="F102" s="512"/>
      <c r="G102" s="388"/>
      <c r="H102" s="388"/>
      <c r="I102" s="388"/>
      <c r="J102" s="388"/>
      <c r="K102" s="388"/>
      <c r="L102" s="388"/>
      <c r="M102" s="388"/>
      <c r="N102" s="388"/>
      <c r="O102" s="388"/>
      <c r="P102" s="388"/>
    </row>
    <row r="103" spans="1:16" x14ac:dyDescent="0.3">
      <c r="A103" s="388"/>
      <c r="B103" s="388"/>
      <c r="C103" s="388"/>
      <c r="D103" s="511"/>
      <c r="E103" s="512"/>
      <c r="F103" s="512"/>
      <c r="G103" s="388"/>
      <c r="H103" s="388"/>
      <c r="I103" s="388"/>
      <c r="J103" s="388"/>
      <c r="K103" s="388"/>
      <c r="L103" s="388"/>
      <c r="M103" s="388"/>
      <c r="N103" s="388"/>
      <c r="O103" s="388"/>
      <c r="P103" s="388"/>
    </row>
    <row r="104" spans="1:16" x14ac:dyDescent="0.3">
      <c r="A104" s="388"/>
      <c r="B104" s="388"/>
      <c r="C104" s="388"/>
      <c r="D104" s="511"/>
      <c r="E104" s="512"/>
      <c r="F104" s="512"/>
      <c r="G104" s="388"/>
      <c r="H104" s="388"/>
      <c r="I104" s="388"/>
      <c r="J104" s="388"/>
      <c r="K104" s="388"/>
      <c r="L104" s="388"/>
      <c r="M104" s="388"/>
      <c r="N104" s="388"/>
      <c r="O104" s="388"/>
      <c r="P104" s="388"/>
    </row>
    <row r="105" spans="1:16" x14ac:dyDescent="0.3">
      <c r="A105" s="388"/>
      <c r="B105" s="388"/>
      <c r="C105" s="388"/>
      <c r="D105" s="511"/>
      <c r="E105" s="512"/>
      <c r="F105" s="512"/>
      <c r="G105" s="388"/>
      <c r="H105" s="388"/>
      <c r="I105" s="388"/>
      <c r="J105" s="388"/>
      <c r="K105" s="388"/>
      <c r="L105" s="388"/>
      <c r="M105" s="388"/>
      <c r="N105" s="388"/>
      <c r="O105" s="388"/>
      <c r="P105" s="388"/>
    </row>
    <row r="106" spans="1:16" x14ac:dyDescent="0.3">
      <c r="A106" s="388"/>
      <c r="B106" s="388"/>
      <c r="C106" s="388"/>
      <c r="D106" s="511"/>
      <c r="E106" s="512"/>
      <c r="F106" s="512"/>
      <c r="G106" s="388"/>
      <c r="H106" s="388"/>
      <c r="I106" s="388"/>
      <c r="J106" s="388"/>
      <c r="K106" s="388"/>
      <c r="L106" s="388"/>
      <c r="M106" s="388"/>
      <c r="N106" s="388"/>
      <c r="O106" s="388"/>
      <c r="P106" s="388"/>
    </row>
    <row r="107" spans="1:16" x14ac:dyDescent="0.3">
      <c r="A107" s="388"/>
      <c r="B107" s="513"/>
      <c r="C107" s="388"/>
      <c r="D107" s="511"/>
      <c r="E107" s="512"/>
      <c r="F107" s="512"/>
      <c r="G107" s="388"/>
      <c r="H107" s="388"/>
      <c r="I107" s="388"/>
      <c r="J107" s="388"/>
      <c r="K107" s="388"/>
      <c r="L107" s="388"/>
      <c r="M107" s="388"/>
      <c r="N107" s="388"/>
      <c r="O107" s="388"/>
      <c r="P107" s="388"/>
    </row>
    <row r="108" spans="1:16" ht="38.25" x14ac:dyDescent="0.3">
      <c r="A108" s="388"/>
      <c r="B108" s="513"/>
      <c r="C108" s="388" t="s">
        <v>133</v>
      </c>
      <c r="D108" s="511"/>
      <c r="E108" s="512"/>
      <c r="F108" s="512"/>
      <c r="G108" s="388"/>
      <c r="H108" s="388"/>
      <c r="I108" s="388"/>
      <c r="J108" s="388"/>
      <c r="K108" s="388"/>
      <c r="L108" s="388"/>
      <c r="M108" s="388"/>
      <c r="N108" s="388"/>
      <c r="O108" s="388"/>
      <c r="P108" s="388"/>
    </row>
    <row r="109" spans="1:16" x14ac:dyDescent="0.3">
      <c r="A109" s="388"/>
      <c r="B109" s="513" t="s">
        <v>134</v>
      </c>
      <c r="C109" s="888" t="s">
        <v>135</v>
      </c>
      <c r="D109" s="888"/>
      <c r="E109" s="512"/>
      <c r="F109" s="512"/>
      <c r="G109" s="388"/>
      <c r="H109" s="388"/>
      <c r="I109" s="388"/>
      <c r="J109" s="388"/>
      <c r="K109" s="388"/>
      <c r="L109" s="388"/>
      <c r="M109" s="388"/>
      <c r="N109" s="388"/>
      <c r="O109" s="388"/>
      <c r="P109" s="388"/>
    </row>
    <row r="110" spans="1:16" x14ac:dyDescent="0.3">
      <c r="A110" s="388"/>
      <c r="B110" s="513" t="s">
        <v>136</v>
      </c>
      <c r="C110" s="388" t="s">
        <v>137</v>
      </c>
      <c r="D110" s="511"/>
      <c r="E110" s="512"/>
      <c r="F110" s="512"/>
      <c r="G110" s="388"/>
      <c r="H110" s="388"/>
      <c r="I110" s="388"/>
      <c r="J110" s="388"/>
      <c r="K110" s="388"/>
      <c r="L110" s="388"/>
      <c r="M110" s="388"/>
      <c r="N110" s="388"/>
      <c r="O110" s="388"/>
      <c r="P110" s="388"/>
    </row>
    <row r="111" spans="1:16" x14ac:dyDescent="0.3">
      <c r="A111" s="388"/>
      <c r="B111" s="513" t="s">
        <v>138</v>
      </c>
      <c r="C111" s="889" t="s">
        <v>139</v>
      </c>
      <c r="D111" s="888"/>
      <c r="E111" s="512"/>
      <c r="F111" s="512"/>
      <c r="G111" s="388"/>
      <c r="H111" s="388"/>
      <c r="I111" s="388"/>
      <c r="J111" s="388"/>
      <c r="K111" s="388"/>
      <c r="L111" s="388"/>
      <c r="M111" s="388"/>
      <c r="N111" s="388"/>
      <c r="O111" s="388"/>
      <c r="P111" s="388"/>
    </row>
    <row r="112" spans="1:16" x14ac:dyDescent="0.3">
      <c r="A112" s="388"/>
      <c r="B112" s="513" t="s">
        <v>140</v>
      </c>
      <c r="C112" s="388">
        <v>3147222958</v>
      </c>
      <c r="D112" s="511"/>
      <c r="E112" s="512"/>
      <c r="F112" s="512"/>
      <c r="G112" s="388"/>
      <c r="H112" s="388"/>
      <c r="I112" s="388"/>
      <c r="J112" s="388"/>
      <c r="K112" s="388"/>
      <c r="L112" s="388"/>
      <c r="M112" s="388"/>
      <c r="N112" s="388"/>
      <c r="O112" s="388"/>
      <c r="P112" s="388"/>
    </row>
  </sheetData>
  <mergeCells count="9">
    <mergeCell ref="A3:O6"/>
    <mergeCell ref="A2:O2"/>
    <mergeCell ref="C109:D109"/>
    <mergeCell ref="C111:D111"/>
    <mergeCell ref="B9:F9"/>
    <mergeCell ref="A8:F8"/>
    <mergeCell ref="A7:F7"/>
    <mergeCell ref="A99:F99"/>
    <mergeCell ref="B100:F100"/>
  </mergeCells>
  <hyperlinks>
    <hyperlink ref="C111" r:id="rId1" xr:uid="{EC40B548-C3A3-4930-A03B-FEA696820131}"/>
  </hyperlinks>
  <pageMargins left="0.7" right="0.7" top="0.75" bottom="0.75" header="0.3" footer="0.3"/>
  <pageSetup scale="23" orientation="portrait"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84A61A-A882-45D8-B4D9-07A76F29405D}">
  <sheetPr>
    <tabColor rgb="FFD4ECBA"/>
  </sheetPr>
  <dimension ref="A1:Q57"/>
  <sheetViews>
    <sheetView view="pageBreakPreview" topLeftCell="A22" zoomScale="130" zoomScaleNormal="136" zoomScaleSheetLayoutView="130" workbookViewId="0">
      <selection activeCell="L11" sqref="L11"/>
    </sheetView>
  </sheetViews>
  <sheetFormatPr baseColWidth="10" defaultColWidth="11" defaultRowHeight="8.25" x14ac:dyDescent="0.15"/>
  <cols>
    <col min="1" max="1" width="3.375" style="140" customWidth="1"/>
    <col min="2" max="2" width="4.375" style="140" customWidth="1"/>
    <col min="3" max="3" width="18.375" style="140" customWidth="1"/>
    <col min="4" max="4" width="3.25" style="140" bestFit="1" customWidth="1"/>
    <col min="5" max="5" width="6.125" style="140" bestFit="1" customWidth="1"/>
    <col min="6" max="6" width="7.25" style="140" bestFit="1" customWidth="1"/>
    <col min="7" max="7" width="5.125" style="140" bestFit="1" customWidth="1"/>
    <col min="8" max="8" width="6" style="140" bestFit="1" customWidth="1"/>
    <col min="9" max="9" width="5.375" style="140" bestFit="1" customWidth="1"/>
    <col min="10" max="10" width="6.25" style="140" customWidth="1"/>
    <col min="11" max="11" width="7" style="140" bestFit="1" customWidth="1"/>
    <col min="12" max="12" width="17" style="141" bestFit="1" customWidth="1"/>
    <col min="13" max="13" width="22.375" style="140" bestFit="1" customWidth="1"/>
    <col min="14" max="14" width="4.75" style="140" bestFit="1" customWidth="1"/>
    <col min="15" max="15" width="8" style="140" bestFit="1" customWidth="1"/>
    <col min="16" max="16384" width="11" style="140"/>
  </cols>
  <sheetData>
    <row r="1" spans="1:16" x14ac:dyDescent="0.15">
      <c r="A1" s="157"/>
      <c r="B1" s="157"/>
    </row>
    <row r="2" spans="1:16" ht="9" thickBot="1" x14ac:dyDescent="0.2">
      <c r="A2" s="157"/>
      <c r="B2" s="157"/>
    </row>
    <row r="3" spans="1:16" x14ac:dyDescent="0.15">
      <c r="A3" s="157"/>
      <c r="B3" s="157"/>
      <c r="C3" s="142"/>
      <c r="D3" s="143"/>
      <c r="E3" s="143"/>
      <c r="F3" s="143"/>
      <c r="G3" s="143"/>
      <c r="H3" s="143"/>
      <c r="I3" s="143"/>
      <c r="J3" s="143"/>
      <c r="K3" s="143"/>
    </row>
    <row r="4" spans="1:16" ht="35.25" customHeight="1" thickBot="1" x14ac:dyDescent="0.2">
      <c r="A4" s="157"/>
      <c r="B4" s="157"/>
      <c r="C4" s="395" t="s">
        <v>958</v>
      </c>
      <c r="D4" s="396" t="s">
        <v>275</v>
      </c>
      <c r="E4" s="397" t="s">
        <v>1046</v>
      </c>
      <c r="F4" s="397" t="s">
        <v>1047</v>
      </c>
      <c r="G4" s="398" t="s">
        <v>1048</v>
      </c>
      <c r="H4" s="396" t="s">
        <v>1049</v>
      </c>
      <c r="I4" s="397" t="s">
        <v>1050</v>
      </c>
      <c r="J4" s="398" t="s">
        <v>1051</v>
      </c>
      <c r="K4" s="399" t="s">
        <v>10</v>
      </c>
      <c r="L4" s="400"/>
      <c r="M4" s="395" t="s">
        <v>958</v>
      </c>
      <c r="N4" s="396" t="s">
        <v>275</v>
      </c>
      <c r="O4" s="397" t="s">
        <v>1046</v>
      </c>
      <c r="P4" s="397" t="s">
        <v>1047</v>
      </c>
    </row>
    <row r="5" spans="1:16" ht="9" thickBot="1" x14ac:dyDescent="0.2">
      <c r="A5" s="157"/>
      <c r="B5" s="157"/>
      <c r="C5" s="144" t="s">
        <v>1052</v>
      </c>
      <c r="D5" s="896"/>
      <c r="E5" s="897"/>
      <c r="F5" s="897"/>
      <c r="G5" s="897"/>
      <c r="H5" s="897"/>
      <c r="I5" s="897"/>
      <c r="J5" s="897"/>
      <c r="K5" s="897"/>
      <c r="M5" s="144" t="s">
        <v>1052</v>
      </c>
      <c r="N5" s="896"/>
      <c r="O5" s="897"/>
      <c r="P5" s="897"/>
    </row>
    <row r="6" spans="1:16" ht="17.25" thickBot="1" x14ac:dyDescent="0.2">
      <c r="A6" s="157"/>
      <c r="B6" s="157"/>
      <c r="C6" s="145" t="s">
        <v>1053</v>
      </c>
      <c r="D6" s="146">
        <v>1</v>
      </c>
      <c r="E6" s="135">
        <v>6552000</v>
      </c>
      <c r="F6" s="136">
        <f>E6+E6*0.19</f>
        <v>7796880</v>
      </c>
      <c r="G6" s="135">
        <f>+F6*0.05</f>
        <v>389844</v>
      </c>
      <c r="H6" s="137">
        <f>+F6*0.95</f>
        <v>7407036</v>
      </c>
      <c r="I6" s="135">
        <f>+H6*0.0796</f>
        <v>589600.06559999997</v>
      </c>
      <c r="J6" s="135">
        <f>+I6*0.19</f>
        <v>112024.012464</v>
      </c>
      <c r="K6" s="136">
        <f>(E6-I6)*D6</f>
        <v>5962399.9343999997</v>
      </c>
      <c r="M6" s="145" t="s">
        <v>1053</v>
      </c>
      <c r="N6" s="146">
        <v>1</v>
      </c>
      <c r="O6" s="135">
        <v>5962399.9343999997</v>
      </c>
      <c r="P6" s="136">
        <f>+N6*O6</f>
        <v>5962399.9343999997</v>
      </c>
    </row>
    <row r="7" spans="1:16" ht="17.25" thickBot="1" x14ac:dyDescent="0.2">
      <c r="A7" s="157"/>
      <c r="B7" s="157"/>
      <c r="C7" s="145" t="s">
        <v>1054</v>
      </c>
      <c r="D7" s="146">
        <v>1</v>
      </c>
      <c r="E7" s="135">
        <v>5992000</v>
      </c>
      <c r="F7" s="136">
        <f t="shared" ref="F7:F12" si="0">E7+E7*0.19</f>
        <v>7130480</v>
      </c>
      <c r="G7" s="135">
        <f t="shared" ref="G7:G12" si="1">+F7*0.05</f>
        <v>356524</v>
      </c>
      <c r="H7" s="137">
        <f t="shared" ref="H7:H12" si="2">+F7*0.95</f>
        <v>6773956</v>
      </c>
      <c r="I7" s="135">
        <f t="shared" ref="I7:I12" si="3">+H7*0.0796</f>
        <v>539206.89760000003</v>
      </c>
      <c r="J7" s="135">
        <f t="shared" ref="J7:J12" si="4">+I7*0.19</f>
        <v>102449.31054400001</v>
      </c>
      <c r="K7" s="136">
        <f t="shared" ref="K7:K12" si="5">(E7-I7)*D7</f>
        <v>5452793.1024000002</v>
      </c>
      <c r="L7" s="141">
        <f>+E7-I7</f>
        <v>5452793.1024000002</v>
      </c>
      <c r="M7" s="145" t="s">
        <v>1054</v>
      </c>
      <c r="N7" s="146">
        <v>1</v>
      </c>
      <c r="O7" s="135">
        <v>5452793.1024000002</v>
      </c>
      <c r="P7" s="136">
        <f t="shared" ref="P7:P29" si="6">+N7*O7</f>
        <v>5452793.1024000002</v>
      </c>
    </row>
    <row r="8" spans="1:16" ht="9" thickBot="1" x14ac:dyDescent="0.2">
      <c r="A8" s="157"/>
      <c r="B8" s="157"/>
      <c r="C8" s="145" t="s">
        <v>1055</v>
      </c>
      <c r="D8" s="146">
        <v>1</v>
      </c>
      <c r="E8" s="135">
        <v>7205068</v>
      </c>
      <c r="F8" s="136">
        <f t="shared" si="0"/>
        <v>8574030.9199999999</v>
      </c>
      <c r="G8" s="135">
        <f t="shared" si="1"/>
        <v>428701.54600000003</v>
      </c>
      <c r="H8" s="137">
        <f t="shared" si="2"/>
        <v>8145329.3739999998</v>
      </c>
      <c r="I8" s="135">
        <f t="shared" si="3"/>
        <v>648368.21817040001</v>
      </c>
      <c r="J8" s="135">
        <f t="shared" si="4"/>
        <v>123189.96145237601</v>
      </c>
      <c r="K8" s="136">
        <f t="shared" si="5"/>
        <v>6556699.7818296002</v>
      </c>
      <c r="M8" s="145" t="s">
        <v>1055</v>
      </c>
      <c r="N8" s="146">
        <v>1</v>
      </c>
      <c r="O8" s="135">
        <v>6556699.7818296002</v>
      </c>
      <c r="P8" s="136">
        <f t="shared" si="6"/>
        <v>6556699.7818296002</v>
      </c>
    </row>
    <row r="9" spans="1:16" ht="9" thickBot="1" x14ac:dyDescent="0.2">
      <c r="A9" s="157"/>
      <c r="B9" s="157"/>
      <c r="C9" s="145" t="s">
        <v>1056</v>
      </c>
      <c r="D9" s="146">
        <v>1</v>
      </c>
      <c r="E9" s="135">
        <v>5969914</v>
      </c>
      <c r="F9" s="136">
        <f t="shared" si="0"/>
        <v>7104197.6600000001</v>
      </c>
      <c r="G9" s="135">
        <f t="shared" si="1"/>
        <v>355209.88300000003</v>
      </c>
      <c r="H9" s="137">
        <f t="shared" si="2"/>
        <v>6748987.7769999998</v>
      </c>
      <c r="I9" s="135">
        <f t="shared" si="3"/>
        <v>537219.42704920005</v>
      </c>
      <c r="J9" s="135">
        <f t="shared" si="4"/>
        <v>102071.69113934801</v>
      </c>
      <c r="K9" s="136">
        <f t="shared" si="5"/>
        <v>5432694.5729507999</v>
      </c>
      <c r="M9" s="145" t="s">
        <v>1056</v>
      </c>
      <c r="N9" s="146">
        <v>1</v>
      </c>
      <c r="O9" s="135">
        <v>5432694.5729507999</v>
      </c>
      <c r="P9" s="136">
        <f t="shared" si="6"/>
        <v>5432694.5729507999</v>
      </c>
    </row>
    <row r="10" spans="1:16" ht="9" thickBot="1" x14ac:dyDescent="0.2">
      <c r="A10" s="157"/>
      <c r="B10" s="157"/>
      <c r="C10" s="145" t="s">
        <v>1057</v>
      </c>
      <c r="D10" s="146">
        <v>1</v>
      </c>
      <c r="E10" s="135">
        <v>5579560</v>
      </c>
      <c r="F10" s="136">
        <f t="shared" si="0"/>
        <v>6639676.4000000004</v>
      </c>
      <c r="G10" s="135">
        <f t="shared" si="1"/>
        <v>331983.82000000007</v>
      </c>
      <c r="H10" s="137">
        <f t="shared" si="2"/>
        <v>6307692.5800000001</v>
      </c>
      <c r="I10" s="135">
        <f t="shared" si="3"/>
        <v>502092.32936800004</v>
      </c>
      <c r="J10" s="135">
        <f t="shared" si="4"/>
        <v>95397.542579920002</v>
      </c>
      <c r="K10" s="136">
        <f t="shared" si="5"/>
        <v>5077467.6706320001</v>
      </c>
      <c r="M10" s="145" t="s">
        <v>1057</v>
      </c>
      <c r="N10" s="146">
        <v>1</v>
      </c>
      <c r="O10" s="135">
        <v>5077467.6706320001</v>
      </c>
      <c r="P10" s="136">
        <f t="shared" si="6"/>
        <v>5077467.6706320001</v>
      </c>
    </row>
    <row r="11" spans="1:16" ht="9" thickBot="1" x14ac:dyDescent="0.2">
      <c r="A11" s="157"/>
      <c r="B11" s="157"/>
      <c r="C11" s="145" t="s">
        <v>1058</v>
      </c>
      <c r="D11" s="146">
        <v>1</v>
      </c>
      <c r="E11" s="135">
        <v>4712960</v>
      </c>
      <c r="F11" s="136">
        <f t="shared" si="0"/>
        <v>5608422.4000000004</v>
      </c>
      <c r="G11" s="135">
        <f t="shared" si="1"/>
        <v>280421.12000000005</v>
      </c>
      <c r="H11" s="137">
        <f t="shared" si="2"/>
        <v>5328001.28</v>
      </c>
      <c r="I11" s="135">
        <f t="shared" si="3"/>
        <v>424108.90188800002</v>
      </c>
      <c r="J11" s="135">
        <f t="shared" si="4"/>
        <v>80580.691358720011</v>
      </c>
      <c r="K11" s="136">
        <f t="shared" si="5"/>
        <v>4288851.0981120002</v>
      </c>
      <c r="M11" s="145" t="s">
        <v>1058</v>
      </c>
      <c r="N11" s="146">
        <v>1</v>
      </c>
      <c r="O11" s="135">
        <v>4288851.0981120002</v>
      </c>
      <c r="P11" s="136">
        <f t="shared" si="6"/>
        <v>4288851.0981120002</v>
      </c>
    </row>
    <row r="12" spans="1:16" ht="9" thickBot="1" x14ac:dyDescent="0.2">
      <c r="A12" s="157"/>
      <c r="B12" s="157"/>
      <c r="C12" s="145" t="s">
        <v>1059</v>
      </c>
      <c r="D12" s="146">
        <v>1</v>
      </c>
      <c r="E12" s="135">
        <v>7960782</v>
      </c>
      <c r="F12" s="136">
        <f t="shared" si="0"/>
        <v>9473330.5800000001</v>
      </c>
      <c r="G12" s="135">
        <f t="shared" si="1"/>
        <v>473666.52900000004</v>
      </c>
      <c r="H12" s="137">
        <f t="shared" si="2"/>
        <v>8999664.050999999</v>
      </c>
      <c r="I12" s="135">
        <f t="shared" si="3"/>
        <v>716373.25845959992</v>
      </c>
      <c r="J12" s="135">
        <f t="shared" si="4"/>
        <v>136110.91910732398</v>
      </c>
      <c r="K12" s="136">
        <f t="shared" si="5"/>
        <v>7244408.7415404003</v>
      </c>
      <c r="M12" s="145" t="s">
        <v>1059</v>
      </c>
      <c r="N12" s="146">
        <v>1</v>
      </c>
      <c r="O12" s="135">
        <v>7244408.7415404003</v>
      </c>
      <c r="P12" s="136">
        <f t="shared" si="6"/>
        <v>7244408.7415404003</v>
      </c>
    </row>
    <row r="13" spans="1:16" ht="17.25" thickBot="1" x14ac:dyDescent="0.2">
      <c r="A13" s="157"/>
      <c r="B13" s="157"/>
      <c r="C13" s="144" t="s">
        <v>1060</v>
      </c>
      <c r="D13" s="149"/>
      <c r="E13" s="150"/>
      <c r="F13" s="151"/>
      <c r="G13" s="139" t="s">
        <v>1061</v>
      </c>
      <c r="H13" s="149"/>
      <c r="I13" s="150"/>
      <c r="J13" s="150"/>
      <c r="K13" s="150"/>
      <c r="M13" s="144" t="s">
        <v>1060</v>
      </c>
      <c r="N13" s="149"/>
      <c r="O13" s="150"/>
      <c r="P13" s="136">
        <f t="shared" si="6"/>
        <v>0</v>
      </c>
    </row>
    <row r="14" spans="1:16" ht="9" thickBot="1" x14ac:dyDescent="0.2">
      <c r="A14" s="157"/>
      <c r="B14" s="157"/>
      <c r="C14" s="145" t="s">
        <v>1062</v>
      </c>
      <c r="D14" s="146">
        <v>0</v>
      </c>
      <c r="E14" s="135">
        <v>27529600</v>
      </c>
      <c r="F14" s="136">
        <f>+E14+E14*0.19</f>
        <v>32760224</v>
      </c>
      <c r="G14" s="135">
        <f>+F14*0.05</f>
        <v>1638011.2000000002</v>
      </c>
      <c r="H14" s="137">
        <f>+F14*0.95</f>
        <v>31122212.799999997</v>
      </c>
      <c r="I14" s="135">
        <f>+H14*0.0796</f>
        <v>2477328.13888</v>
      </c>
      <c r="J14" s="135">
        <f>+I14*0.19</f>
        <v>470692.3463872</v>
      </c>
      <c r="K14" s="136">
        <f>(E14-I14)*D14</f>
        <v>0</v>
      </c>
      <c r="M14" s="145" t="s">
        <v>1062</v>
      </c>
      <c r="N14" s="146">
        <v>0</v>
      </c>
      <c r="O14" s="135">
        <v>0</v>
      </c>
      <c r="P14" s="136">
        <f t="shared" si="6"/>
        <v>0</v>
      </c>
    </row>
    <row r="15" spans="1:16" ht="17.25" thickBot="1" x14ac:dyDescent="0.2">
      <c r="A15" s="157"/>
      <c r="B15" s="157"/>
      <c r="C15" s="145" t="s">
        <v>1063</v>
      </c>
      <c r="D15" s="146">
        <v>1</v>
      </c>
      <c r="E15" s="135">
        <v>11144000</v>
      </c>
      <c r="F15" s="136">
        <f t="shared" ref="F15:F19" si="7">+E15+E15*0.19</f>
        <v>13261360</v>
      </c>
      <c r="G15" s="135">
        <f t="shared" ref="G15:G19" si="8">+F15*0.05</f>
        <v>663068</v>
      </c>
      <c r="H15" s="137">
        <f t="shared" ref="H15:H19" si="9">+F15*0.95</f>
        <v>12598292</v>
      </c>
      <c r="I15" s="135">
        <f t="shared" ref="I15:I19" si="10">+H15*0.0796</f>
        <v>1002824.0432000001</v>
      </c>
      <c r="J15" s="135">
        <f t="shared" ref="J15:J19" si="11">+I15*0.19</f>
        <v>190536.56820800001</v>
      </c>
      <c r="K15" s="136">
        <f t="shared" ref="K15:K19" si="12">(E15-I15)*D15</f>
        <v>10141175.956800001</v>
      </c>
      <c r="M15" s="145" t="s">
        <v>1063</v>
      </c>
      <c r="N15" s="146">
        <v>1</v>
      </c>
      <c r="O15" s="135">
        <v>10141175.956800001</v>
      </c>
      <c r="P15" s="136">
        <f t="shared" si="6"/>
        <v>10141175.956800001</v>
      </c>
    </row>
    <row r="16" spans="1:16" ht="17.25" thickBot="1" x14ac:dyDescent="0.2">
      <c r="A16" s="157"/>
      <c r="B16" s="157"/>
      <c r="C16" s="145" t="s">
        <v>1064</v>
      </c>
      <c r="D16" s="146">
        <v>1</v>
      </c>
      <c r="E16" s="135">
        <v>10024000</v>
      </c>
      <c r="F16" s="136">
        <f t="shared" si="7"/>
        <v>11928560</v>
      </c>
      <c r="G16" s="135">
        <f t="shared" si="8"/>
        <v>596428</v>
      </c>
      <c r="H16" s="137">
        <f t="shared" si="9"/>
        <v>11332132</v>
      </c>
      <c r="I16" s="135">
        <f t="shared" si="10"/>
        <v>902037.70720000006</v>
      </c>
      <c r="J16" s="135">
        <f t="shared" si="11"/>
        <v>171387.16436800003</v>
      </c>
      <c r="K16" s="136">
        <f t="shared" si="12"/>
        <v>9121962.2927999999</v>
      </c>
      <c r="M16" s="145" t="s">
        <v>1064</v>
      </c>
      <c r="N16" s="146">
        <v>1</v>
      </c>
      <c r="O16" s="135">
        <v>9121962.2927999999</v>
      </c>
      <c r="P16" s="136">
        <f t="shared" si="6"/>
        <v>9121962.2927999999</v>
      </c>
    </row>
    <row r="17" spans="1:17" ht="17.25" thickBot="1" x14ac:dyDescent="0.2">
      <c r="A17" s="157"/>
      <c r="B17" s="157"/>
      <c r="C17" s="145" t="s">
        <v>1065</v>
      </c>
      <c r="D17" s="146">
        <v>0</v>
      </c>
      <c r="E17" s="135">
        <v>11144000</v>
      </c>
      <c r="F17" s="136">
        <f t="shared" si="7"/>
        <v>13261360</v>
      </c>
      <c r="G17" s="135">
        <f t="shared" si="8"/>
        <v>663068</v>
      </c>
      <c r="H17" s="137">
        <f t="shared" si="9"/>
        <v>12598292</v>
      </c>
      <c r="I17" s="135">
        <f t="shared" si="10"/>
        <v>1002824.0432000001</v>
      </c>
      <c r="J17" s="135">
        <f t="shared" si="11"/>
        <v>190536.56820800001</v>
      </c>
      <c r="K17" s="136">
        <f t="shared" si="12"/>
        <v>0</v>
      </c>
      <c r="M17" s="145" t="s">
        <v>1065</v>
      </c>
      <c r="N17" s="146">
        <v>0</v>
      </c>
      <c r="O17" s="135">
        <v>0</v>
      </c>
      <c r="P17" s="136">
        <f t="shared" si="6"/>
        <v>0</v>
      </c>
    </row>
    <row r="18" spans="1:17" ht="17.25" thickBot="1" x14ac:dyDescent="0.2">
      <c r="A18" s="157"/>
      <c r="B18" s="157"/>
      <c r="C18" s="145" t="s">
        <v>1066</v>
      </c>
      <c r="D18" s="146">
        <v>1</v>
      </c>
      <c r="E18" s="135">
        <v>2004800</v>
      </c>
      <c r="F18" s="136">
        <f t="shared" si="7"/>
        <v>2385712</v>
      </c>
      <c r="G18" s="135">
        <f t="shared" si="8"/>
        <v>119285.6</v>
      </c>
      <c r="H18" s="137">
        <f t="shared" si="9"/>
        <v>2266426.4</v>
      </c>
      <c r="I18" s="135">
        <f t="shared" si="10"/>
        <v>180407.54144</v>
      </c>
      <c r="J18" s="135">
        <f t="shared" si="11"/>
        <v>34277.432873600002</v>
      </c>
      <c r="K18" s="136">
        <f t="shared" si="12"/>
        <v>1824392.4585599999</v>
      </c>
      <c r="M18" s="145" t="s">
        <v>1066</v>
      </c>
      <c r="N18" s="146">
        <v>1</v>
      </c>
      <c r="O18" s="135">
        <v>1824392.4585599999</v>
      </c>
      <c r="P18" s="136">
        <f t="shared" si="6"/>
        <v>1824392.4585599999</v>
      </c>
    </row>
    <row r="19" spans="1:17" ht="17.25" thickBot="1" x14ac:dyDescent="0.2">
      <c r="A19" s="157"/>
      <c r="B19" s="157"/>
      <c r="C19" s="145" t="s">
        <v>1067</v>
      </c>
      <c r="D19" s="146">
        <v>1</v>
      </c>
      <c r="E19" s="135">
        <v>2004800</v>
      </c>
      <c r="F19" s="136">
        <f t="shared" si="7"/>
        <v>2385712</v>
      </c>
      <c r="G19" s="135">
        <f t="shared" si="8"/>
        <v>119285.6</v>
      </c>
      <c r="H19" s="137">
        <f t="shared" si="9"/>
        <v>2266426.4</v>
      </c>
      <c r="I19" s="135">
        <f t="shared" si="10"/>
        <v>180407.54144</v>
      </c>
      <c r="J19" s="135">
        <f t="shared" si="11"/>
        <v>34277.432873600002</v>
      </c>
      <c r="K19" s="136">
        <f t="shared" si="12"/>
        <v>1824392.4585599999</v>
      </c>
      <c r="M19" s="145" t="s">
        <v>1067</v>
      </c>
      <c r="N19" s="146">
        <v>1</v>
      </c>
      <c r="O19" s="135">
        <v>1824392.4585599999</v>
      </c>
      <c r="P19" s="136">
        <f t="shared" si="6"/>
        <v>1824392.4585599999</v>
      </c>
    </row>
    <row r="20" spans="1:17" ht="17.25" thickBot="1" x14ac:dyDescent="0.2">
      <c r="A20" s="157"/>
      <c r="B20" s="157"/>
      <c r="C20" s="144" t="s">
        <v>1068</v>
      </c>
      <c r="D20" s="149"/>
      <c r="E20" s="150"/>
      <c r="F20" s="151"/>
      <c r="G20" s="139" t="s">
        <v>1061</v>
      </c>
      <c r="H20" s="149"/>
      <c r="I20" s="150"/>
      <c r="J20" s="150"/>
      <c r="K20" s="150"/>
      <c r="M20" s="144" t="s">
        <v>1068</v>
      </c>
      <c r="N20" s="149"/>
      <c r="O20" s="150"/>
      <c r="P20" s="136">
        <f t="shared" si="6"/>
        <v>0</v>
      </c>
    </row>
    <row r="21" spans="1:17" ht="9" thickBot="1" x14ac:dyDescent="0.2">
      <c r="A21" s="157"/>
      <c r="B21" s="157"/>
      <c r="C21" s="145" t="s">
        <v>1069</v>
      </c>
      <c r="D21" s="146">
        <v>1</v>
      </c>
      <c r="E21" s="135">
        <v>3949120</v>
      </c>
      <c r="F21" s="136">
        <f>+E21+E21*0.19</f>
        <v>4699452.8</v>
      </c>
      <c r="G21" s="135">
        <f>+F21*0.05</f>
        <v>234972.64</v>
      </c>
      <c r="H21" s="137">
        <f>+F21*0.95</f>
        <v>4464480.1599999992</v>
      </c>
      <c r="I21" s="135">
        <f>+H21*0.0796</f>
        <v>355372.62073599995</v>
      </c>
      <c r="J21" s="135">
        <f>+I21*0.19</f>
        <v>67520.797939839991</v>
      </c>
      <c r="K21" s="136">
        <f>(E21-I21)*D21</f>
        <v>3593747.3792639999</v>
      </c>
      <c r="M21" s="145" t="s">
        <v>1069</v>
      </c>
      <c r="N21" s="146">
        <v>1</v>
      </c>
      <c r="O21" s="135">
        <v>3593747.3792639999</v>
      </c>
      <c r="P21" s="136">
        <f t="shared" si="6"/>
        <v>3593747.3792639999</v>
      </c>
    </row>
    <row r="22" spans="1:17" ht="9" thickBot="1" x14ac:dyDescent="0.2">
      <c r="A22" s="157"/>
      <c r="B22" s="157"/>
      <c r="C22" s="145" t="s">
        <v>1070</v>
      </c>
      <c r="D22" s="146">
        <v>1</v>
      </c>
      <c r="E22" s="135">
        <v>3556000</v>
      </c>
      <c r="F22" s="136">
        <f t="shared" ref="F22:F29" si="13">+E22+E22*0.19</f>
        <v>4231640</v>
      </c>
      <c r="G22" s="135">
        <f t="shared" ref="G22:G29" si="14">+F22*0.05</f>
        <v>211582</v>
      </c>
      <c r="H22" s="137">
        <f t="shared" ref="H22:H29" si="15">+F22*0.95</f>
        <v>4020058</v>
      </c>
      <c r="I22" s="135">
        <f t="shared" ref="I22:I29" si="16">+H22*0.0796</f>
        <v>319996.61680000002</v>
      </c>
      <c r="J22" s="135">
        <f t="shared" ref="J22:J29" si="17">+I22*0.19</f>
        <v>60799.357192000003</v>
      </c>
      <c r="K22" s="136">
        <f t="shared" ref="K22:K29" si="18">(E22-I22)*D22</f>
        <v>3236003.3832</v>
      </c>
      <c r="M22" s="145" t="s">
        <v>1070</v>
      </c>
      <c r="N22" s="146">
        <v>1</v>
      </c>
      <c r="O22" s="135">
        <v>3236003.3832</v>
      </c>
      <c r="P22" s="136">
        <f t="shared" si="6"/>
        <v>3236003.3832</v>
      </c>
    </row>
    <row r="23" spans="1:17" ht="9" thickBot="1" x14ac:dyDescent="0.2">
      <c r="A23" s="157"/>
      <c r="B23" s="157"/>
      <c r="C23" s="145" t="s">
        <v>1071</v>
      </c>
      <c r="D23" s="146">
        <v>1</v>
      </c>
      <c r="E23" s="135">
        <v>6384000</v>
      </c>
      <c r="F23" s="136">
        <f t="shared" si="13"/>
        <v>7596960</v>
      </c>
      <c r="G23" s="135">
        <f t="shared" si="14"/>
        <v>379848</v>
      </c>
      <c r="H23" s="137">
        <f t="shared" si="15"/>
        <v>7217112</v>
      </c>
      <c r="I23" s="135">
        <f t="shared" si="16"/>
        <v>574482.1152</v>
      </c>
      <c r="J23" s="135">
        <f t="shared" si="17"/>
        <v>109151.601888</v>
      </c>
      <c r="K23" s="136">
        <f t="shared" si="18"/>
        <v>5809517.8848000001</v>
      </c>
      <c r="M23" s="145" t="s">
        <v>1071</v>
      </c>
      <c r="N23" s="146">
        <v>1</v>
      </c>
      <c r="O23" s="135">
        <v>5809517.8848000001</v>
      </c>
      <c r="P23" s="136">
        <f t="shared" si="6"/>
        <v>5809517.8848000001</v>
      </c>
    </row>
    <row r="24" spans="1:17" ht="9" thickBot="1" x14ac:dyDescent="0.2">
      <c r="A24" s="157"/>
      <c r="B24" s="157"/>
      <c r="C24" s="145" t="s">
        <v>1072</v>
      </c>
      <c r="D24" s="146">
        <v>1</v>
      </c>
      <c r="E24" s="135">
        <v>6384000</v>
      </c>
      <c r="F24" s="136">
        <f t="shared" si="13"/>
        <v>7596960</v>
      </c>
      <c r="G24" s="135">
        <f t="shared" si="14"/>
        <v>379848</v>
      </c>
      <c r="H24" s="137">
        <f t="shared" si="15"/>
        <v>7217112</v>
      </c>
      <c r="I24" s="135">
        <f t="shared" si="16"/>
        <v>574482.1152</v>
      </c>
      <c r="J24" s="135">
        <f t="shared" si="17"/>
        <v>109151.601888</v>
      </c>
      <c r="K24" s="136">
        <f t="shared" si="18"/>
        <v>5809517.8848000001</v>
      </c>
      <c r="M24" s="145" t="s">
        <v>1072</v>
      </c>
      <c r="N24" s="146">
        <v>1</v>
      </c>
      <c r="O24" s="135">
        <v>5809517.8848000001</v>
      </c>
      <c r="P24" s="136">
        <f t="shared" si="6"/>
        <v>5809517.8848000001</v>
      </c>
    </row>
    <row r="25" spans="1:17" ht="9" thickBot="1" x14ac:dyDescent="0.2">
      <c r="A25" s="157"/>
      <c r="B25" s="157"/>
      <c r="C25" s="145" t="s">
        <v>1073</v>
      </c>
      <c r="D25" s="146">
        <v>1</v>
      </c>
      <c r="E25" s="135">
        <v>6384000</v>
      </c>
      <c r="F25" s="136">
        <f t="shared" si="13"/>
        <v>7596960</v>
      </c>
      <c r="G25" s="135">
        <f t="shared" si="14"/>
        <v>379848</v>
      </c>
      <c r="H25" s="137">
        <f t="shared" si="15"/>
        <v>7217112</v>
      </c>
      <c r="I25" s="135">
        <f t="shared" si="16"/>
        <v>574482.1152</v>
      </c>
      <c r="J25" s="135">
        <f t="shared" si="17"/>
        <v>109151.601888</v>
      </c>
      <c r="K25" s="136">
        <f t="shared" si="18"/>
        <v>5809517.8848000001</v>
      </c>
      <c r="M25" s="145" t="s">
        <v>1073</v>
      </c>
      <c r="N25" s="146">
        <v>1</v>
      </c>
      <c r="O25" s="135">
        <v>5809517.8848000001</v>
      </c>
      <c r="P25" s="136">
        <f t="shared" si="6"/>
        <v>5809517.8848000001</v>
      </c>
    </row>
    <row r="26" spans="1:17" ht="17.25" thickBot="1" x14ac:dyDescent="0.2">
      <c r="A26" s="157"/>
      <c r="B26" s="157"/>
      <c r="C26" s="145" t="s">
        <v>1074</v>
      </c>
      <c r="D26" s="146">
        <v>1</v>
      </c>
      <c r="E26" s="135">
        <v>12807200</v>
      </c>
      <c r="F26" s="136">
        <f t="shared" si="13"/>
        <v>15240568</v>
      </c>
      <c r="G26" s="135">
        <f t="shared" si="14"/>
        <v>762028.4</v>
      </c>
      <c r="H26" s="137">
        <f t="shared" si="15"/>
        <v>14478539.6</v>
      </c>
      <c r="I26" s="135">
        <f t="shared" si="16"/>
        <v>1152491.7521599999</v>
      </c>
      <c r="J26" s="135">
        <f t="shared" si="17"/>
        <v>218973.43291039998</v>
      </c>
      <c r="K26" s="136">
        <f t="shared" si="18"/>
        <v>11654708.24784</v>
      </c>
      <c r="M26" s="145" t="s">
        <v>1074</v>
      </c>
      <c r="N26" s="146">
        <v>1</v>
      </c>
      <c r="O26" s="135">
        <v>11654708.24784</v>
      </c>
      <c r="P26" s="136">
        <f t="shared" si="6"/>
        <v>11654708.24784</v>
      </c>
    </row>
    <row r="27" spans="1:17" ht="17.25" thickBot="1" x14ac:dyDescent="0.2">
      <c r="A27" s="157"/>
      <c r="B27" s="157"/>
      <c r="C27" s="145" t="s">
        <v>1075</v>
      </c>
      <c r="D27" s="146">
        <v>1</v>
      </c>
      <c r="E27" s="135">
        <v>5824000</v>
      </c>
      <c r="F27" s="136">
        <f t="shared" si="13"/>
        <v>6930560</v>
      </c>
      <c r="G27" s="135">
        <f t="shared" si="14"/>
        <v>346528</v>
      </c>
      <c r="H27" s="137">
        <f t="shared" si="15"/>
        <v>6584032</v>
      </c>
      <c r="I27" s="135">
        <f t="shared" si="16"/>
        <v>524088.94720000005</v>
      </c>
      <c r="J27" s="135">
        <f t="shared" si="17"/>
        <v>99576.899968000012</v>
      </c>
      <c r="K27" s="136">
        <f t="shared" si="18"/>
        <v>5299911.0527999997</v>
      </c>
      <c r="M27" s="145" t="s">
        <v>1075</v>
      </c>
      <c r="N27" s="146">
        <v>1</v>
      </c>
      <c r="O27" s="135">
        <v>5299911.0527999997</v>
      </c>
      <c r="P27" s="136">
        <f t="shared" si="6"/>
        <v>5299911.0527999997</v>
      </c>
    </row>
    <row r="28" spans="1:17" ht="17.25" thickBot="1" x14ac:dyDescent="0.2">
      <c r="A28" s="157"/>
      <c r="B28" s="157"/>
      <c r="C28" s="145" t="s">
        <v>1076</v>
      </c>
      <c r="D28" s="146">
        <v>1</v>
      </c>
      <c r="E28" s="135">
        <v>5544000</v>
      </c>
      <c r="F28" s="136">
        <f t="shared" si="13"/>
        <v>6597360</v>
      </c>
      <c r="G28" s="135">
        <f t="shared" si="14"/>
        <v>329868</v>
      </c>
      <c r="H28" s="137">
        <f t="shared" si="15"/>
        <v>6267492</v>
      </c>
      <c r="I28" s="135">
        <f t="shared" si="16"/>
        <v>498892.36320000002</v>
      </c>
      <c r="J28" s="135">
        <f t="shared" si="17"/>
        <v>94789.549008000002</v>
      </c>
      <c r="K28" s="136">
        <f t="shared" si="18"/>
        <v>5045107.6368000004</v>
      </c>
      <c r="M28" s="145" t="s">
        <v>1076</v>
      </c>
      <c r="N28" s="146">
        <v>1</v>
      </c>
      <c r="O28" s="135">
        <v>5045107.6368000004</v>
      </c>
      <c r="P28" s="136">
        <f t="shared" si="6"/>
        <v>5045107.6368000004</v>
      </c>
    </row>
    <row r="29" spans="1:17" ht="17.25" thickBot="1" x14ac:dyDescent="0.2">
      <c r="A29" s="157"/>
      <c r="B29" s="157"/>
      <c r="C29" s="145" t="s">
        <v>1077</v>
      </c>
      <c r="D29" s="146">
        <v>1</v>
      </c>
      <c r="E29" s="135">
        <v>5544000</v>
      </c>
      <c r="F29" s="136">
        <f t="shared" si="13"/>
        <v>6597360</v>
      </c>
      <c r="G29" s="135">
        <f t="shared" si="14"/>
        <v>329868</v>
      </c>
      <c r="H29" s="137">
        <f t="shared" si="15"/>
        <v>6267492</v>
      </c>
      <c r="I29" s="135">
        <f t="shared" si="16"/>
        <v>498892.36320000002</v>
      </c>
      <c r="J29" s="135">
        <f t="shared" si="17"/>
        <v>94789.549008000002</v>
      </c>
      <c r="K29" s="136">
        <f t="shared" si="18"/>
        <v>5045107.6368000004</v>
      </c>
      <c r="M29" s="145" t="s">
        <v>1077</v>
      </c>
      <c r="N29" s="146">
        <v>1</v>
      </c>
      <c r="O29" s="135">
        <v>5045107.6368000004</v>
      </c>
      <c r="P29" s="153">
        <f t="shared" si="6"/>
        <v>5045107.6368000004</v>
      </c>
    </row>
    <row r="30" spans="1:17" ht="9" thickBot="1" x14ac:dyDescent="0.2">
      <c r="A30" s="157"/>
      <c r="B30" s="157"/>
      <c r="C30" s="147"/>
      <c r="E30" s="138" t="s">
        <v>10</v>
      </c>
      <c r="F30" s="148">
        <f>SUM(F21:F29,F14:F19,F6:F12)</f>
        <v>195397766.76000002</v>
      </c>
      <c r="K30" s="148">
        <f>SUM(K21:K29,K14:K19,K6:K12)</f>
        <v>114230377.05968881</v>
      </c>
      <c r="M30" s="147"/>
      <c r="O30" s="152" t="s">
        <v>10</v>
      </c>
      <c r="P30" s="154">
        <f>SUM(P21:P29,P14:P19,P6:P12)</f>
        <v>114230377.05968881</v>
      </c>
    </row>
    <row r="31" spans="1:17" x14ac:dyDescent="0.15">
      <c r="A31" s="157"/>
      <c r="B31" s="157"/>
      <c r="C31" s="147"/>
      <c r="F31" s="157"/>
      <c r="G31" s="157"/>
      <c r="H31" s="157"/>
      <c r="I31" s="157"/>
      <c r="J31" s="157"/>
      <c r="K31" s="157"/>
      <c r="L31" s="158"/>
      <c r="M31" s="157"/>
      <c r="N31" s="157"/>
      <c r="O31" s="157"/>
      <c r="P31" s="157"/>
      <c r="Q31" s="157"/>
    </row>
    <row r="32" spans="1:17" x14ac:dyDescent="0.15">
      <c r="A32" s="157"/>
      <c r="B32" s="157"/>
      <c r="C32" s="157"/>
      <c r="D32" s="157"/>
      <c r="E32" s="157"/>
      <c r="F32" s="157"/>
      <c r="G32" s="157"/>
      <c r="H32" s="157"/>
      <c r="I32" s="157"/>
      <c r="J32" s="157"/>
      <c r="K32" s="157"/>
      <c r="L32" s="158"/>
      <c r="M32" s="157"/>
      <c r="N32" s="157"/>
      <c r="O32" s="157"/>
      <c r="P32" s="157"/>
      <c r="Q32" s="157"/>
    </row>
    <row r="33" spans="1:17" x14ac:dyDescent="0.15">
      <c r="A33" s="157"/>
      <c r="B33" s="157"/>
      <c r="C33" s="157"/>
      <c r="D33" s="157"/>
      <c r="E33" s="157"/>
      <c r="F33" s="157"/>
      <c r="G33" s="157"/>
      <c r="H33" s="157"/>
      <c r="I33" s="157"/>
      <c r="J33" s="157"/>
      <c r="K33" s="157"/>
      <c r="L33" s="158"/>
      <c r="M33" s="157"/>
      <c r="N33" s="157"/>
      <c r="O33" s="157"/>
      <c r="P33" s="157"/>
      <c r="Q33" s="157"/>
    </row>
    <row r="34" spans="1:17" x14ac:dyDescent="0.15">
      <c r="A34" s="157"/>
      <c r="B34" s="157"/>
      <c r="C34" s="157"/>
      <c r="D34" s="157"/>
      <c r="E34" s="157"/>
      <c r="F34" s="157"/>
      <c r="G34" s="157"/>
      <c r="H34" s="157"/>
      <c r="I34" s="157"/>
      <c r="J34" s="157"/>
      <c r="K34" s="157"/>
      <c r="L34" s="158"/>
      <c r="M34" s="157"/>
      <c r="N34" s="157"/>
      <c r="O34" s="157"/>
      <c r="P34" s="157"/>
      <c r="Q34" s="157"/>
    </row>
    <row r="35" spans="1:17" x14ac:dyDescent="0.15">
      <c r="A35" s="157"/>
      <c r="B35" s="157"/>
      <c r="C35" s="157"/>
      <c r="D35" s="157"/>
      <c r="E35" s="157"/>
      <c r="F35" s="157"/>
      <c r="G35" s="157"/>
      <c r="H35" s="157"/>
      <c r="I35" s="157"/>
      <c r="J35" s="157"/>
      <c r="K35" s="157"/>
      <c r="L35" s="158"/>
      <c r="M35" s="157"/>
      <c r="N35" s="157"/>
      <c r="O35" s="157"/>
      <c r="P35" s="157"/>
      <c r="Q35" s="157"/>
    </row>
    <row r="36" spans="1:17" x14ac:dyDescent="0.15">
      <c r="A36" s="157"/>
      <c r="B36" s="157"/>
      <c r="C36" s="157"/>
      <c r="D36" s="157"/>
      <c r="E36" s="157"/>
      <c r="F36" s="157"/>
      <c r="G36" s="157"/>
      <c r="H36" s="157"/>
      <c r="I36" s="157"/>
      <c r="J36" s="157"/>
      <c r="K36" s="157"/>
      <c r="L36" s="158"/>
      <c r="M36" s="157"/>
      <c r="N36" s="157"/>
      <c r="O36" s="157"/>
      <c r="P36" s="157"/>
      <c r="Q36" s="157"/>
    </row>
    <row r="37" spans="1:17" x14ac:dyDescent="0.15">
      <c r="A37" s="157"/>
      <c r="B37" s="157"/>
      <c r="C37" s="157"/>
      <c r="D37" s="157"/>
      <c r="E37" s="157"/>
      <c r="F37" s="157"/>
      <c r="G37" s="157"/>
      <c r="H37" s="157"/>
      <c r="I37" s="157"/>
      <c r="J37" s="157"/>
      <c r="K37" s="157"/>
      <c r="L37" s="158"/>
      <c r="M37" s="157"/>
      <c r="N37" s="157"/>
      <c r="O37" s="157"/>
      <c r="P37" s="157"/>
      <c r="Q37" s="157"/>
    </row>
    <row r="38" spans="1:17" x14ac:dyDescent="0.15">
      <c r="A38" s="157"/>
      <c r="B38" s="157"/>
      <c r="C38" s="157"/>
      <c r="D38" s="157"/>
      <c r="E38" s="157"/>
      <c r="F38" s="157"/>
      <c r="G38" s="157"/>
      <c r="H38" s="157"/>
      <c r="I38" s="157"/>
      <c r="J38" s="157"/>
      <c r="K38" s="157"/>
      <c r="L38" s="158"/>
      <c r="M38" s="157"/>
      <c r="N38" s="157"/>
      <c r="O38" s="157"/>
      <c r="P38" s="157"/>
      <c r="Q38" s="157"/>
    </row>
    <row r="39" spans="1:17" x14ac:dyDescent="0.15">
      <c r="A39" s="157"/>
      <c r="B39" s="157"/>
      <c r="C39" s="157"/>
      <c r="D39" s="157"/>
      <c r="E39" s="157"/>
      <c r="F39" s="157"/>
      <c r="G39" s="157"/>
      <c r="H39" s="157"/>
      <c r="I39" s="157"/>
      <c r="J39" s="157"/>
      <c r="K39" s="157"/>
      <c r="L39" s="158"/>
      <c r="M39" s="157"/>
      <c r="N39" s="157"/>
      <c r="O39" s="157"/>
      <c r="P39" s="157"/>
      <c r="Q39" s="157"/>
    </row>
    <row r="40" spans="1:17" x14ac:dyDescent="0.15">
      <c r="A40" s="157"/>
      <c r="B40" s="157"/>
      <c r="C40" s="157"/>
      <c r="D40" s="157"/>
      <c r="E40" s="157"/>
      <c r="F40" s="157"/>
      <c r="G40" s="157"/>
      <c r="H40" s="157"/>
      <c r="I40" s="157"/>
      <c r="J40" s="157"/>
      <c r="K40" s="157"/>
      <c r="L40" s="158"/>
      <c r="M40" s="157"/>
      <c r="N40" s="157"/>
      <c r="O40" s="157"/>
      <c r="P40" s="157"/>
      <c r="Q40" s="157"/>
    </row>
    <row r="41" spans="1:17" x14ac:dyDescent="0.15">
      <c r="A41" s="157"/>
      <c r="B41" s="157"/>
      <c r="C41" s="157"/>
      <c r="D41" s="157"/>
      <c r="E41" s="157"/>
      <c r="F41" s="157"/>
      <c r="G41" s="157"/>
      <c r="H41" s="157"/>
      <c r="I41" s="157"/>
      <c r="J41" s="157"/>
      <c r="K41" s="157"/>
      <c r="L41" s="158"/>
      <c r="M41" s="157"/>
      <c r="N41" s="157"/>
      <c r="O41" s="157"/>
      <c r="P41" s="157"/>
      <c r="Q41" s="157"/>
    </row>
    <row r="42" spans="1:17" x14ac:dyDescent="0.15">
      <c r="A42" s="157"/>
      <c r="B42" s="157"/>
      <c r="C42" s="157"/>
      <c r="D42" s="157"/>
      <c r="E42" s="157"/>
      <c r="F42" s="157"/>
      <c r="G42" s="157"/>
      <c r="H42" s="157"/>
      <c r="I42" s="157"/>
      <c r="J42" s="157"/>
      <c r="K42" s="157"/>
      <c r="L42" s="158"/>
      <c r="M42" s="157"/>
      <c r="N42" s="157"/>
      <c r="O42" s="157"/>
      <c r="P42" s="157"/>
      <c r="Q42" s="157"/>
    </row>
    <row r="43" spans="1:17" x14ac:dyDescent="0.15">
      <c r="A43" s="157"/>
      <c r="B43" s="157"/>
      <c r="C43" s="157"/>
      <c r="D43" s="157"/>
      <c r="E43" s="157"/>
      <c r="F43" s="157"/>
      <c r="G43" s="157"/>
      <c r="H43" s="157"/>
      <c r="I43" s="157"/>
      <c r="J43" s="157"/>
      <c r="K43" s="157"/>
      <c r="L43" s="158"/>
      <c r="M43" s="157"/>
      <c r="N43" s="157"/>
      <c r="O43" s="157"/>
      <c r="P43" s="157"/>
      <c r="Q43" s="157"/>
    </row>
    <row r="44" spans="1:17" x14ac:dyDescent="0.15">
      <c r="A44" s="157"/>
      <c r="B44" s="157"/>
      <c r="C44" s="157"/>
      <c r="D44" s="157"/>
      <c r="E44" s="157"/>
      <c r="F44" s="157"/>
      <c r="G44" s="157"/>
      <c r="H44" s="157"/>
      <c r="I44" s="157"/>
      <c r="J44" s="157"/>
      <c r="K44" s="157"/>
      <c r="L44" s="158"/>
      <c r="M44" s="157"/>
      <c r="N44" s="157"/>
      <c r="O44" s="157"/>
      <c r="P44" s="157"/>
      <c r="Q44" s="157"/>
    </row>
    <row r="45" spans="1:17" x14ac:dyDescent="0.15">
      <c r="A45" s="157"/>
      <c r="B45" s="157"/>
      <c r="C45" s="157"/>
      <c r="D45" s="157"/>
      <c r="E45" s="157"/>
      <c r="F45" s="157"/>
      <c r="G45" s="157"/>
      <c r="H45" s="157"/>
      <c r="I45" s="157"/>
      <c r="J45" s="157"/>
      <c r="K45" s="157"/>
      <c r="L45" s="158"/>
      <c r="M45" s="157"/>
      <c r="N45" s="157"/>
      <c r="O45" s="157"/>
      <c r="P45" s="157"/>
      <c r="Q45" s="157"/>
    </row>
    <row r="46" spans="1:17" x14ac:dyDescent="0.15">
      <c r="A46" s="157"/>
      <c r="B46" s="157"/>
      <c r="C46" s="157"/>
      <c r="D46" s="157"/>
      <c r="E46" s="157"/>
      <c r="F46" s="157"/>
      <c r="G46" s="157"/>
      <c r="H46" s="157"/>
      <c r="I46" s="157"/>
      <c r="J46" s="157"/>
      <c r="K46" s="157"/>
      <c r="L46" s="158"/>
      <c r="M46" s="157"/>
      <c r="N46" s="157"/>
      <c r="O46" s="157"/>
      <c r="P46" s="157"/>
      <c r="Q46" s="157"/>
    </row>
    <row r="47" spans="1:17" x14ac:dyDescent="0.15">
      <c r="A47" s="157"/>
      <c r="B47" s="157"/>
      <c r="C47" s="157"/>
      <c r="D47" s="157"/>
      <c r="E47" s="157"/>
      <c r="F47" s="157"/>
      <c r="G47" s="157"/>
      <c r="H47" s="157"/>
      <c r="I47" s="157"/>
      <c r="J47" s="157"/>
      <c r="K47" s="157"/>
      <c r="L47" s="158"/>
      <c r="M47" s="157"/>
      <c r="N47" s="157"/>
      <c r="O47" s="157"/>
      <c r="P47" s="157"/>
      <c r="Q47" s="157"/>
    </row>
    <row r="48" spans="1:17" x14ac:dyDescent="0.15">
      <c r="A48" s="157"/>
      <c r="B48" s="157"/>
      <c r="C48" s="157"/>
      <c r="D48" s="157"/>
      <c r="E48" s="157"/>
      <c r="F48" s="157"/>
      <c r="G48" s="157"/>
      <c r="H48" s="157"/>
      <c r="I48" s="157"/>
      <c r="J48" s="157"/>
      <c r="K48" s="157"/>
      <c r="L48" s="158"/>
      <c r="M48" s="157"/>
      <c r="N48" s="157"/>
      <c r="O48" s="157"/>
      <c r="P48" s="157"/>
      <c r="Q48" s="157"/>
    </row>
    <row r="49" spans="1:17" x14ac:dyDescent="0.15">
      <c r="A49" s="157"/>
      <c r="B49" s="157"/>
      <c r="C49" s="157"/>
      <c r="D49" s="157"/>
      <c r="E49" s="157"/>
      <c r="F49" s="157"/>
      <c r="G49" s="157"/>
      <c r="H49" s="157"/>
      <c r="I49" s="157"/>
      <c r="J49" s="157"/>
      <c r="K49" s="157"/>
      <c r="L49" s="158"/>
      <c r="M49" s="157"/>
      <c r="N49" s="157"/>
      <c r="O49" s="157"/>
      <c r="P49" s="157"/>
      <c r="Q49" s="157"/>
    </row>
    <row r="50" spans="1:17" x14ac:dyDescent="0.15">
      <c r="A50" s="157"/>
      <c r="B50" s="157"/>
      <c r="C50" s="157"/>
      <c r="D50" s="157"/>
      <c r="E50" s="157"/>
      <c r="F50" s="157"/>
      <c r="G50" s="157"/>
      <c r="H50" s="157"/>
      <c r="I50" s="157"/>
      <c r="J50" s="157"/>
      <c r="K50" s="157"/>
      <c r="L50" s="158"/>
      <c r="M50" s="157"/>
      <c r="N50" s="157"/>
      <c r="O50" s="157"/>
      <c r="P50" s="157"/>
      <c r="Q50" s="157"/>
    </row>
    <row r="51" spans="1:17" x14ac:dyDescent="0.15">
      <c r="A51" s="157"/>
      <c r="B51" s="157"/>
      <c r="C51" s="157"/>
      <c r="D51" s="157"/>
      <c r="E51" s="157"/>
      <c r="F51" s="157"/>
      <c r="G51" s="157"/>
      <c r="H51" s="157"/>
      <c r="I51" s="157"/>
      <c r="J51" s="157"/>
      <c r="K51" s="157"/>
      <c r="L51" s="158"/>
      <c r="M51" s="157"/>
      <c r="N51" s="157"/>
      <c r="O51" s="157"/>
      <c r="P51" s="157"/>
      <c r="Q51" s="157"/>
    </row>
    <row r="52" spans="1:17" x14ac:dyDescent="0.15">
      <c r="A52" s="157"/>
      <c r="B52" s="157"/>
      <c r="C52" s="157"/>
      <c r="D52" s="157"/>
      <c r="E52" s="157"/>
      <c r="F52" s="157"/>
      <c r="G52" s="157"/>
      <c r="H52" s="157"/>
      <c r="I52" s="157"/>
      <c r="J52" s="157"/>
      <c r="K52" s="157"/>
      <c r="L52" s="158"/>
      <c r="M52" s="157"/>
      <c r="N52" s="157"/>
      <c r="O52" s="157"/>
      <c r="P52" s="157"/>
      <c r="Q52" s="157"/>
    </row>
    <row r="53" spans="1:17" x14ac:dyDescent="0.15">
      <c r="A53" s="157"/>
      <c r="B53" s="157"/>
      <c r="C53" s="157"/>
      <c r="D53" s="157"/>
      <c r="E53" s="157"/>
      <c r="F53" s="157"/>
      <c r="G53" s="157"/>
      <c r="H53" s="157"/>
      <c r="I53" s="157"/>
      <c r="J53" s="157"/>
      <c r="K53" s="157"/>
      <c r="L53" s="158"/>
      <c r="M53" s="157"/>
      <c r="N53" s="157"/>
      <c r="O53" s="157"/>
      <c r="P53" s="157"/>
      <c r="Q53" s="157"/>
    </row>
    <row r="54" spans="1:17" x14ac:dyDescent="0.15">
      <c r="A54" s="157"/>
      <c r="B54" s="157"/>
      <c r="C54" s="157"/>
      <c r="D54" s="157"/>
      <c r="E54" s="157"/>
      <c r="F54" s="157"/>
      <c r="G54" s="157"/>
      <c r="H54" s="157"/>
      <c r="I54" s="157"/>
      <c r="J54" s="157"/>
      <c r="K54" s="157"/>
      <c r="L54" s="158"/>
      <c r="M54" s="157"/>
      <c r="N54" s="157"/>
      <c r="O54" s="157"/>
      <c r="P54" s="157"/>
      <c r="Q54" s="157"/>
    </row>
    <row r="55" spans="1:17" x14ac:dyDescent="0.15">
      <c r="A55" s="157"/>
      <c r="B55" s="157"/>
      <c r="C55" s="157"/>
      <c r="D55" s="157"/>
      <c r="E55" s="157"/>
      <c r="F55" s="157"/>
      <c r="G55" s="157"/>
      <c r="H55" s="157"/>
      <c r="I55" s="157"/>
      <c r="J55" s="157"/>
      <c r="K55" s="157"/>
      <c r="L55" s="158"/>
      <c r="M55" s="157"/>
      <c r="N55" s="157"/>
      <c r="O55" s="157"/>
      <c r="P55" s="157"/>
      <c r="Q55" s="157"/>
    </row>
    <row r="56" spans="1:17" x14ac:dyDescent="0.15">
      <c r="A56" s="157"/>
      <c r="B56" s="157"/>
      <c r="C56" s="157"/>
      <c r="D56" s="157"/>
      <c r="E56" s="157"/>
      <c r="F56" s="157"/>
      <c r="G56" s="157"/>
      <c r="H56" s="157"/>
      <c r="I56" s="157"/>
      <c r="J56" s="157"/>
      <c r="K56" s="157"/>
      <c r="L56" s="158"/>
      <c r="M56" s="157"/>
      <c r="N56" s="157"/>
      <c r="O56" s="157"/>
      <c r="P56" s="157"/>
      <c r="Q56" s="157"/>
    </row>
    <row r="57" spans="1:17" x14ac:dyDescent="0.15">
      <c r="A57" s="157"/>
      <c r="B57" s="157"/>
      <c r="C57" s="157"/>
      <c r="D57" s="157"/>
      <c r="E57" s="157"/>
      <c r="F57" s="157"/>
      <c r="G57" s="157"/>
      <c r="H57" s="157"/>
      <c r="I57" s="157"/>
      <c r="J57" s="157"/>
      <c r="K57" s="157"/>
      <c r="L57" s="158"/>
      <c r="M57" s="157"/>
      <c r="N57" s="157"/>
      <c r="O57" s="157"/>
      <c r="P57" s="157"/>
      <c r="Q57" s="157"/>
    </row>
  </sheetData>
  <mergeCells count="2">
    <mergeCell ref="N5:P5"/>
    <mergeCell ref="D5:K5"/>
  </mergeCells>
  <pageMargins left="0.7" right="0.7" top="0.75" bottom="0.75" header="0.3" footer="0.3"/>
  <pageSetup scale="55"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FB05B5-63D1-4E60-8544-1DDECA6519A7}">
  <sheetPr>
    <tabColor rgb="FF92D050"/>
  </sheetPr>
  <dimension ref="A2:G111"/>
  <sheetViews>
    <sheetView view="pageBreakPreview" topLeftCell="A99" zoomScale="85" zoomScaleNormal="100" zoomScaleSheetLayoutView="85" workbookViewId="0">
      <selection activeCell="I79" sqref="I79:N92"/>
    </sheetView>
  </sheetViews>
  <sheetFormatPr baseColWidth="10" defaultColWidth="11.625" defaultRowHeight="16.5" x14ac:dyDescent="0.3"/>
  <cols>
    <col min="1" max="1" width="11.625" style="420"/>
    <col min="2" max="2" width="39.875" style="420" bestFit="1" customWidth="1"/>
    <col min="3" max="3" width="11" style="420" bestFit="1" customWidth="1"/>
    <col min="4" max="5" width="12.75" style="420" bestFit="1" customWidth="1"/>
    <col min="6" max="6" width="15.25" style="420" customWidth="1"/>
    <col min="7" max="7" width="11.625" style="420"/>
    <col min="8" max="16384" width="11.625" style="377"/>
  </cols>
  <sheetData>
    <row r="2" spans="2:6" ht="18" x14ac:dyDescent="0.3">
      <c r="B2" s="898" t="s">
        <v>1078</v>
      </c>
      <c r="C2" s="899"/>
      <c r="D2" s="899"/>
      <c r="E2" s="899"/>
      <c r="F2" s="900"/>
    </row>
    <row r="3" spans="2:6" x14ac:dyDescent="0.3">
      <c r="B3" s="419"/>
      <c r="C3" s="412"/>
      <c r="D3" s="412"/>
      <c r="E3" s="412"/>
      <c r="F3" s="413"/>
    </row>
    <row r="4" spans="2:6" x14ac:dyDescent="0.3">
      <c r="B4" s="167" t="s">
        <v>1079</v>
      </c>
      <c r="C4" s="167" t="s">
        <v>147</v>
      </c>
      <c r="D4" s="167" t="s">
        <v>1080</v>
      </c>
      <c r="F4" s="413"/>
    </row>
    <row r="5" spans="2:6" x14ac:dyDescent="0.3">
      <c r="B5" s="414" t="s">
        <v>469</v>
      </c>
      <c r="C5" s="393" t="s">
        <v>317</v>
      </c>
      <c r="D5" s="418">
        <f>VLOOKUP(B5,INSUMOS!$B$2:$D$299,3,0)/50</f>
        <v>800</v>
      </c>
      <c r="F5" s="413"/>
    </row>
    <row r="6" spans="2:6" x14ac:dyDescent="0.3">
      <c r="B6" s="415" t="s">
        <v>1081</v>
      </c>
      <c r="C6" s="394" t="s">
        <v>1082</v>
      </c>
      <c r="D6" s="418">
        <f>VLOOKUP(B6,INSUMOS!$B$2:$D$299,3,0)</f>
        <v>133000</v>
      </c>
      <c r="F6" s="413"/>
    </row>
    <row r="7" spans="2:6" x14ac:dyDescent="0.3">
      <c r="B7" s="415" t="s">
        <v>776</v>
      </c>
      <c r="C7" s="394" t="s">
        <v>1082</v>
      </c>
      <c r="D7" s="418">
        <f>VLOOKUP(B7,INSUMOS!$B$2:$D$495,3,0)</f>
        <v>85000</v>
      </c>
      <c r="F7" s="413"/>
    </row>
    <row r="8" spans="2:6" x14ac:dyDescent="0.3">
      <c r="B8" s="415" t="s">
        <v>1083</v>
      </c>
      <c r="C8" s="394" t="s">
        <v>1082</v>
      </c>
      <c r="D8" s="418">
        <f>VLOOKUP(B8,INSUMOS!$B$2:$D$495,3,0)</f>
        <v>116875.00000000001</v>
      </c>
      <c r="F8" s="413"/>
    </row>
    <row r="9" spans="2:6" x14ac:dyDescent="0.3">
      <c r="B9" s="416" t="s">
        <v>513</v>
      </c>
      <c r="C9" s="394" t="s">
        <v>325</v>
      </c>
      <c r="D9" s="418">
        <f>VLOOKUP(B9,INSUMOS!$B$2:$D$495,3,0)</f>
        <v>120000</v>
      </c>
      <c r="F9" s="413"/>
    </row>
    <row r="10" spans="2:6" x14ac:dyDescent="0.3">
      <c r="B10" s="415"/>
      <c r="C10" s="394"/>
      <c r="D10" s="418"/>
      <c r="F10" s="413"/>
    </row>
    <row r="11" spans="2:6" x14ac:dyDescent="0.3">
      <c r="B11" s="415" t="s">
        <v>679</v>
      </c>
      <c r="C11" s="393" t="s">
        <v>1084</v>
      </c>
      <c r="D11" s="418">
        <f>VLOOKUP(B11,INSUMOS!$B$2:$D$495,3,0)</f>
        <v>68.75</v>
      </c>
      <c r="F11" s="413"/>
    </row>
    <row r="12" spans="2:6" ht="15" customHeight="1" x14ac:dyDescent="0.3">
      <c r="B12" s="411"/>
      <c r="C12" s="412"/>
      <c r="D12" s="412"/>
      <c r="E12" s="412"/>
      <c r="F12" s="413"/>
    </row>
    <row r="13" spans="2:6" ht="15" customHeight="1" x14ac:dyDescent="0.3">
      <c r="B13" s="392" t="s">
        <v>1085</v>
      </c>
      <c r="C13" s="249"/>
      <c r="D13" s="412"/>
      <c r="E13" s="412"/>
      <c r="F13" s="413"/>
    </row>
    <row r="14" spans="2:6" ht="15" customHeight="1" x14ac:dyDescent="0.3">
      <c r="B14" s="417" t="s">
        <v>1079</v>
      </c>
      <c r="C14" s="417" t="s">
        <v>147</v>
      </c>
      <c r="D14" s="417" t="s">
        <v>1086</v>
      </c>
      <c r="E14" s="417" t="s">
        <v>1080</v>
      </c>
      <c r="F14" s="417" t="s">
        <v>1087</v>
      </c>
    </row>
    <row r="15" spans="2:6" ht="15" customHeight="1" x14ac:dyDescent="0.3">
      <c r="B15" s="394" t="s">
        <v>469</v>
      </c>
      <c r="C15" s="394" t="s">
        <v>317</v>
      </c>
      <c r="D15" s="394">
        <v>680</v>
      </c>
      <c r="E15" s="418">
        <f>+$D$5</f>
        <v>800</v>
      </c>
      <c r="F15" s="421">
        <f>+E15*D15</f>
        <v>544000</v>
      </c>
    </row>
    <row r="16" spans="2:6" ht="15" customHeight="1" x14ac:dyDescent="0.3">
      <c r="B16" s="394" t="s">
        <v>1081</v>
      </c>
      <c r="C16" s="394" t="s">
        <v>1082</v>
      </c>
      <c r="D16" s="394">
        <v>0.73</v>
      </c>
      <c r="E16" s="418">
        <f>+$D$6</f>
        <v>133000</v>
      </c>
      <c r="F16" s="421">
        <f t="shared" ref="F16:F17" si="0">+E16*D16</f>
        <v>97090</v>
      </c>
    </row>
    <row r="17" spans="2:6" ht="15" customHeight="1" x14ac:dyDescent="0.3">
      <c r="B17" s="394" t="s">
        <v>679</v>
      </c>
      <c r="C17" s="393" t="s">
        <v>1088</v>
      </c>
      <c r="D17" s="394">
        <v>240</v>
      </c>
      <c r="E17" s="421">
        <f>+$D$11</f>
        <v>68.75</v>
      </c>
      <c r="F17" s="421">
        <f t="shared" si="0"/>
        <v>16500</v>
      </c>
    </row>
    <row r="18" spans="2:6" ht="15" customHeight="1" x14ac:dyDescent="0.3">
      <c r="B18" s="901" t="s">
        <v>242</v>
      </c>
      <c r="C18" s="902"/>
      <c r="D18" s="902"/>
      <c r="E18" s="903"/>
      <c r="F18" s="424">
        <f>SUM(F15:F17)</f>
        <v>657590</v>
      </c>
    </row>
    <row r="19" spans="2:6" ht="15" customHeight="1" x14ac:dyDescent="0.3">
      <c r="B19" s="411"/>
      <c r="C19" s="412"/>
      <c r="D19" s="412"/>
      <c r="E19" s="412"/>
      <c r="F19" s="413"/>
    </row>
    <row r="20" spans="2:6" x14ac:dyDescent="0.3">
      <c r="B20" s="392" t="s">
        <v>1089</v>
      </c>
      <c r="C20" s="249"/>
      <c r="D20" s="412"/>
      <c r="E20" s="412"/>
      <c r="F20" s="413"/>
    </row>
    <row r="21" spans="2:6" x14ac:dyDescent="0.3">
      <c r="B21" s="417" t="s">
        <v>1079</v>
      </c>
      <c r="C21" s="417" t="s">
        <v>147</v>
      </c>
      <c r="D21" s="417" t="s">
        <v>1086</v>
      </c>
      <c r="E21" s="417" t="s">
        <v>1080</v>
      </c>
      <c r="F21" s="417" t="s">
        <v>1087</v>
      </c>
    </row>
    <row r="22" spans="2:6" ht="14.45" customHeight="1" x14ac:dyDescent="0.3">
      <c r="B22" s="394" t="s">
        <v>469</v>
      </c>
      <c r="C22" s="394" t="s">
        <v>317</v>
      </c>
      <c r="D22" s="394">
        <v>454</v>
      </c>
      <c r="E22" s="418">
        <f>+$D$5</f>
        <v>800</v>
      </c>
      <c r="F22" s="421">
        <f>+E22*D22</f>
        <v>363200</v>
      </c>
    </row>
    <row r="23" spans="2:6" ht="14.45" customHeight="1" x14ac:dyDescent="0.3">
      <c r="B23" s="394" t="s">
        <v>1081</v>
      </c>
      <c r="C23" s="394" t="s">
        <v>1082</v>
      </c>
      <c r="D23" s="394">
        <v>1.0900000000000001</v>
      </c>
      <c r="E23" s="418">
        <f>+$D$6</f>
        <v>133000</v>
      </c>
      <c r="F23" s="421">
        <f t="shared" ref="F23:F24" si="1">+E23*D23</f>
        <v>144970</v>
      </c>
    </row>
    <row r="24" spans="2:6" ht="14.45" customHeight="1" x14ac:dyDescent="0.3">
      <c r="B24" s="394" t="s">
        <v>679</v>
      </c>
      <c r="C24" s="393" t="s">
        <v>1088</v>
      </c>
      <c r="D24" s="394">
        <v>230</v>
      </c>
      <c r="E24" s="421">
        <f>+$D$11</f>
        <v>68.75</v>
      </c>
      <c r="F24" s="421">
        <f t="shared" si="1"/>
        <v>15812.5</v>
      </c>
    </row>
    <row r="25" spans="2:6" ht="14.45" customHeight="1" x14ac:dyDescent="0.3">
      <c r="B25" s="901" t="s">
        <v>242</v>
      </c>
      <c r="C25" s="902"/>
      <c r="D25" s="902"/>
      <c r="E25" s="903"/>
      <c r="F25" s="424">
        <f>SUM(F22:F24)</f>
        <v>523982.5</v>
      </c>
    </row>
    <row r="26" spans="2:6" x14ac:dyDescent="0.3">
      <c r="B26" s="419"/>
      <c r="C26" s="412"/>
      <c r="D26" s="412"/>
      <c r="E26" s="412"/>
      <c r="F26" s="413"/>
    </row>
    <row r="27" spans="2:6" x14ac:dyDescent="0.3">
      <c r="B27" s="392" t="s">
        <v>1090</v>
      </c>
      <c r="C27" s="249"/>
      <c r="D27" s="412"/>
      <c r="E27" s="412"/>
      <c r="F27" s="413"/>
    </row>
    <row r="28" spans="2:6" x14ac:dyDescent="0.3">
      <c r="B28" s="417" t="s">
        <v>1079</v>
      </c>
      <c r="C28" s="417" t="s">
        <v>147</v>
      </c>
      <c r="D28" s="417" t="s">
        <v>1086</v>
      </c>
      <c r="E28" s="417" t="s">
        <v>1080</v>
      </c>
      <c r="F28" s="417" t="s">
        <v>1087</v>
      </c>
    </row>
    <row r="29" spans="2:6" ht="14.45" customHeight="1" x14ac:dyDescent="0.3">
      <c r="B29" s="394" t="s">
        <v>469</v>
      </c>
      <c r="C29" s="394" t="s">
        <v>317</v>
      </c>
      <c r="D29" s="394">
        <v>364</v>
      </c>
      <c r="E29" s="418">
        <f>+$D$5</f>
        <v>800</v>
      </c>
      <c r="F29" s="421">
        <f>+E29*D29</f>
        <v>291200</v>
      </c>
    </row>
    <row r="30" spans="2:6" ht="14.45" customHeight="1" x14ac:dyDescent="0.3">
      <c r="B30" s="394" t="s">
        <v>776</v>
      </c>
      <c r="C30" s="394" t="s">
        <v>1082</v>
      </c>
      <c r="D30" s="394">
        <v>1.1200000000000001</v>
      </c>
      <c r="E30" s="418">
        <f>+$D$7</f>
        <v>85000</v>
      </c>
      <c r="F30" s="421">
        <f t="shared" ref="F30:F31" si="2">+E30*D30</f>
        <v>95200.000000000015</v>
      </c>
    </row>
    <row r="31" spans="2:6" ht="14.45" customHeight="1" x14ac:dyDescent="0.3">
      <c r="B31" s="394" t="s">
        <v>1091</v>
      </c>
      <c r="C31" s="393" t="s">
        <v>1088</v>
      </c>
      <c r="D31" s="394">
        <v>220</v>
      </c>
      <c r="E31" s="421">
        <f>+$D$11</f>
        <v>68.75</v>
      </c>
      <c r="F31" s="421">
        <f t="shared" si="2"/>
        <v>15125</v>
      </c>
    </row>
    <row r="32" spans="2:6" ht="14.45" customHeight="1" x14ac:dyDescent="0.3">
      <c r="B32" s="901" t="s">
        <v>242</v>
      </c>
      <c r="C32" s="902"/>
      <c r="D32" s="902"/>
      <c r="E32" s="903"/>
      <c r="F32" s="424">
        <f>SUM(F29:F31)</f>
        <v>401525</v>
      </c>
    </row>
    <row r="33" spans="2:6" x14ac:dyDescent="0.3">
      <c r="B33" s="419"/>
      <c r="C33" s="412"/>
      <c r="D33" s="412"/>
      <c r="E33" s="412"/>
      <c r="F33" s="413"/>
    </row>
    <row r="34" spans="2:6" x14ac:dyDescent="0.3">
      <c r="B34" s="392" t="s">
        <v>1092</v>
      </c>
      <c r="C34" s="249"/>
      <c r="D34" s="412"/>
      <c r="E34" s="412"/>
      <c r="F34" s="413"/>
    </row>
    <row r="35" spans="2:6" x14ac:dyDescent="0.3">
      <c r="B35" s="417" t="s">
        <v>1079</v>
      </c>
      <c r="C35" s="417" t="s">
        <v>147</v>
      </c>
      <c r="D35" s="417" t="s">
        <v>1086</v>
      </c>
      <c r="E35" s="417" t="s">
        <v>1080</v>
      </c>
      <c r="F35" s="417" t="s">
        <v>1087</v>
      </c>
    </row>
    <row r="36" spans="2:6" ht="14.45" customHeight="1" x14ac:dyDescent="0.3">
      <c r="B36" s="394" t="s">
        <v>469</v>
      </c>
      <c r="C36" s="394" t="s">
        <v>317</v>
      </c>
      <c r="D36" s="394">
        <v>302</v>
      </c>
      <c r="E36" s="418">
        <f>+$D$5</f>
        <v>800</v>
      </c>
      <c r="F36" s="421">
        <f>+E36*D36</f>
        <v>241600</v>
      </c>
    </row>
    <row r="37" spans="2:6" ht="14.45" customHeight="1" x14ac:dyDescent="0.3">
      <c r="B37" s="394" t="s">
        <v>776</v>
      </c>
      <c r="C37" s="394" t="s">
        <v>1082</v>
      </c>
      <c r="D37" s="394">
        <v>1.1499999999999999</v>
      </c>
      <c r="E37" s="418">
        <f>+$D$7</f>
        <v>85000</v>
      </c>
      <c r="F37" s="421">
        <f t="shared" ref="F37:F38" si="3">+E37*D37</f>
        <v>97749.999999999985</v>
      </c>
    </row>
    <row r="38" spans="2:6" ht="14.45" customHeight="1" x14ac:dyDescent="0.3">
      <c r="B38" s="394" t="s">
        <v>1091</v>
      </c>
      <c r="C38" s="393" t="s">
        <v>1088</v>
      </c>
      <c r="D38" s="394">
        <v>210</v>
      </c>
      <c r="E38" s="421">
        <f>+$D$11</f>
        <v>68.75</v>
      </c>
      <c r="F38" s="421">
        <f t="shared" si="3"/>
        <v>14437.5</v>
      </c>
    </row>
    <row r="39" spans="2:6" ht="14.45" customHeight="1" x14ac:dyDescent="0.3">
      <c r="B39" s="901" t="s">
        <v>242</v>
      </c>
      <c r="C39" s="902"/>
      <c r="D39" s="902"/>
      <c r="E39" s="903"/>
      <c r="F39" s="424">
        <f>SUM(F36:F38)</f>
        <v>353787.5</v>
      </c>
    </row>
    <row r="40" spans="2:6" x14ac:dyDescent="0.3">
      <c r="B40" s="419"/>
      <c r="C40" s="412"/>
      <c r="D40" s="412"/>
      <c r="E40" s="412"/>
      <c r="F40" s="413"/>
    </row>
    <row r="41" spans="2:6" x14ac:dyDescent="0.3">
      <c r="B41" s="392" t="s">
        <v>1093</v>
      </c>
      <c r="C41" s="392" t="s">
        <v>1094</v>
      </c>
      <c r="D41" s="412"/>
      <c r="E41" s="412"/>
      <c r="F41" s="413"/>
    </row>
    <row r="42" spans="2:6" x14ac:dyDescent="0.3">
      <c r="B42" s="417" t="s">
        <v>1079</v>
      </c>
      <c r="C42" s="417" t="s">
        <v>147</v>
      </c>
      <c r="D42" s="417" t="s">
        <v>1086</v>
      </c>
      <c r="E42" s="417" t="s">
        <v>1080</v>
      </c>
      <c r="F42" s="417" t="s">
        <v>1087</v>
      </c>
    </row>
    <row r="43" spans="2:6" ht="14.45" customHeight="1" x14ac:dyDescent="0.3">
      <c r="B43" s="394" t="s">
        <v>1095</v>
      </c>
      <c r="C43" s="394" t="s">
        <v>317</v>
      </c>
      <c r="D43" s="394">
        <v>440</v>
      </c>
      <c r="E43" s="418">
        <f>+$D$5</f>
        <v>800</v>
      </c>
      <c r="F43" s="421">
        <f t="shared" ref="F43:F47" si="4">+E43*D43</f>
        <v>352000</v>
      </c>
    </row>
    <row r="44" spans="2:6" ht="14.45" customHeight="1" x14ac:dyDescent="0.3">
      <c r="B44" s="394" t="s">
        <v>1081</v>
      </c>
      <c r="C44" s="394" t="s">
        <v>1082</v>
      </c>
      <c r="D44" s="394">
        <v>0.5</v>
      </c>
      <c r="E44" s="418">
        <f>+$D$6</f>
        <v>133000</v>
      </c>
      <c r="F44" s="421">
        <f t="shared" si="4"/>
        <v>66500</v>
      </c>
    </row>
    <row r="45" spans="2:6" ht="14.45" customHeight="1" x14ac:dyDescent="0.3">
      <c r="B45" s="423" t="s">
        <v>1083</v>
      </c>
      <c r="C45" s="394" t="s">
        <v>1082</v>
      </c>
      <c r="D45" s="394">
        <v>0.75</v>
      </c>
      <c r="E45" s="418">
        <f>+$D$8</f>
        <v>116875.00000000001</v>
      </c>
      <c r="F45" s="421">
        <f t="shared" si="4"/>
        <v>87656.250000000015</v>
      </c>
    </row>
    <row r="46" spans="2:6" ht="14.45" customHeight="1" x14ac:dyDescent="0.3">
      <c r="B46" s="394" t="s">
        <v>513</v>
      </c>
      <c r="C46" s="394" t="s">
        <v>1096</v>
      </c>
      <c r="D46" s="394">
        <v>0.13</v>
      </c>
      <c r="E46" s="422">
        <f>+$D$9</f>
        <v>120000</v>
      </c>
      <c r="F46" s="421">
        <f t="shared" si="4"/>
        <v>15600</v>
      </c>
    </row>
    <row r="47" spans="2:6" ht="14.45" customHeight="1" x14ac:dyDescent="0.3">
      <c r="B47" s="394" t="s">
        <v>1097</v>
      </c>
      <c r="C47" s="393" t="s">
        <v>1088</v>
      </c>
      <c r="D47" s="394">
        <v>260</v>
      </c>
      <c r="E47" s="421">
        <f>+$D$11</f>
        <v>68.75</v>
      </c>
      <c r="F47" s="421">
        <f t="shared" si="4"/>
        <v>17875</v>
      </c>
    </row>
    <row r="48" spans="2:6" ht="14.45" customHeight="1" x14ac:dyDescent="0.3">
      <c r="B48" s="901" t="s">
        <v>242</v>
      </c>
      <c r="C48" s="902"/>
      <c r="D48" s="902"/>
      <c r="E48" s="903"/>
      <c r="F48" s="424">
        <f>SUM(F43:F47)</f>
        <v>539631.25</v>
      </c>
    </row>
    <row r="49" spans="2:6" x14ac:dyDescent="0.3">
      <c r="B49" s="419"/>
      <c r="C49" s="412"/>
      <c r="D49" s="412"/>
      <c r="E49" s="412"/>
      <c r="F49" s="413"/>
    </row>
    <row r="50" spans="2:6" x14ac:dyDescent="0.3">
      <c r="B50" s="392" t="s">
        <v>1098</v>
      </c>
      <c r="C50" s="392" t="s">
        <v>1099</v>
      </c>
      <c r="D50" s="412"/>
      <c r="E50" s="412"/>
      <c r="F50" s="413"/>
    </row>
    <row r="51" spans="2:6" x14ac:dyDescent="0.3">
      <c r="B51" s="417" t="s">
        <v>1079</v>
      </c>
      <c r="C51" s="417" t="s">
        <v>147</v>
      </c>
      <c r="D51" s="417" t="s">
        <v>1086</v>
      </c>
      <c r="E51" s="417" t="s">
        <v>1080</v>
      </c>
      <c r="F51" s="417" t="s">
        <v>1087</v>
      </c>
    </row>
    <row r="52" spans="2:6" ht="14.45" customHeight="1" x14ac:dyDescent="0.3">
      <c r="B52" s="394" t="s">
        <v>1095</v>
      </c>
      <c r="C52" s="394" t="s">
        <v>317</v>
      </c>
      <c r="D52" s="394">
        <v>380</v>
      </c>
      <c r="E52" s="418">
        <f>+$D$5</f>
        <v>800</v>
      </c>
      <c r="F52" s="421">
        <f t="shared" ref="F52" si="5">+E52*D52</f>
        <v>304000</v>
      </c>
    </row>
    <row r="53" spans="2:6" ht="14.45" customHeight="1" x14ac:dyDescent="0.3">
      <c r="B53" s="394" t="s">
        <v>1081</v>
      </c>
      <c r="C53" s="394" t="s">
        <v>1082</v>
      </c>
      <c r="D53" s="394">
        <v>0.6</v>
      </c>
      <c r="E53" s="418">
        <f>+$D$6</f>
        <v>133000</v>
      </c>
      <c r="F53" s="421">
        <f t="shared" ref="F53:F56" si="6">+E53*D53</f>
        <v>79800</v>
      </c>
    </row>
    <row r="54" spans="2:6" ht="14.45" customHeight="1" x14ac:dyDescent="0.3">
      <c r="B54" s="423" t="s">
        <v>1083</v>
      </c>
      <c r="C54" s="394" t="s">
        <v>1082</v>
      </c>
      <c r="D54" s="394">
        <v>0.76</v>
      </c>
      <c r="E54" s="418">
        <f>+$D$8</f>
        <v>116875.00000000001</v>
      </c>
      <c r="F54" s="421">
        <f t="shared" si="6"/>
        <v>88825.000000000015</v>
      </c>
    </row>
    <row r="55" spans="2:6" ht="14.45" customHeight="1" x14ac:dyDescent="0.3">
      <c r="B55" s="394" t="s">
        <v>513</v>
      </c>
      <c r="C55" s="394" t="s">
        <v>1096</v>
      </c>
      <c r="D55" s="394">
        <v>0.13</v>
      </c>
      <c r="E55" s="422">
        <f>+$D$9</f>
        <v>120000</v>
      </c>
      <c r="F55" s="421">
        <f t="shared" si="6"/>
        <v>15600</v>
      </c>
    </row>
    <row r="56" spans="2:6" ht="14.45" customHeight="1" x14ac:dyDescent="0.3">
      <c r="B56" s="394" t="s">
        <v>1097</v>
      </c>
      <c r="C56" s="393" t="s">
        <v>1088</v>
      </c>
      <c r="D56" s="394">
        <v>250</v>
      </c>
      <c r="E56" s="421">
        <f>+$D$11</f>
        <v>68.75</v>
      </c>
      <c r="F56" s="421">
        <f t="shared" si="6"/>
        <v>17187.5</v>
      </c>
    </row>
    <row r="57" spans="2:6" ht="14.45" customHeight="1" x14ac:dyDescent="0.3">
      <c r="B57" s="901" t="s">
        <v>242</v>
      </c>
      <c r="C57" s="902"/>
      <c r="D57" s="902"/>
      <c r="E57" s="903"/>
      <c r="F57" s="424">
        <f>SUM(F52:F56)</f>
        <v>505412.5</v>
      </c>
    </row>
    <row r="58" spans="2:6" x14ac:dyDescent="0.3">
      <c r="B58" s="419"/>
      <c r="C58" s="412"/>
      <c r="D58" s="412"/>
      <c r="E58" s="412"/>
      <c r="F58" s="413"/>
    </row>
    <row r="59" spans="2:6" x14ac:dyDescent="0.3">
      <c r="B59" s="419"/>
      <c r="C59" s="412"/>
      <c r="D59" s="412"/>
      <c r="E59" s="412"/>
      <c r="F59" s="413"/>
    </row>
    <row r="60" spans="2:6" x14ac:dyDescent="0.3">
      <c r="B60" s="392" t="s">
        <v>1100</v>
      </c>
      <c r="C60" s="392" t="s">
        <v>1101</v>
      </c>
      <c r="D60" s="412"/>
      <c r="E60" s="412"/>
      <c r="F60" s="413"/>
    </row>
    <row r="61" spans="2:6" x14ac:dyDescent="0.3">
      <c r="B61" s="417" t="s">
        <v>1079</v>
      </c>
      <c r="C61" s="417" t="s">
        <v>147</v>
      </c>
      <c r="D61" s="417" t="s">
        <v>1086</v>
      </c>
      <c r="E61" s="417" t="s">
        <v>1080</v>
      </c>
      <c r="F61" s="417" t="s">
        <v>1087</v>
      </c>
    </row>
    <row r="62" spans="2:6" ht="14.45" customHeight="1" x14ac:dyDescent="0.3">
      <c r="B62" s="394" t="s">
        <v>1095</v>
      </c>
      <c r="C62" s="394" t="s">
        <v>317</v>
      </c>
      <c r="D62" s="394">
        <v>340</v>
      </c>
      <c r="E62" s="418">
        <f>+$D$5</f>
        <v>800</v>
      </c>
      <c r="F62" s="421">
        <f t="shared" ref="F62:F66" si="7">+E62*D62</f>
        <v>272000</v>
      </c>
    </row>
    <row r="63" spans="2:6" ht="14.45" customHeight="1" x14ac:dyDescent="0.3">
      <c r="B63" s="394" t="s">
        <v>1081</v>
      </c>
      <c r="C63" s="394" t="s">
        <v>1082</v>
      </c>
      <c r="D63" s="394">
        <v>0.52</v>
      </c>
      <c r="E63" s="418">
        <f>+$D$6</f>
        <v>133000</v>
      </c>
      <c r="F63" s="421">
        <f t="shared" si="7"/>
        <v>69160</v>
      </c>
    </row>
    <row r="64" spans="2:6" ht="14.45" customHeight="1" x14ac:dyDescent="0.3">
      <c r="B64" s="423" t="s">
        <v>1083</v>
      </c>
      <c r="C64" s="394" t="s">
        <v>1082</v>
      </c>
      <c r="D64" s="394">
        <v>0.78</v>
      </c>
      <c r="E64" s="418">
        <f>+$D$8</f>
        <v>116875.00000000001</v>
      </c>
      <c r="F64" s="421">
        <f t="shared" si="7"/>
        <v>91162.500000000015</v>
      </c>
    </row>
    <row r="65" spans="2:6" ht="14.45" customHeight="1" x14ac:dyDescent="0.3">
      <c r="B65" s="394" t="s">
        <v>513</v>
      </c>
      <c r="C65" s="394" t="s">
        <v>1096</v>
      </c>
      <c r="D65" s="394">
        <v>0.13</v>
      </c>
      <c r="E65" s="422">
        <f>+$D$9</f>
        <v>120000</v>
      </c>
      <c r="F65" s="421">
        <f t="shared" si="7"/>
        <v>15600</v>
      </c>
    </row>
    <row r="66" spans="2:6" ht="14.45" customHeight="1" x14ac:dyDescent="0.3">
      <c r="B66" s="394" t="s">
        <v>1097</v>
      </c>
      <c r="C66" s="393" t="s">
        <v>1088</v>
      </c>
      <c r="D66" s="394">
        <v>190</v>
      </c>
      <c r="E66" s="421">
        <f>+$D$11</f>
        <v>68.75</v>
      </c>
      <c r="F66" s="421">
        <f t="shared" si="7"/>
        <v>13062.5</v>
      </c>
    </row>
    <row r="67" spans="2:6" ht="14.45" customHeight="1" x14ac:dyDescent="0.3">
      <c r="B67" s="901" t="s">
        <v>242</v>
      </c>
      <c r="C67" s="902"/>
      <c r="D67" s="902"/>
      <c r="E67" s="903"/>
      <c r="F67" s="424">
        <f>SUM(F62:F66)</f>
        <v>460985</v>
      </c>
    </row>
    <row r="68" spans="2:6" x14ac:dyDescent="0.3">
      <c r="B68" s="419"/>
      <c r="C68" s="412"/>
      <c r="D68" s="412"/>
      <c r="E68" s="412"/>
      <c r="F68" s="413"/>
    </row>
    <row r="69" spans="2:6" x14ac:dyDescent="0.3">
      <c r="B69" s="419"/>
      <c r="C69" s="412"/>
      <c r="D69" s="412"/>
      <c r="E69" s="412"/>
      <c r="F69" s="413"/>
    </row>
    <row r="70" spans="2:6" x14ac:dyDescent="0.3">
      <c r="B70" s="392" t="s">
        <v>1102</v>
      </c>
      <c r="C70" s="392" t="s">
        <v>1103</v>
      </c>
      <c r="D70" s="412"/>
      <c r="E70" s="412"/>
      <c r="F70" s="413"/>
    </row>
    <row r="71" spans="2:6" x14ac:dyDescent="0.3">
      <c r="B71" s="417" t="s">
        <v>1079</v>
      </c>
      <c r="C71" s="417" t="s">
        <v>147</v>
      </c>
      <c r="D71" s="417" t="s">
        <v>1086</v>
      </c>
      <c r="E71" s="417" t="s">
        <v>1080</v>
      </c>
      <c r="F71" s="417" t="s">
        <v>1087</v>
      </c>
    </row>
    <row r="72" spans="2:6" ht="14.45" customHeight="1" x14ac:dyDescent="0.3">
      <c r="B72" s="394" t="s">
        <v>1095</v>
      </c>
      <c r="C72" s="394" t="s">
        <v>317</v>
      </c>
      <c r="D72" s="394">
        <v>280</v>
      </c>
      <c r="E72" s="418">
        <f>+$D$5</f>
        <v>800</v>
      </c>
      <c r="F72" s="421">
        <f t="shared" ref="F72:F76" si="8">+E72*D72</f>
        <v>224000</v>
      </c>
    </row>
    <row r="73" spans="2:6" ht="14.45" customHeight="1" x14ac:dyDescent="0.3">
      <c r="B73" s="394" t="s">
        <v>1081</v>
      </c>
      <c r="C73" s="394" t="s">
        <v>1082</v>
      </c>
      <c r="D73" s="394">
        <v>0.55000000000000004</v>
      </c>
      <c r="E73" s="418">
        <f>+$D$6</f>
        <v>133000</v>
      </c>
      <c r="F73" s="421">
        <f t="shared" si="8"/>
        <v>73150</v>
      </c>
    </row>
    <row r="74" spans="2:6" ht="14.45" customHeight="1" x14ac:dyDescent="0.3">
      <c r="B74" s="423" t="s">
        <v>1083</v>
      </c>
      <c r="C74" s="394" t="s">
        <v>1082</v>
      </c>
      <c r="D74" s="394">
        <v>0.82</v>
      </c>
      <c r="E74" s="418">
        <f>+$D$8</f>
        <v>116875.00000000001</v>
      </c>
      <c r="F74" s="421">
        <f t="shared" si="8"/>
        <v>95837.5</v>
      </c>
    </row>
    <row r="75" spans="2:6" ht="14.45" customHeight="1" x14ac:dyDescent="0.3">
      <c r="B75" s="394" t="s">
        <v>513</v>
      </c>
      <c r="C75" s="394" t="s">
        <v>1096</v>
      </c>
      <c r="D75" s="394">
        <v>0.13</v>
      </c>
      <c r="E75" s="422">
        <f>+$D$9</f>
        <v>120000</v>
      </c>
      <c r="F75" s="421">
        <f t="shared" si="8"/>
        <v>15600</v>
      </c>
    </row>
    <row r="76" spans="2:6" ht="14.45" customHeight="1" x14ac:dyDescent="0.3">
      <c r="B76" s="394" t="s">
        <v>1097</v>
      </c>
      <c r="C76" s="393" t="s">
        <v>1088</v>
      </c>
      <c r="D76" s="394">
        <v>180</v>
      </c>
      <c r="E76" s="421">
        <f>+$D$11</f>
        <v>68.75</v>
      </c>
      <c r="F76" s="421">
        <f t="shared" si="8"/>
        <v>12375</v>
      </c>
    </row>
    <row r="77" spans="2:6" ht="14.45" customHeight="1" x14ac:dyDescent="0.3">
      <c r="B77" s="901" t="s">
        <v>242</v>
      </c>
      <c r="C77" s="902"/>
      <c r="D77" s="902"/>
      <c r="E77" s="903"/>
      <c r="F77" s="424">
        <f>SUM(F72:F76)</f>
        <v>420962.5</v>
      </c>
    </row>
    <row r="78" spans="2:6" x14ac:dyDescent="0.3">
      <c r="B78" s="419"/>
      <c r="C78" s="412"/>
      <c r="D78" s="412"/>
      <c r="E78" s="412"/>
      <c r="F78" s="413"/>
    </row>
    <row r="79" spans="2:6" x14ac:dyDescent="0.3">
      <c r="B79" s="419"/>
      <c r="C79" s="412"/>
      <c r="D79" s="412"/>
      <c r="E79" s="412"/>
      <c r="F79" s="413"/>
    </row>
    <row r="80" spans="2:6" x14ac:dyDescent="0.3">
      <c r="B80" s="392" t="s">
        <v>1104</v>
      </c>
      <c r="C80" s="392" t="s">
        <v>1105</v>
      </c>
      <c r="D80" s="412"/>
      <c r="E80" s="412"/>
      <c r="F80" s="413"/>
    </row>
    <row r="81" spans="2:6" x14ac:dyDescent="0.3">
      <c r="B81" s="417" t="s">
        <v>1079</v>
      </c>
      <c r="C81" s="417" t="s">
        <v>147</v>
      </c>
      <c r="D81" s="417" t="s">
        <v>1086</v>
      </c>
      <c r="E81" s="417" t="s">
        <v>1080</v>
      </c>
      <c r="F81" s="417" t="s">
        <v>1087</v>
      </c>
    </row>
    <row r="82" spans="2:6" ht="14.45" customHeight="1" x14ac:dyDescent="0.3">
      <c r="B82" s="394" t="s">
        <v>1095</v>
      </c>
      <c r="C82" s="394" t="s">
        <v>317</v>
      </c>
      <c r="D82" s="394">
        <v>230</v>
      </c>
      <c r="E82" s="418">
        <f>+$D$5</f>
        <v>800</v>
      </c>
      <c r="F82" s="421">
        <f t="shared" ref="F82:F86" si="9">+E82*D82</f>
        <v>184000</v>
      </c>
    </row>
    <row r="83" spans="2:6" ht="14.45" customHeight="1" x14ac:dyDescent="0.3">
      <c r="B83" s="394" t="s">
        <v>1081</v>
      </c>
      <c r="C83" s="394" t="s">
        <v>1082</v>
      </c>
      <c r="D83" s="394">
        <v>0.57999999999999996</v>
      </c>
      <c r="E83" s="418">
        <f>+$D$6</f>
        <v>133000</v>
      </c>
      <c r="F83" s="421">
        <f t="shared" si="9"/>
        <v>77140</v>
      </c>
    </row>
    <row r="84" spans="2:6" ht="14.45" customHeight="1" x14ac:dyDescent="0.3">
      <c r="B84" s="423" t="s">
        <v>1083</v>
      </c>
      <c r="C84" s="394" t="s">
        <v>1082</v>
      </c>
      <c r="D84" s="394">
        <v>0.88</v>
      </c>
      <c r="E84" s="418">
        <f>+$D$8</f>
        <v>116875.00000000001</v>
      </c>
      <c r="F84" s="421">
        <f t="shared" si="9"/>
        <v>102850.00000000001</v>
      </c>
    </row>
    <row r="85" spans="2:6" ht="14.45" customHeight="1" x14ac:dyDescent="0.3">
      <c r="B85" s="394" t="s">
        <v>513</v>
      </c>
      <c r="C85" s="394" t="s">
        <v>1096</v>
      </c>
      <c r="D85" s="394">
        <v>0.13</v>
      </c>
      <c r="E85" s="422">
        <f>+$D$9</f>
        <v>120000</v>
      </c>
      <c r="F85" s="421">
        <f t="shared" si="9"/>
        <v>15600</v>
      </c>
    </row>
    <row r="86" spans="2:6" ht="14.45" customHeight="1" x14ac:dyDescent="0.3">
      <c r="B86" s="394" t="s">
        <v>1097</v>
      </c>
      <c r="C86" s="393" t="s">
        <v>1088</v>
      </c>
      <c r="D86" s="394">
        <v>180</v>
      </c>
      <c r="E86" s="421">
        <f>+$D$11</f>
        <v>68.75</v>
      </c>
      <c r="F86" s="421">
        <f t="shared" si="9"/>
        <v>12375</v>
      </c>
    </row>
    <row r="87" spans="2:6" ht="14.45" customHeight="1" x14ac:dyDescent="0.3">
      <c r="B87" s="901" t="s">
        <v>242</v>
      </c>
      <c r="C87" s="902"/>
      <c r="D87" s="902"/>
      <c r="E87" s="903"/>
      <c r="F87" s="424">
        <f>SUM(F82:F86)</f>
        <v>391965</v>
      </c>
    </row>
    <row r="88" spans="2:6" x14ac:dyDescent="0.3">
      <c r="B88" s="419"/>
      <c r="C88" s="412"/>
      <c r="D88" s="412"/>
      <c r="E88" s="412"/>
      <c r="F88" s="413"/>
    </row>
    <row r="89" spans="2:6" x14ac:dyDescent="0.3">
      <c r="B89" s="419"/>
      <c r="C89" s="412"/>
      <c r="D89" s="412"/>
      <c r="E89" s="412"/>
      <c r="F89" s="413"/>
    </row>
    <row r="90" spans="2:6" x14ac:dyDescent="0.3">
      <c r="B90" s="392" t="s">
        <v>1106</v>
      </c>
      <c r="C90" s="392" t="s">
        <v>1107</v>
      </c>
      <c r="D90" s="412"/>
      <c r="E90" s="412"/>
      <c r="F90" s="413"/>
    </row>
    <row r="91" spans="2:6" x14ac:dyDescent="0.3">
      <c r="B91" s="417" t="s">
        <v>1079</v>
      </c>
      <c r="C91" s="417" t="s">
        <v>147</v>
      </c>
      <c r="D91" s="417" t="s">
        <v>1086</v>
      </c>
      <c r="E91" s="417" t="s">
        <v>1080</v>
      </c>
      <c r="F91" s="417" t="s">
        <v>1087</v>
      </c>
    </row>
    <row r="92" spans="2:6" ht="14.45" customHeight="1" x14ac:dyDescent="0.3">
      <c r="B92" s="394" t="s">
        <v>1095</v>
      </c>
      <c r="C92" s="394" t="s">
        <v>317</v>
      </c>
      <c r="D92" s="394">
        <v>180</v>
      </c>
      <c r="E92" s="418">
        <f>+$D$5</f>
        <v>800</v>
      </c>
      <c r="F92" s="421">
        <f t="shared" ref="F92:F96" si="10">+E92*D92</f>
        <v>144000</v>
      </c>
    </row>
    <row r="93" spans="2:6" ht="14.45" customHeight="1" x14ac:dyDescent="0.3">
      <c r="B93" s="394" t="s">
        <v>1081</v>
      </c>
      <c r="C93" s="394" t="s">
        <v>1082</v>
      </c>
      <c r="D93" s="394">
        <v>0.62</v>
      </c>
      <c r="E93" s="418">
        <f>+$D$6</f>
        <v>133000</v>
      </c>
      <c r="F93" s="421">
        <f t="shared" si="10"/>
        <v>82460</v>
      </c>
    </row>
    <row r="94" spans="2:6" ht="14.45" customHeight="1" x14ac:dyDescent="0.3">
      <c r="B94" s="423" t="s">
        <v>1083</v>
      </c>
      <c r="C94" s="394" t="s">
        <v>1082</v>
      </c>
      <c r="D94" s="394">
        <v>0.92</v>
      </c>
      <c r="E94" s="418">
        <f>+$D$8</f>
        <v>116875.00000000001</v>
      </c>
      <c r="F94" s="421">
        <f t="shared" si="10"/>
        <v>107525.00000000001</v>
      </c>
    </row>
    <row r="95" spans="2:6" ht="14.45" customHeight="1" x14ac:dyDescent="0.3">
      <c r="B95" s="394" t="s">
        <v>513</v>
      </c>
      <c r="C95" s="394" t="s">
        <v>1096</v>
      </c>
      <c r="D95" s="394">
        <v>0.13</v>
      </c>
      <c r="E95" s="422">
        <f>+$D$9</f>
        <v>120000</v>
      </c>
      <c r="F95" s="421">
        <f t="shared" si="10"/>
        <v>15600</v>
      </c>
    </row>
    <row r="96" spans="2:6" ht="14.45" customHeight="1" x14ac:dyDescent="0.3">
      <c r="B96" s="394" t="s">
        <v>1097</v>
      </c>
      <c r="C96" s="393" t="s">
        <v>1088</v>
      </c>
      <c r="D96" s="394">
        <v>170</v>
      </c>
      <c r="E96" s="421">
        <f>+$D$11</f>
        <v>68.75</v>
      </c>
      <c r="F96" s="421">
        <f t="shared" si="10"/>
        <v>11687.5</v>
      </c>
    </row>
    <row r="97" spans="2:6" ht="14.45" customHeight="1" x14ac:dyDescent="0.3">
      <c r="B97" s="901" t="s">
        <v>242</v>
      </c>
      <c r="C97" s="902"/>
      <c r="D97" s="902"/>
      <c r="E97" s="903"/>
      <c r="F97" s="424">
        <f>SUM(F92:F96)</f>
        <v>361272.5</v>
      </c>
    </row>
    <row r="98" spans="2:6" x14ac:dyDescent="0.3">
      <c r="B98" s="442"/>
      <c r="C98" s="443"/>
      <c r="D98" s="443"/>
      <c r="E98" s="443"/>
      <c r="F98" s="444"/>
    </row>
    <row r="99" spans="2:6" x14ac:dyDescent="0.3">
      <c r="B99" s="904" t="s">
        <v>1108</v>
      </c>
      <c r="C99" s="905"/>
      <c r="D99" s="905"/>
      <c r="E99" s="906"/>
      <c r="F99" s="445"/>
    </row>
    <row r="100" spans="2:6" ht="14.45" customHeight="1" x14ac:dyDescent="0.3">
      <c r="B100" s="410" t="s">
        <v>1109</v>
      </c>
      <c r="C100" s="417" t="s">
        <v>147</v>
      </c>
      <c r="D100" s="417" t="s">
        <v>1086</v>
      </c>
      <c r="E100" s="447" t="s">
        <v>1080</v>
      </c>
      <c r="F100" s="445"/>
    </row>
    <row r="101" spans="2:6" ht="14.45" customHeight="1" x14ac:dyDescent="0.3">
      <c r="B101" s="394" t="s">
        <v>1110</v>
      </c>
      <c r="C101" s="394" t="s">
        <v>1082</v>
      </c>
      <c r="D101" s="394">
        <v>1</v>
      </c>
      <c r="E101" s="448">
        <f>+F97</f>
        <v>361272.5</v>
      </c>
      <c r="F101" s="445"/>
    </row>
    <row r="102" spans="2:6" ht="14.45" customHeight="1" x14ac:dyDescent="0.3">
      <c r="B102" s="394" t="s">
        <v>1111</v>
      </c>
      <c r="C102" s="394" t="s">
        <v>1082</v>
      </c>
      <c r="D102" s="394">
        <v>1</v>
      </c>
      <c r="E102" s="448">
        <f>+F87</f>
        <v>391965</v>
      </c>
      <c r="F102" s="445"/>
    </row>
    <row r="103" spans="2:6" ht="14.45" customHeight="1" x14ac:dyDescent="0.3">
      <c r="B103" s="394" t="s">
        <v>1112</v>
      </c>
      <c r="C103" s="394" t="s">
        <v>1082</v>
      </c>
      <c r="D103" s="394">
        <v>1</v>
      </c>
      <c r="E103" s="448">
        <f>+F77</f>
        <v>420962.5</v>
      </c>
      <c r="F103" s="445"/>
    </row>
    <row r="104" spans="2:6" ht="14.45" customHeight="1" x14ac:dyDescent="0.3">
      <c r="B104" s="393" t="s">
        <v>1113</v>
      </c>
      <c r="C104" s="394" t="s">
        <v>1082</v>
      </c>
      <c r="D104" s="394">
        <v>1</v>
      </c>
      <c r="E104" s="448">
        <f>+F67</f>
        <v>460985</v>
      </c>
      <c r="F104" s="445"/>
    </row>
    <row r="105" spans="2:6" ht="14.45" customHeight="1" x14ac:dyDescent="0.3">
      <c r="B105" s="393" t="s">
        <v>1114</v>
      </c>
      <c r="C105" s="394" t="s">
        <v>1082</v>
      </c>
      <c r="D105" s="394">
        <v>1</v>
      </c>
      <c r="E105" s="448">
        <f>+F57</f>
        <v>505412.5</v>
      </c>
      <c r="F105" s="445"/>
    </row>
    <row r="106" spans="2:6" ht="14.45" customHeight="1" x14ac:dyDescent="0.3">
      <c r="B106" s="394" t="s">
        <v>1115</v>
      </c>
      <c r="C106" s="394" t="s">
        <v>1082</v>
      </c>
      <c r="D106" s="394">
        <v>1</v>
      </c>
      <c r="E106" s="449">
        <f>+F48</f>
        <v>539631.25</v>
      </c>
      <c r="F106" s="445"/>
    </row>
    <row r="107" spans="2:6" ht="14.45" customHeight="1" x14ac:dyDescent="0.3">
      <c r="B107" s="393" t="s">
        <v>1116</v>
      </c>
      <c r="C107" s="394" t="s">
        <v>1082</v>
      </c>
      <c r="D107" s="394">
        <v>1</v>
      </c>
      <c r="E107" s="449">
        <f>+F18</f>
        <v>657590</v>
      </c>
      <c r="F107" s="445"/>
    </row>
    <row r="108" spans="2:6" ht="14.45" customHeight="1" x14ac:dyDescent="0.3">
      <c r="B108" s="393" t="s">
        <v>1117</v>
      </c>
      <c r="C108" s="394" t="s">
        <v>1082</v>
      </c>
      <c r="D108" s="394">
        <v>1</v>
      </c>
      <c r="E108" s="449">
        <f>+F25</f>
        <v>523982.5</v>
      </c>
      <c r="F108" s="445"/>
    </row>
    <row r="109" spans="2:6" ht="14.45" customHeight="1" x14ac:dyDescent="0.3">
      <c r="B109" s="393" t="s">
        <v>1118</v>
      </c>
      <c r="C109" s="394" t="s">
        <v>1082</v>
      </c>
      <c r="D109" s="394">
        <v>1</v>
      </c>
      <c r="E109" s="449">
        <f>+F32</f>
        <v>401525</v>
      </c>
      <c r="F109" s="445"/>
    </row>
    <row r="110" spans="2:6" ht="14.45" customHeight="1" x14ac:dyDescent="0.3">
      <c r="B110" s="393" t="s">
        <v>1119</v>
      </c>
      <c r="C110" s="394" t="s">
        <v>1082</v>
      </c>
      <c r="D110" s="394">
        <v>1</v>
      </c>
      <c r="E110" s="449">
        <f>+F39</f>
        <v>353787.5</v>
      </c>
      <c r="F110" s="446"/>
    </row>
    <row r="111" spans="2:6" ht="14.45" customHeight="1" x14ac:dyDescent="0.3">
      <c r="B111" s="377"/>
      <c r="C111" s="377"/>
      <c r="D111" s="377"/>
      <c r="E111" s="377"/>
    </row>
  </sheetData>
  <mergeCells count="12">
    <mergeCell ref="B2:F2"/>
    <mergeCell ref="B18:E18"/>
    <mergeCell ref="B97:E97"/>
    <mergeCell ref="B87:E87"/>
    <mergeCell ref="B99:E99"/>
    <mergeCell ref="B32:E32"/>
    <mergeCell ref="B25:E25"/>
    <mergeCell ref="B77:E77"/>
    <mergeCell ref="B67:E67"/>
    <mergeCell ref="B57:E57"/>
    <mergeCell ref="B48:E48"/>
    <mergeCell ref="B39:E39"/>
  </mergeCells>
  <pageMargins left="0.7" right="0.7" top="0.75" bottom="0.75" header="0.3" footer="0.3"/>
  <pageSetup scale="71" orientation="portrait" r:id="rId1"/>
  <rowBreaks count="1" manualBreakCount="1">
    <brk id="58"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DE04E2-B6F7-4B98-8ADC-E4E8EB851E7D}">
  <sheetPr>
    <tabColor rgb="FFD4ECBA"/>
    <pageSetUpPr fitToPage="1"/>
  </sheetPr>
  <dimension ref="A1:J41"/>
  <sheetViews>
    <sheetView showOutlineSymbols="0" view="pageBreakPreview" topLeftCell="A24" zoomScale="60" zoomScaleNormal="70" workbookViewId="0">
      <selection activeCell="D17" sqref="D17"/>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05.75" customHeight="1" thickBot="1" x14ac:dyDescent="0.35">
      <c r="A5" s="72" t="s">
        <v>5</v>
      </c>
      <c r="B5" s="73">
        <v>1.1000000000000001</v>
      </c>
      <c r="C5" s="913" t="str">
        <f>+VLOOKUP(B5,PPTO!B8:G94,2,FALSE)</f>
        <v xml:space="preserve">Localizacion, trazado y Replanteo, se incluye suministro de cuadrilla topografíca para rectificación de cartera, verificación de alineamientos, desarrollo de planos. </v>
      </c>
      <c r="D5" s="914"/>
      <c r="E5" s="72" t="s">
        <v>7</v>
      </c>
      <c r="F5" s="74" t="str">
        <f>+VLOOKUP(B5,PPTO!B8:G94,3,FALSE)</f>
        <v>DIA</v>
      </c>
      <c r="G5" s="915" t="s">
        <v>1120</v>
      </c>
      <c r="H5" s="915"/>
      <c r="I5" s="916">
        <f>+VLOOKUP(B5,PPTO!B8:G94,5,FALSE)</f>
        <v>583075</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36" x14ac:dyDescent="0.3">
      <c r="A8" s="78"/>
      <c r="B8" s="79"/>
      <c r="C8" s="79"/>
      <c r="D8" s="365" t="s">
        <v>1126</v>
      </c>
      <c r="E8" s="85"/>
      <c r="F8" s="85"/>
      <c r="G8" s="85"/>
      <c r="H8" s="85"/>
      <c r="I8" s="86">
        <v>3</v>
      </c>
      <c r="J8" s="87">
        <f>+PRODUCT(E8:I8)</f>
        <v>3</v>
      </c>
    </row>
    <row r="9" spans="1:10" ht="18" x14ac:dyDescent="0.3">
      <c r="A9" s="78"/>
      <c r="B9" s="79"/>
      <c r="C9" s="79"/>
      <c r="D9" s="88"/>
      <c r="E9" s="89"/>
      <c r="F9" s="89"/>
      <c r="G9" s="89"/>
      <c r="H9" s="89"/>
      <c r="I9" s="90"/>
      <c r="J9" s="91">
        <f t="shared" ref="J9:J35" si="0">+PRODUCT(E9:I9)</f>
        <v>0</v>
      </c>
    </row>
    <row r="10" spans="1:10" ht="18" x14ac:dyDescent="0.3">
      <c r="A10" s="78"/>
      <c r="B10" s="79"/>
      <c r="C10" s="79"/>
      <c r="D10" s="88"/>
      <c r="E10" s="89"/>
      <c r="F10" s="89"/>
      <c r="G10" s="89"/>
      <c r="H10" s="89"/>
      <c r="I10" s="90"/>
      <c r="J10" s="91">
        <f t="shared" si="0"/>
        <v>0</v>
      </c>
    </row>
    <row r="11" spans="1:10" ht="18" x14ac:dyDescent="0.3">
      <c r="A11" s="78"/>
      <c r="B11" s="79"/>
      <c r="C11" s="79"/>
      <c r="D11" s="88"/>
      <c r="E11" s="89"/>
      <c r="F11" s="89"/>
      <c r="G11" s="89"/>
      <c r="H11" s="89"/>
      <c r="I11" s="90"/>
      <c r="J11" s="91">
        <f t="shared" si="0"/>
        <v>0</v>
      </c>
    </row>
    <row r="12" spans="1:10" ht="18" x14ac:dyDescent="0.3">
      <c r="A12" s="78"/>
      <c r="B12" s="79"/>
      <c r="C12" s="79"/>
      <c r="D12" s="88"/>
      <c r="E12" s="89"/>
      <c r="F12" s="89"/>
      <c r="G12" s="89"/>
      <c r="H12" s="89"/>
      <c r="I12" s="90"/>
      <c r="J12" s="91">
        <f t="shared" si="0"/>
        <v>0</v>
      </c>
    </row>
    <row r="13" spans="1:10" ht="18" x14ac:dyDescent="0.3">
      <c r="A13" s="78"/>
      <c r="B13" s="79"/>
      <c r="C13" s="79"/>
      <c r="D13" s="88"/>
      <c r="E13" s="89"/>
      <c r="F13" s="89"/>
      <c r="G13" s="89"/>
      <c r="H13" s="89"/>
      <c r="I13" s="90"/>
      <c r="J13" s="91">
        <f t="shared" si="0"/>
        <v>0</v>
      </c>
    </row>
    <row r="14" spans="1:10" ht="18" x14ac:dyDescent="0.3">
      <c r="A14" s="78"/>
      <c r="B14" s="79"/>
      <c r="C14" s="79"/>
      <c r="D14" s="88"/>
      <c r="E14" s="89"/>
      <c r="F14" s="89"/>
      <c r="G14" s="89"/>
      <c r="H14" s="89"/>
      <c r="I14" s="90"/>
      <c r="J14" s="91">
        <f t="shared" si="0"/>
        <v>0</v>
      </c>
    </row>
    <row r="15" spans="1:10" ht="18" x14ac:dyDescent="0.3">
      <c r="A15" s="78"/>
      <c r="B15" s="79"/>
      <c r="C15" s="79"/>
      <c r="D15" s="88"/>
      <c r="E15" s="89"/>
      <c r="F15" s="89"/>
      <c r="G15" s="89"/>
      <c r="H15" s="89"/>
      <c r="I15" s="90"/>
      <c r="J15" s="91">
        <f t="shared" si="0"/>
        <v>0</v>
      </c>
    </row>
    <row r="16" spans="1:10" ht="18" x14ac:dyDescent="0.3">
      <c r="A16" s="78"/>
      <c r="B16" s="79"/>
      <c r="C16" s="79"/>
      <c r="D16" s="88"/>
      <c r="E16" s="89"/>
      <c r="F16" s="89"/>
      <c r="G16" s="89"/>
      <c r="H16" s="89"/>
      <c r="I16" s="90"/>
      <c r="J16" s="91">
        <f t="shared" si="0"/>
        <v>0</v>
      </c>
    </row>
    <row r="17" spans="1:10" ht="18" x14ac:dyDescent="0.3">
      <c r="A17" s="78"/>
      <c r="B17" s="79"/>
      <c r="C17" s="79"/>
      <c r="D17" s="88"/>
      <c r="E17" s="89"/>
      <c r="F17" s="89"/>
      <c r="G17" s="89"/>
      <c r="H17" s="89"/>
      <c r="I17" s="90"/>
      <c r="J17" s="91">
        <f t="shared" si="0"/>
        <v>0</v>
      </c>
    </row>
    <row r="18" spans="1:10" ht="18" x14ac:dyDescent="0.3">
      <c r="A18" s="78"/>
      <c r="B18" s="79"/>
      <c r="C18" s="79"/>
      <c r="D18" s="88"/>
      <c r="E18" s="89"/>
      <c r="F18" s="89"/>
      <c r="G18" s="89"/>
      <c r="H18" s="89"/>
      <c r="I18" s="90"/>
      <c r="J18" s="91">
        <f t="shared" si="0"/>
        <v>0</v>
      </c>
    </row>
    <row r="19" spans="1:10" ht="18" x14ac:dyDescent="0.3">
      <c r="A19" s="78"/>
      <c r="B19" s="79"/>
      <c r="C19" s="79"/>
      <c r="D19" s="88"/>
      <c r="E19" s="89"/>
      <c r="F19" s="89"/>
      <c r="G19" s="89"/>
      <c r="H19" s="89"/>
      <c r="I19" s="90"/>
      <c r="J19" s="91">
        <f t="shared" si="0"/>
        <v>0</v>
      </c>
    </row>
    <row r="20" spans="1:10" ht="18" x14ac:dyDescent="0.3">
      <c r="A20" s="78"/>
      <c r="B20" s="79"/>
      <c r="C20" s="79"/>
      <c r="D20" s="88"/>
      <c r="E20" s="89"/>
      <c r="F20" s="89"/>
      <c r="G20" s="89"/>
      <c r="H20" s="89"/>
      <c r="I20" s="90"/>
      <c r="J20" s="91">
        <f t="shared" si="0"/>
        <v>0</v>
      </c>
    </row>
    <row r="21" spans="1:10" ht="18" x14ac:dyDescent="0.3">
      <c r="A21" s="78"/>
      <c r="B21" s="79"/>
      <c r="C21" s="79"/>
      <c r="D21" s="88"/>
      <c r="E21" s="89"/>
      <c r="F21" s="89"/>
      <c r="G21" s="89"/>
      <c r="H21" s="89"/>
      <c r="I21" s="90"/>
      <c r="J21" s="91">
        <f t="shared" si="0"/>
        <v>0</v>
      </c>
    </row>
    <row r="22" spans="1:10" ht="18" x14ac:dyDescent="0.3">
      <c r="A22" s="78"/>
      <c r="B22" s="79"/>
      <c r="C22" s="79"/>
      <c r="D22" s="88"/>
      <c r="E22" s="89"/>
      <c r="F22" s="89"/>
      <c r="G22" s="89"/>
      <c r="H22" s="89"/>
      <c r="I22" s="90"/>
      <c r="J22" s="91">
        <f t="shared" si="0"/>
        <v>0</v>
      </c>
    </row>
    <row r="23" spans="1:10" ht="18" x14ac:dyDescent="0.3">
      <c r="A23" s="78"/>
      <c r="B23" s="79"/>
      <c r="C23" s="79"/>
      <c r="D23" s="88"/>
      <c r="E23" s="89"/>
      <c r="F23" s="89"/>
      <c r="G23" s="89"/>
      <c r="H23" s="89"/>
      <c r="I23" s="90"/>
      <c r="J23" s="91">
        <f t="shared" si="0"/>
        <v>0</v>
      </c>
    </row>
    <row r="24" spans="1:10" ht="18" x14ac:dyDescent="0.3">
      <c r="A24" s="78"/>
      <c r="B24" s="79"/>
      <c r="C24" s="79"/>
      <c r="D24" s="88"/>
      <c r="E24" s="89"/>
      <c r="F24" s="89"/>
      <c r="G24" s="89"/>
      <c r="H24" s="89"/>
      <c r="I24" s="90"/>
      <c r="J24" s="91">
        <f t="shared" si="0"/>
        <v>0</v>
      </c>
    </row>
    <row r="25" spans="1:10" ht="18" x14ac:dyDescent="0.3">
      <c r="A25" s="78"/>
      <c r="B25" s="79"/>
      <c r="C25" s="79"/>
      <c r="D25" s="88"/>
      <c r="E25" s="89"/>
      <c r="F25" s="89"/>
      <c r="G25" s="89"/>
      <c r="H25" s="89"/>
      <c r="I25" s="90"/>
      <c r="J25" s="91">
        <f t="shared" si="0"/>
        <v>0</v>
      </c>
    </row>
    <row r="26" spans="1:10" ht="18" x14ac:dyDescent="0.3">
      <c r="A26" s="78"/>
      <c r="B26" s="79"/>
      <c r="C26" s="79"/>
      <c r="D26" s="88"/>
      <c r="E26" s="89"/>
      <c r="F26" s="89"/>
      <c r="G26" s="89"/>
      <c r="H26" s="89"/>
      <c r="I26" s="90"/>
      <c r="J26" s="91">
        <f t="shared" si="0"/>
        <v>0</v>
      </c>
    </row>
    <row r="27" spans="1:10" ht="18" x14ac:dyDescent="0.3">
      <c r="A27" s="78"/>
      <c r="B27" s="79"/>
      <c r="C27" s="79"/>
      <c r="D27" s="88"/>
      <c r="E27" s="89"/>
      <c r="F27" s="89"/>
      <c r="G27" s="89"/>
      <c r="H27" s="89"/>
      <c r="I27" s="90"/>
      <c r="J27" s="91">
        <f t="shared" si="0"/>
        <v>0</v>
      </c>
    </row>
    <row r="28" spans="1:10" ht="18" x14ac:dyDescent="0.3">
      <c r="A28" s="78"/>
      <c r="B28" s="79"/>
      <c r="C28" s="79"/>
      <c r="D28" s="88"/>
      <c r="E28" s="89"/>
      <c r="F28" s="89"/>
      <c r="G28" s="92"/>
      <c r="H28" s="92"/>
      <c r="I28" s="93"/>
      <c r="J28" s="91">
        <f t="shared" si="0"/>
        <v>0</v>
      </c>
    </row>
    <row r="29" spans="1:10" ht="18" x14ac:dyDescent="0.3">
      <c r="A29" s="78"/>
      <c r="B29" s="79"/>
      <c r="C29" s="79"/>
      <c r="D29" s="88"/>
      <c r="E29" s="89"/>
      <c r="F29" s="89"/>
      <c r="G29" s="92"/>
      <c r="H29" s="92"/>
      <c r="I29" s="93"/>
      <c r="J29" s="91">
        <f t="shared" si="0"/>
        <v>0</v>
      </c>
    </row>
    <row r="30" spans="1:10" ht="18" x14ac:dyDescent="0.3">
      <c r="A30" s="78"/>
      <c r="B30" s="79"/>
      <c r="C30" s="79"/>
      <c r="D30" s="88"/>
      <c r="E30" s="89"/>
      <c r="F30" s="89"/>
      <c r="G30" s="92"/>
      <c r="H30" s="92"/>
      <c r="I30" s="93"/>
      <c r="J30" s="91">
        <f t="shared" si="0"/>
        <v>0</v>
      </c>
    </row>
    <row r="31" spans="1:10" ht="18" x14ac:dyDescent="0.3">
      <c r="A31" s="78"/>
      <c r="B31" s="79"/>
      <c r="C31" s="79"/>
      <c r="D31" s="88"/>
      <c r="E31" s="89"/>
      <c r="F31" s="89"/>
      <c r="G31" s="92"/>
      <c r="H31" s="92"/>
      <c r="I31" s="93"/>
      <c r="J31" s="91">
        <f t="shared" si="0"/>
        <v>0</v>
      </c>
    </row>
    <row r="32" spans="1:10" ht="18" x14ac:dyDescent="0.3">
      <c r="A32" s="78"/>
      <c r="B32" s="79"/>
      <c r="C32" s="79"/>
      <c r="D32" s="94"/>
      <c r="E32" s="89"/>
      <c r="F32" s="89"/>
      <c r="G32" s="92"/>
      <c r="H32" s="92"/>
      <c r="I32" s="93"/>
      <c r="J32" s="91">
        <f t="shared" si="0"/>
        <v>0</v>
      </c>
    </row>
    <row r="33" spans="1:10" ht="18" x14ac:dyDescent="0.3">
      <c r="A33" s="78"/>
      <c r="B33" s="79"/>
      <c r="C33" s="79"/>
      <c r="D33" s="94"/>
      <c r="E33" s="89"/>
      <c r="F33" s="89"/>
      <c r="G33" s="92"/>
      <c r="H33" s="92"/>
      <c r="I33" s="93"/>
      <c r="J33" s="91">
        <f t="shared" si="0"/>
        <v>0</v>
      </c>
    </row>
    <row r="34" spans="1:10" ht="18" x14ac:dyDescent="0.3">
      <c r="A34" s="78"/>
      <c r="B34" s="79"/>
      <c r="C34" s="79"/>
      <c r="D34" s="95"/>
      <c r="E34" s="89"/>
      <c r="F34" s="89"/>
      <c r="G34" s="92"/>
      <c r="H34" s="92"/>
      <c r="I34" s="93"/>
      <c r="J34" s="91">
        <f t="shared" si="0"/>
        <v>0</v>
      </c>
    </row>
    <row r="35" spans="1:10" ht="18.75" thickBot="1" x14ac:dyDescent="0.35">
      <c r="A35" s="78"/>
      <c r="B35" s="79"/>
      <c r="C35" s="79"/>
      <c r="D35" s="96"/>
      <c r="E35" s="97"/>
      <c r="F35" s="97"/>
      <c r="G35" s="98"/>
      <c r="H35" s="98"/>
      <c r="I35" s="99"/>
      <c r="J35" s="100">
        <f t="shared" si="0"/>
        <v>0</v>
      </c>
    </row>
    <row r="36" spans="1:10" ht="21" thickBot="1" x14ac:dyDescent="0.35">
      <c r="A36" s="78"/>
      <c r="B36" s="79"/>
      <c r="C36" s="79"/>
      <c r="D36" s="933" t="s">
        <v>10</v>
      </c>
      <c r="E36" s="934"/>
      <c r="F36" s="934"/>
      <c r="G36" s="934"/>
      <c r="H36" s="934"/>
      <c r="I36" s="935"/>
      <c r="J36" s="102">
        <f>ROUND(SUM(J8:J35),2)</f>
        <v>3</v>
      </c>
    </row>
    <row r="37" spans="1:10" ht="21" thickBot="1" x14ac:dyDescent="0.35">
      <c r="A37" s="78"/>
      <c r="B37" s="79"/>
      <c r="C37" s="79"/>
      <c r="D37" s="933" t="s">
        <v>1127</v>
      </c>
      <c r="E37" s="934"/>
      <c r="F37" s="934"/>
      <c r="G37" s="934"/>
      <c r="H37" s="934"/>
      <c r="I37" s="935"/>
      <c r="J37" s="103"/>
    </row>
    <row r="38" spans="1:10" ht="21" thickBot="1" x14ac:dyDescent="0.35">
      <c r="A38" s="78"/>
      <c r="B38" s="79"/>
      <c r="C38" s="101"/>
      <c r="D38" s="933" t="s">
        <v>1128</v>
      </c>
      <c r="E38" s="934"/>
      <c r="F38" s="934"/>
      <c r="G38" s="934"/>
      <c r="H38" s="934"/>
      <c r="I38" s="935"/>
      <c r="J38" s="104">
        <f>+J36-J37</f>
        <v>3</v>
      </c>
    </row>
    <row r="39" spans="1:10" ht="21" thickBot="1" x14ac:dyDescent="0.35">
      <c r="A39" s="936" t="s">
        <v>1129</v>
      </c>
      <c r="B39" s="937"/>
      <c r="C39" s="938"/>
      <c r="D39" s="939" t="s">
        <v>1130</v>
      </c>
      <c r="E39" s="940"/>
      <c r="F39" s="940"/>
      <c r="G39" s="940"/>
      <c r="H39" s="940"/>
      <c r="I39" s="940"/>
      <c r="J39" s="941"/>
    </row>
    <row r="40" spans="1:10" ht="38.25" customHeight="1" thickBot="1" x14ac:dyDescent="0.35">
      <c r="A40" s="942" t="str">
        <f>PPTO!G3</f>
        <v>JUNIO DE 2026</v>
      </c>
      <c r="B40" s="943"/>
      <c r="C40" s="944"/>
      <c r="D40" s="921"/>
      <c r="E40" s="922"/>
      <c r="F40" s="922"/>
      <c r="G40" s="922"/>
      <c r="H40" s="922"/>
      <c r="I40" s="922"/>
      <c r="J40" s="923"/>
    </row>
    <row r="41" spans="1:10" ht="19.5" thickBot="1" x14ac:dyDescent="0.35">
      <c r="A41" s="918"/>
      <c r="B41" s="919"/>
      <c r="C41" s="920"/>
      <c r="D41" s="921" t="s">
        <v>1131</v>
      </c>
      <c r="E41" s="922"/>
      <c r="F41" s="922"/>
      <c r="G41" s="922"/>
      <c r="H41" s="922"/>
      <c r="I41" s="922"/>
      <c r="J41" s="923"/>
    </row>
  </sheetData>
  <mergeCells count="19">
    <mergeCell ref="A41:C41"/>
    <mergeCell ref="D41:J41"/>
    <mergeCell ref="D6:D7"/>
    <mergeCell ref="E6:G6"/>
    <mergeCell ref="I6:I7"/>
    <mergeCell ref="J6:J7"/>
    <mergeCell ref="D36:I36"/>
    <mergeCell ref="D37:I37"/>
    <mergeCell ref="D38:I38"/>
    <mergeCell ref="A39:C39"/>
    <mergeCell ref="D39:J39"/>
    <mergeCell ref="A40:C40"/>
    <mergeCell ref="D40:J40"/>
    <mergeCell ref="A2:J2"/>
    <mergeCell ref="A3:J3"/>
    <mergeCell ref="A4:J4"/>
    <mergeCell ref="C5:D5"/>
    <mergeCell ref="G5:H5"/>
    <mergeCell ref="I5:J5"/>
  </mergeCells>
  <conditionalFormatting sqref="J8:J35">
    <cfRule type="cellIs" dxfId="68" priority="1" operator="equal">
      <formula>0</formula>
    </cfRule>
  </conditionalFormatting>
  <pageMargins left="0.7" right="0.7" top="0.75" bottom="0.75" header="0.3" footer="0.3"/>
  <pageSetup scale="53" orientation="landscape"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59698B-B03A-476D-98CB-CB342BEE7100}">
  <sheetPr>
    <tabColor rgb="FFD4ECBA"/>
    <pageSetUpPr fitToPage="1"/>
  </sheetPr>
  <dimension ref="A1:J41"/>
  <sheetViews>
    <sheetView showOutlineSymbols="0" topLeftCell="A27" zoomScale="70" zoomScaleNormal="70" workbookViewId="0">
      <selection activeCell="I14" sqref="I14"/>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05.75" customHeight="1" thickBot="1" x14ac:dyDescent="0.35">
      <c r="A5" s="72" t="s">
        <v>5</v>
      </c>
      <c r="B5" s="73">
        <v>1.2</v>
      </c>
      <c r="C5" s="913" t="str">
        <f>+VLOOKUP(B5,PPTO!B8:G94,2,FALSE)</f>
        <v>Excavación mecanica de capa organica Incluye: (Excavacion mecanica, cargue y votada de material sobrante a la escombrera)</v>
      </c>
      <c r="D5" s="914"/>
      <c r="E5" s="72" t="s">
        <v>7</v>
      </c>
      <c r="F5" s="74" t="str">
        <f>+VLOOKUP(B5,PPTO!B8:G94,3,FALSE)</f>
        <v>M3</v>
      </c>
      <c r="G5" s="915" t="s">
        <v>1120</v>
      </c>
      <c r="H5" s="915"/>
      <c r="I5" s="916">
        <f>+VLOOKUP(B5,PPTO!B8:G94,5,FALSE)</f>
        <v>114541</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8" x14ac:dyDescent="0.3">
      <c r="A8" s="78"/>
      <c r="B8" s="79"/>
      <c r="C8" s="79"/>
      <c r="D8" s="84" t="s">
        <v>1132</v>
      </c>
      <c r="E8" s="85"/>
      <c r="F8" s="85"/>
      <c r="G8" s="85">
        <v>0.1</v>
      </c>
      <c r="H8" s="85"/>
      <c r="I8" s="389">
        <v>670.73</v>
      </c>
      <c r="J8" s="391">
        <f>+PRODUCT(E8:I8)</f>
        <v>67.073000000000008</v>
      </c>
    </row>
    <row r="9" spans="1:10" ht="18" x14ac:dyDescent="0.3">
      <c r="A9" s="78"/>
      <c r="B9" s="79"/>
      <c r="C9" s="79"/>
      <c r="D9" s="88"/>
      <c r="E9" s="89"/>
      <c r="F9" s="89"/>
      <c r="G9" s="89"/>
      <c r="H9" s="89"/>
      <c r="I9" s="90"/>
      <c r="J9" s="91">
        <f t="shared" ref="J9:J35" si="0">+PRODUCT(E9:I9)</f>
        <v>0</v>
      </c>
    </row>
    <row r="10" spans="1:10" ht="18" x14ac:dyDescent="0.3">
      <c r="A10" s="78"/>
      <c r="B10" s="79"/>
      <c r="C10" s="79"/>
      <c r="D10" s="88"/>
      <c r="E10" s="89"/>
      <c r="F10" s="89"/>
      <c r="G10" s="89"/>
      <c r="H10" s="89"/>
      <c r="I10" s="90"/>
      <c r="J10" s="91">
        <f t="shared" si="0"/>
        <v>0</v>
      </c>
    </row>
    <row r="11" spans="1:10" ht="18" x14ac:dyDescent="0.3">
      <c r="A11" s="78"/>
      <c r="B11" s="79"/>
      <c r="C11" s="79"/>
      <c r="D11" s="88"/>
      <c r="E11" s="89"/>
      <c r="F11" s="89"/>
      <c r="G11" s="89"/>
      <c r="H11" s="89"/>
      <c r="I11" s="90"/>
      <c r="J11" s="91">
        <f t="shared" si="0"/>
        <v>0</v>
      </c>
    </row>
    <row r="12" spans="1:10" ht="18" x14ac:dyDescent="0.3">
      <c r="A12" s="78"/>
      <c r="B12" s="79"/>
      <c r="C12" s="79"/>
      <c r="D12" s="88"/>
      <c r="E12" s="89"/>
      <c r="F12" s="89"/>
      <c r="G12" s="89"/>
      <c r="H12" s="89"/>
      <c r="I12" s="90"/>
      <c r="J12" s="91">
        <f t="shared" si="0"/>
        <v>0</v>
      </c>
    </row>
    <row r="13" spans="1:10" ht="18" x14ac:dyDescent="0.3">
      <c r="A13" s="78"/>
      <c r="B13" s="79"/>
      <c r="C13" s="79"/>
      <c r="D13" s="88"/>
      <c r="E13" s="89"/>
      <c r="F13" s="89"/>
      <c r="G13" s="89"/>
      <c r="H13" s="89"/>
      <c r="I13" s="90"/>
      <c r="J13" s="91">
        <f t="shared" si="0"/>
        <v>0</v>
      </c>
    </row>
    <row r="14" spans="1:10" ht="18" x14ac:dyDescent="0.3">
      <c r="A14" s="78"/>
      <c r="B14" s="79"/>
      <c r="C14" s="79"/>
      <c r="D14" s="88"/>
      <c r="E14" s="89"/>
      <c r="F14" s="89"/>
      <c r="G14" s="89"/>
      <c r="H14" s="89"/>
      <c r="I14" s="90"/>
      <c r="J14" s="91">
        <f t="shared" si="0"/>
        <v>0</v>
      </c>
    </row>
    <row r="15" spans="1:10" ht="18" x14ac:dyDescent="0.3">
      <c r="A15" s="78"/>
      <c r="B15" s="79"/>
      <c r="C15" s="79"/>
      <c r="D15" s="88"/>
      <c r="E15" s="89"/>
      <c r="F15" s="89"/>
      <c r="G15" s="89"/>
      <c r="H15" s="89"/>
      <c r="I15" s="90"/>
      <c r="J15" s="91">
        <f t="shared" si="0"/>
        <v>0</v>
      </c>
    </row>
    <row r="16" spans="1:10" ht="18" x14ac:dyDescent="0.3">
      <c r="A16" s="78"/>
      <c r="B16" s="79"/>
      <c r="C16" s="79"/>
      <c r="D16" s="88"/>
      <c r="E16" s="89"/>
      <c r="F16" s="89"/>
      <c r="G16" s="89"/>
      <c r="H16" s="89"/>
      <c r="I16" s="90"/>
      <c r="J16" s="91">
        <f t="shared" si="0"/>
        <v>0</v>
      </c>
    </row>
    <row r="17" spans="1:10" ht="18" x14ac:dyDescent="0.3">
      <c r="A17" s="78"/>
      <c r="B17" s="79"/>
      <c r="C17" s="79"/>
      <c r="D17" s="88"/>
      <c r="E17" s="89"/>
      <c r="F17" s="89"/>
      <c r="G17" s="89"/>
      <c r="H17" s="89"/>
      <c r="I17" s="90"/>
      <c r="J17" s="91">
        <f t="shared" si="0"/>
        <v>0</v>
      </c>
    </row>
    <row r="18" spans="1:10" ht="18" x14ac:dyDescent="0.3">
      <c r="A18" s="78"/>
      <c r="B18" s="79"/>
      <c r="C18" s="79"/>
      <c r="D18" s="88"/>
      <c r="E18" s="89"/>
      <c r="F18" s="89"/>
      <c r="G18" s="89"/>
      <c r="H18" s="89"/>
      <c r="I18" s="90"/>
      <c r="J18" s="91">
        <f t="shared" si="0"/>
        <v>0</v>
      </c>
    </row>
    <row r="19" spans="1:10" ht="18" x14ac:dyDescent="0.3">
      <c r="A19" s="78"/>
      <c r="B19" s="79"/>
      <c r="C19" s="79"/>
      <c r="D19" s="88"/>
      <c r="E19" s="89"/>
      <c r="F19" s="89"/>
      <c r="G19" s="89"/>
      <c r="H19" s="89"/>
      <c r="I19" s="90"/>
      <c r="J19" s="91">
        <f t="shared" si="0"/>
        <v>0</v>
      </c>
    </row>
    <row r="20" spans="1:10" ht="18" x14ac:dyDescent="0.3">
      <c r="A20" s="78"/>
      <c r="B20" s="79"/>
      <c r="C20" s="79"/>
      <c r="D20" s="88"/>
      <c r="E20" s="89"/>
      <c r="F20" s="89"/>
      <c r="G20" s="89"/>
      <c r="H20" s="89"/>
      <c r="I20" s="90"/>
      <c r="J20" s="91">
        <f t="shared" si="0"/>
        <v>0</v>
      </c>
    </row>
    <row r="21" spans="1:10" ht="18" x14ac:dyDescent="0.3">
      <c r="A21" s="78"/>
      <c r="B21" s="79"/>
      <c r="C21" s="79"/>
      <c r="D21" s="88"/>
      <c r="E21" s="89"/>
      <c r="F21" s="89"/>
      <c r="G21" s="89"/>
      <c r="H21" s="89"/>
      <c r="I21" s="90"/>
      <c r="J21" s="91">
        <f t="shared" si="0"/>
        <v>0</v>
      </c>
    </row>
    <row r="22" spans="1:10" ht="18" x14ac:dyDescent="0.3">
      <c r="A22" s="78"/>
      <c r="B22" s="79"/>
      <c r="C22" s="79"/>
      <c r="D22" s="88"/>
      <c r="E22" s="89"/>
      <c r="F22" s="89"/>
      <c r="G22" s="89"/>
      <c r="H22" s="89"/>
      <c r="I22" s="90"/>
      <c r="J22" s="91">
        <f t="shared" si="0"/>
        <v>0</v>
      </c>
    </row>
    <row r="23" spans="1:10" ht="18" x14ac:dyDescent="0.3">
      <c r="A23" s="78"/>
      <c r="B23" s="79"/>
      <c r="C23" s="79"/>
      <c r="D23" s="88"/>
      <c r="E23" s="89"/>
      <c r="F23" s="89"/>
      <c r="G23" s="89"/>
      <c r="H23" s="89"/>
      <c r="I23" s="90"/>
      <c r="J23" s="91">
        <f t="shared" si="0"/>
        <v>0</v>
      </c>
    </row>
    <row r="24" spans="1:10" ht="18" x14ac:dyDescent="0.3">
      <c r="A24" s="78"/>
      <c r="B24" s="79"/>
      <c r="C24" s="79"/>
      <c r="D24" s="88"/>
      <c r="E24" s="89"/>
      <c r="F24" s="89"/>
      <c r="G24" s="89"/>
      <c r="H24" s="89"/>
      <c r="I24" s="90"/>
      <c r="J24" s="91">
        <f t="shared" si="0"/>
        <v>0</v>
      </c>
    </row>
    <row r="25" spans="1:10" ht="18" x14ac:dyDescent="0.3">
      <c r="A25" s="78"/>
      <c r="B25" s="79"/>
      <c r="C25" s="79"/>
      <c r="D25" s="88"/>
      <c r="E25" s="89"/>
      <c r="F25" s="89"/>
      <c r="G25" s="89"/>
      <c r="H25" s="89"/>
      <c r="I25" s="90"/>
      <c r="J25" s="91">
        <f t="shared" si="0"/>
        <v>0</v>
      </c>
    </row>
    <row r="26" spans="1:10" ht="18" x14ac:dyDescent="0.3">
      <c r="A26" s="78"/>
      <c r="B26" s="79"/>
      <c r="C26" s="79"/>
      <c r="D26" s="88"/>
      <c r="E26" s="89"/>
      <c r="F26" s="89"/>
      <c r="G26" s="89"/>
      <c r="H26" s="89"/>
      <c r="I26" s="90"/>
      <c r="J26" s="91">
        <f t="shared" si="0"/>
        <v>0</v>
      </c>
    </row>
    <row r="27" spans="1:10" ht="18" x14ac:dyDescent="0.3">
      <c r="A27" s="78"/>
      <c r="B27" s="79"/>
      <c r="C27" s="79"/>
      <c r="D27" s="88"/>
      <c r="E27" s="89"/>
      <c r="F27" s="89"/>
      <c r="G27" s="89"/>
      <c r="H27" s="89"/>
      <c r="I27" s="90"/>
      <c r="J27" s="91">
        <f t="shared" si="0"/>
        <v>0</v>
      </c>
    </row>
    <row r="28" spans="1:10" ht="18" x14ac:dyDescent="0.3">
      <c r="A28" s="78"/>
      <c r="B28" s="79"/>
      <c r="C28" s="79"/>
      <c r="D28" s="88"/>
      <c r="E28" s="89"/>
      <c r="F28" s="89"/>
      <c r="G28" s="92"/>
      <c r="H28" s="92"/>
      <c r="I28" s="93"/>
      <c r="J28" s="91">
        <f t="shared" si="0"/>
        <v>0</v>
      </c>
    </row>
    <row r="29" spans="1:10" ht="18" x14ac:dyDescent="0.3">
      <c r="A29" s="78"/>
      <c r="B29" s="79"/>
      <c r="C29" s="79"/>
      <c r="D29" s="88"/>
      <c r="E29" s="89"/>
      <c r="F29" s="89"/>
      <c r="G29" s="92"/>
      <c r="H29" s="92"/>
      <c r="I29" s="93"/>
      <c r="J29" s="91">
        <f t="shared" si="0"/>
        <v>0</v>
      </c>
    </row>
    <row r="30" spans="1:10" ht="18" x14ac:dyDescent="0.3">
      <c r="A30" s="78"/>
      <c r="B30" s="79"/>
      <c r="C30" s="79"/>
      <c r="D30" s="88"/>
      <c r="E30" s="89"/>
      <c r="F30" s="89"/>
      <c r="G30" s="92"/>
      <c r="H30" s="92"/>
      <c r="I30" s="93"/>
      <c r="J30" s="91">
        <f t="shared" si="0"/>
        <v>0</v>
      </c>
    </row>
    <row r="31" spans="1:10" ht="18" x14ac:dyDescent="0.3">
      <c r="A31" s="78"/>
      <c r="B31" s="79"/>
      <c r="C31" s="79"/>
      <c r="D31" s="88"/>
      <c r="E31" s="89"/>
      <c r="F31" s="89"/>
      <c r="G31" s="92"/>
      <c r="H31" s="92"/>
      <c r="I31" s="93"/>
      <c r="J31" s="91">
        <f t="shared" si="0"/>
        <v>0</v>
      </c>
    </row>
    <row r="32" spans="1:10" ht="18" x14ac:dyDescent="0.3">
      <c r="A32" s="78"/>
      <c r="B32" s="79"/>
      <c r="C32" s="79"/>
      <c r="D32" s="94"/>
      <c r="E32" s="89"/>
      <c r="F32" s="89"/>
      <c r="G32" s="92"/>
      <c r="H32" s="92"/>
      <c r="I32" s="93"/>
      <c r="J32" s="91">
        <f t="shared" si="0"/>
        <v>0</v>
      </c>
    </row>
    <row r="33" spans="1:10" ht="18" x14ac:dyDescent="0.3">
      <c r="A33" s="78"/>
      <c r="B33" s="79"/>
      <c r="C33" s="79"/>
      <c r="D33" s="94"/>
      <c r="E33" s="89"/>
      <c r="F33" s="89"/>
      <c r="G33" s="92"/>
      <c r="H33" s="92"/>
      <c r="I33" s="93"/>
      <c r="J33" s="91">
        <f t="shared" si="0"/>
        <v>0</v>
      </c>
    </row>
    <row r="34" spans="1:10" ht="18" x14ac:dyDescent="0.3">
      <c r="A34" s="78"/>
      <c r="B34" s="79"/>
      <c r="C34" s="79"/>
      <c r="D34" s="95"/>
      <c r="E34" s="89"/>
      <c r="F34" s="89"/>
      <c r="G34" s="92"/>
      <c r="H34" s="92"/>
      <c r="I34" s="93"/>
      <c r="J34" s="91">
        <f t="shared" si="0"/>
        <v>0</v>
      </c>
    </row>
    <row r="35" spans="1:10" ht="18.75" thickBot="1" x14ac:dyDescent="0.35">
      <c r="A35" s="78"/>
      <c r="B35" s="79"/>
      <c r="C35" s="79"/>
      <c r="D35" s="96"/>
      <c r="E35" s="97"/>
      <c r="F35" s="97"/>
      <c r="G35" s="98"/>
      <c r="H35" s="98"/>
      <c r="I35" s="99"/>
      <c r="J35" s="100">
        <f t="shared" si="0"/>
        <v>0</v>
      </c>
    </row>
    <row r="36" spans="1:10" ht="21" thickBot="1" x14ac:dyDescent="0.35">
      <c r="A36" s="78"/>
      <c r="B36" s="79"/>
      <c r="C36" s="79"/>
      <c r="D36" s="933" t="s">
        <v>10</v>
      </c>
      <c r="E36" s="934"/>
      <c r="F36" s="934"/>
      <c r="G36" s="934"/>
      <c r="H36" s="934"/>
      <c r="I36" s="935"/>
      <c r="J36" s="102">
        <f>ROUND(SUM(J8:J35),2)</f>
        <v>67.069999999999993</v>
      </c>
    </row>
    <row r="37" spans="1:10" ht="21" thickBot="1" x14ac:dyDescent="0.35">
      <c r="A37" s="78"/>
      <c r="B37" s="79"/>
      <c r="C37" s="79"/>
      <c r="D37" s="933" t="s">
        <v>1127</v>
      </c>
      <c r="E37" s="934"/>
      <c r="F37" s="934"/>
      <c r="G37" s="934"/>
      <c r="H37" s="934"/>
      <c r="I37" s="935"/>
      <c r="J37" s="103"/>
    </row>
    <row r="38" spans="1:10" ht="21" thickBot="1" x14ac:dyDescent="0.35">
      <c r="A38" s="78"/>
      <c r="B38" s="79"/>
      <c r="C38" s="101"/>
      <c r="D38" s="933" t="s">
        <v>1128</v>
      </c>
      <c r="E38" s="934"/>
      <c r="F38" s="934"/>
      <c r="G38" s="934"/>
      <c r="H38" s="934"/>
      <c r="I38" s="935"/>
      <c r="J38" s="104">
        <f>+J36-J37</f>
        <v>67.069999999999993</v>
      </c>
    </row>
    <row r="39" spans="1:10" ht="21" thickBot="1" x14ac:dyDescent="0.35">
      <c r="A39" s="936" t="s">
        <v>1129</v>
      </c>
      <c r="B39" s="937"/>
      <c r="C39" s="938"/>
      <c r="D39" s="939" t="s">
        <v>1130</v>
      </c>
      <c r="E39" s="940"/>
      <c r="F39" s="940"/>
      <c r="G39" s="940"/>
      <c r="H39" s="940"/>
      <c r="I39" s="940"/>
      <c r="J39" s="941"/>
    </row>
    <row r="40" spans="1:10" ht="38.25" customHeight="1" thickBot="1" x14ac:dyDescent="0.35">
      <c r="A40" s="942" t="str">
        <f>PPTO!G3</f>
        <v>JUNIO DE 2026</v>
      </c>
      <c r="B40" s="943"/>
      <c r="C40" s="944"/>
      <c r="D40" s="921"/>
      <c r="E40" s="922"/>
      <c r="F40" s="922"/>
      <c r="G40" s="922"/>
      <c r="H40" s="922"/>
      <c r="I40" s="922"/>
      <c r="J40" s="923"/>
    </row>
    <row r="41" spans="1:10" ht="19.5" thickBot="1" x14ac:dyDescent="0.35">
      <c r="A41" s="918"/>
      <c r="B41" s="919"/>
      <c r="C41" s="920"/>
      <c r="D41" s="921" t="s">
        <v>1131</v>
      </c>
      <c r="E41" s="922"/>
      <c r="F41" s="922"/>
      <c r="G41" s="922"/>
      <c r="H41" s="922"/>
      <c r="I41" s="922"/>
      <c r="J41" s="923"/>
    </row>
  </sheetData>
  <mergeCells count="19">
    <mergeCell ref="A41:C41"/>
    <mergeCell ref="D41:J41"/>
    <mergeCell ref="D6:D7"/>
    <mergeCell ref="E6:G6"/>
    <mergeCell ref="I6:I7"/>
    <mergeCell ref="J6:J7"/>
    <mergeCell ref="D36:I36"/>
    <mergeCell ref="D37:I37"/>
    <mergeCell ref="D38:I38"/>
    <mergeCell ref="A39:C39"/>
    <mergeCell ref="D39:J39"/>
    <mergeCell ref="A40:C40"/>
    <mergeCell ref="D40:J40"/>
    <mergeCell ref="A2:J2"/>
    <mergeCell ref="A3:J3"/>
    <mergeCell ref="A4:J4"/>
    <mergeCell ref="C5:D5"/>
    <mergeCell ref="G5:H5"/>
    <mergeCell ref="I5:J5"/>
  </mergeCells>
  <conditionalFormatting sqref="J8:J35">
    <cfRule type="cellIs" dxfId="67" priority="1" operator="equal">
      <formula>0</formula>
    </cfRule>
  </conditionalFormatting>
  <pageMargins left="0.7" right="0.7" top="0.75" bottom="0.75" header="0.3" footer="0.3"/>
  <pageSetup scale="53" orientation="landscape"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357317-78CA-49A3-A29F-61CB32360306}">
  <sheetPr>
    <tabColor rgb="FFD4ECBA"/>
    <pageSetUpPr fitToPage="1"/>
  </sheetPr>
  <dimension ref="A1:J41"/>
  <sheetViews>
    <sheetView showOutlineSymbols="0" zoomScale="70" zoomScaleNormal="70" workbookViewId="0">
      <selection activeCell="A2" sqref="A2:J4"/>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05.75" customHeight="1" thickBot="1" x14ac:dyDescent="0.35">
      <c r="A5" s="72" t="s">
        <v>5</v>
      </c>
      <c r="B5" s="73">
        <v>1.3</v>
      </c>
      <c r="C5" s="913" t="str">
        <f>+VLOOKUP(B5,PPTO!B8:G94,2,FALSE)</f>
        <v>Instalación de CERRAMIENTO PROVISIONAL en tela verde con una altura de 2,1 m. Incluye suministro, transporte, instalación y desmonte de la tela y estructura en larguero común, excavación manual en cualquier material y todos los demás elementos necesarios para su correcta instalación.</v>
      </c>
      <c r="D5" s="914"/>
      <c r="E5" s="72" t="s">
        <v>7</v>
      </c>
      <c r="F5" s="74" t="str">
        <f>+VLOOKUP(B5,PPTO!B8:G94,3,FALSE)</f>
        <v>ML</v>
      </c>
      <c r="G5" s="915" t="s">
        <v>1120</v>
      </c>
      <c r="H5" s="915"/>
      <c r="I5" s="916">
        <f>+VLOOKUP(B5,PPTO!B8:G94,5,FALSE)</f>
        <v>37142</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8" x14ac:dyDescent="0.3">
      <c r="A8" s="78"/>
      <c r="B8" s="79"/>
      <c r="C8" s="79"/>
      <c r="D8" s="84" t="s">
        <v>1133</v>
      </c>
      <c r="E8" s="85"/>
      <c r="F8" s="389">
        <v>59.98</v>
      </c>
      <c r="G8" s="85"/>
      <c r="H8" s="85"/>
      <c r="I8" s="86">
        <v>1</v>
      </c>
      <c r="J8" s="87">
        <f>+PRODUCT(E8:I8)</f>
        <v>59.98</v>
      </c>
    </row>
    <row r="9" spans="1:10" ht="18" x14ac:dyDescent="0.3">
      <c r="A9" s="78"/>
      <c r="B9" s="79"/>
      <c r="C9" s="79"/>
      <c r="D9" s="88" t="s">
        <v>1134</v>
      </c>
      <c r="E9" s="89"/>
      <c r="F9" s="390">
        <v>59.91</v>
      </c>
      <c r="G9" s="89"/>
      <c r="H9" s="89"/>
      <c r="I9" s="90">
        <v>1</v>
      </c>
      <c r="J9" s="91">
        <f t="shared" ref="J9:J35" si="0">+PRODUCT(E9:I9)</f>
        <v>59.91</v>
      </c>
    </row>
    <row r="10" spans="1:10" ht="18" x14ac:dyDescent="0.3">
      <c r="A10" s="78"/>
      <c r="B10" s="79"/>
      <c r="C10" s="79"/>
      <c r="D10" s="88" t="s">
        <v>1135</v>
      </c>
      <c r="E10" s="89"/>
      <c r="F10" s="390">
        <v>23.43</v>
      </c>
      <c r="G10" s="89"/>
      <c r="H10" s="89"/>
      <c r="I10" s="90">
        <v>1</v>
      </c>
      <c r="J10" s="91">
        <f t="shared" si="0"/>
        <v>23.43</v>
      </c>
    </row>
    <row r="11" spans="1:10" ht="18" x14ac:dyDescent="0.3">
      <c r="A11" s="78"/>
      <c r="B11" s="79"/>
      <c r="C11" s="79"/>
      <c r="D11" s="88" t="s">
        <v>1136</v>
      </c>
      <c r="E11" s="89"/>
      <c r="F11" s="390">
        <v>24.75</v>
      </c>
      <c r="G11" s="89"/>
      <c r="H11" s="89"/>
      <c r="I11" s="90">
        <v>1</v>
      </c>
      <c r="J11" s="91">
        <f t="shared" si="0"/>
        <v>24.75</v>
      </c>
    </row>
    <row r="12" spans="1:10" ht="18" x14ac:dyDescent="0.3">
      <c r="A12" s="78"/>
      <c r="B12" s="79"/>
      <c r="C12" s="79"/>
      <c r="D12" s="88"/>
      <c r="E12" s="89"/>
      <c r="F12" s="89"/>
      <c r="G12" s="89"/>
      <c r="H12" s="89"/>
      <c r="I12" s="90"/>
      <c r="J12" s="91">
        <f t="shared" si="0"/>
        <v>0</v>
      </c>
    </row>
    <row r="13" spans="1:10" ht="18" x14ac:dyDescent="0.3">
      <c r="A13" s="78"/>
      <c r="B13" s="79"/>
      <c r="C13" s="79"/>
      <c r="D13" s="88"/>
      <c r="E13" s="89"/>
      <c r="F13" s="89"/>
      <c r="G13" s="89"/>
      <c r="H13" s="89"/>
      <c r="I13" s="90"/>
      <c r="J13" s="91">
        <f t="shared" si="0"/>
        <v>0</v>
      </c>
    </row>
    <row r="14" spans="1:10" ht="18" x14ac:dyDescent="0.3">
      <c r="A14" s="78"/>
      <c r="B14" s="79"/>
      <c r="C14" s="79"/>
      <c r="D14" s="88"/>
      <c r="E14" s="89"/>
      <c r="F14" s="89"/>
      <c r="G14" s="89"/>
      <c r="H14" s="89"/>
      <c r="I14" s="90"/>
      <c r="J14" s="91">
        <f t="shared" si="0"/>
        <v>0</v>
      </c>
    </row>
    <row r="15" spans="1:10" ht="18" x14ac:dyDescent="0.3">
      <c r="A15" s="78"/>
      <c r="B15" s="79"/>
      <c r="C15" s="79"/>
      <c r="D15" s="88"/>
      <c r="E15" s="89"/>
      <c r="F15" s="89"/>
      <c r="G15" s="89"/>
      <c r="H15" s="89"/>
      <c r="I15" s="90"/>
      <c r="J15" s="91">
        <f t="shared" si="0"/>
        <v>0</v>
      </c>
    </row>
    <row r="16" spans="1:10" ht="18" x14ac:dyDescent="0.3">
      <c r="A16" s="78"/>
      <c r="B16" s="79"/>
      <c r="C16" s="79"/>
      <c r="D16" s="88"/>
      <c r="E16" s="89"/>
      <c r="F16" s="89"/>
      <c r="G16" s="89"/>
      <c r="H16" s="89"/>
      <c r="I16" s="90"/>
      <c r="J16" s="91">
        <f t="shared" si="0"/>
        <v>0</v>
      </c>
    </row>
    <row r="17" spans="1:10" ht="18" x14ac:dyDescent="0.3">
      <c r="A17" s="78"/>
      <c r="B17" s="79"/>
      <c r="C17" s="79"/>
      <c r="D17" s="88"/>
      <c r="E17" s="89"/>
      <c r="F17" s="89"/>
      <c r="G17" s="89"/>
      <c r="H17" s="89"/>
      <c r="I17" s="90"/>
      <c r="J17" s="91">
        <f t="shared" si="0"/>
        <v>0</v>
      </c>
    </row>
    <row r="18" spans="1:10" ht="18" x14ac:dyDescent="0.3">
      <c r="A18" s="78"/>
      <c r="B18" s="79"/>
      <c r="C18" s="79"/>
      <c r="D18" s="88"/>
      <c r="E18" s="89"/>
      <c r="F18" s="89"/>
      <c r="G18" s="89"/>
      <c r="H18" s="89"/>
      <c r="I18" s="90"/>
      <c r="J18" s="91">
        <f t="shared" si="0"/>
        <v>0</v>
      </c>
    </row>
    <row r="19" spans="1:10" ht="18" x14ac:dyDescent="0.3">
      <c r="A19" s="78"/>
      <c r="B19" s="79"/>
      <c r="C19" s="79"/>
      <c r="D19" s="88"/>
      <c r="E19" s="89"/>
      <c r="F19" s="89"/>
      <c r="G19" s="89"/>
      <c r="H19" s="89"/>
      <c r="I19" s="90"/>
      <c r="J19" s="91">
        <f t="shared" si="0"/>
        <v>0</v>
      </c>
    </row>
    <row r="20" spans="1:10" ht="18" x14ac:dyDescent="0.3">
      <c r="A20" s="78"/>
      <c r="B20" s="79"/>
      <c r="C20" s="79"/>
      <c r="D20" s="88"/>
      <c r="E20" s="89"/>
      <c r="F20" s="89"/>
      <c r="G20" s="89"/>
      <c r="H20" s="89"/>
      <c r="I20" s="90"/>
      <c r="J20" s="91">
        <f t="shared" si="0"/>
        <v>0</v>
      </c>
    </row>
    <row r="21" spans="1:10" ht="18" x14ac:dyDescent="0.3">
      <c r="A21" s="78"/>
      <c r="B21" s="79"/>
      <c r="C21" s="79"/>
      <c r="D21" s="88"/>
      <c r="E21" s="89"/>
      <c r="F21" s="89"/>
      <c r="G21" s="89"/>
      <c r="H21" s="89"/>
      <c r="I21" s="90"/>
      <c r="J21" s="91">
        <f t="shared" si="0"/>
        <v>0</v>
      </c>
    </row>
    <row r="22" spans="1:10" ht="18" x14ac:dyDescent="0.3">
      <c r="A22" s="78"/>
      <c r="B22" s="79"/>
      <c r="C22" s="79"/>
      <c r="D22" s="88"/>
      <c r="E22" s="89"/>
      <c r="F22" s="89"/>
      <c r="G22" s="89"/>
      <c r="H22" s="89"/>
      <c r="I22" s="90"/>
      <c r="J22" s="91">
        <f t="shared" si="0"/>
        <v>0</v>
      </c>
    </row>
    <row r="23" spans="1:10" ht="18" x14ac:dyDescent="0.3">
      <c r="A23" s="78"/>
      <c r="B23" s="79"/>
      <c r="C23" s="79"/>
      <c r="D23" s="88"/>
      <c r="E23" s="89"/>
      <c r="F23" s="89"/>
      <c r="G23" s="89"/>
      <c r="H23" s="89"/>
      <c r="I23" s="90"/>
      <c r="J23" s="91">
        <f t="shared" si="0"/>
        <v>0</v>
      </c>
    </row>
    <row r="24" spans="1:10" ht="18" x14ac:dyDescent="0.3">
      <c r="A24" s="78"/>
      <c r="B24" s="79"/>
      <c r="C24" s="79"/>
      <c r="D24" s="88"/>
      <c r="E24" s="89"/>
      <c r="F24" s="89"/>
      <c r="G24" s="89"/>
      <c r="H24" s="89"/>
      <c r="I24" s="90"/>
      <c r="J24" s="91">
        <f t="shared" si="0"/>
        <v>0</v>
      </c>
    </row>
    <row r="25" spans="1:10" ht="18" x14ac:dyDescent="0.3">
      <c r="A25" s="78"/>
      <c r="B25" s="79"/>
      <c r="C25" s="79"/>
      <c r="D25" s="88"/>
      <c r="E25" s="89"/>
      <c r="F25" s="89"/>
      <c r="G25" s="89"/>
      <c r="H25" s="89"/>
      <c r="I25" s="90"/>
      <c r="J25" s="91">
        <f t="shared" si="0"/>
        <v>0</v>
      </c>
    </row>
    <row r="26" spans="1:10" ht="18" x14ac:dyDescent="0.3">
      <c r="A26" s="78"/>
      <c r="B26" s="79"/>
      <c r="C26" s="79"/>
      <c r="D26" s="88"/>
      <c r="E26" s="89"/>
      <c r="F26" s="89"/>
      <c r="G26" s="89"/>
      <c r="H26" s="89"/>
      <c r="I26" s="90"/>
      <c r="J26" s="91">
        <f t="shared" si="0"/>
        <v>0</v>
      </c>
    </row>
    <row r="27" spans="1:10" ht="18" x14ac:dyDescent="0.3">
      <c r="A27" s="78"/>
      <c r="B27" s="79"/>
      <c r="C27" s="79"/>
      <c r="D27" s="88"/>
      <c r="E27" s="89"/>
      <c r="F27" s="89"/>
      <c r="G27" s="89"/>
      <c r="H27" s="89"/>
      <c r="I27" s="90"/>
      <c r="J27" s="91">
        <f t="shared" si="0"/>
        <v>0</v>
      </c>
    </row>
    <row r="28" spans="1:10" ht="18" x14ac:dyDescent="0.3">
      <c r="A28" s="78"/>
      <c r="B28" s="79"/>
      <c r="C28" s="79"/>
      <c r="D28" s="88"/>
      <c r="E28" s="89"/>
      <c r="F28" s="89"/>
      <c r="G28" s="92"/>
      <c r="H28" s="92"/>
      <c r="I28" s="93"/>
      <c r="J28" s="91">
        <f t="shared" si="0"/>
        <v>0</v>
      </c>
    </row>
    <row r="29" spans="1:10" ht="18" x14ac:dyDescent="0.3">
      <c r="A29" s="78"/>
      <c r="B29" s="79"/>
      <c r="C29" s="79"/>
      <c r="D29" s="88"/>
      <c r="E29" s="89"/>
      <c r="F29" s="89"/>
      <c r="G29" s="92"/>
      <c r="H29" s="92"/>
      <c r="I29" s="93"/>
      <c r="J29" s="91">
        <f t="shared" si="0"/>
        <v>0</v>
      </c>
    </row>
    <row r="30" spans="1:10" ht="18" x14ac:dyDescent="0.3">
      <c r="A30" s="78"/>
      <c r="B30" s="79"/>
      <c r="C30" s="79"/>
      <c r="D30" s="88"/>
      <c r="E30" s="89"/>
      <c r="F30" s="89"/>
      <c r="G30" s="92"/>
      <c r="H30" s="92"/>
      <c r="I30" s="93"/>
      <c r="J30" s="91">
        <f t="shared" si="0"/>
        <v>0</v>
      </c>
    </row>
    <row r="31" spans="1:10" ht="18" x14ac:dyDescent="0.3">
      <c r="A31" s="78"/>
      <c r="B31" s="79"/>
      <c r="C31" s="79"/>
      <c r="D31" s="88"/>
      <c r="E31" s="89"/>
      <c r="F31" s="89"/>
      <c r="G31" s="92"/>
      <c r="H31" s="92"/>
      <c r="I31" s="93"/>
      <c r="J31" s="91">
        <f t="shared" si="0"/>
        <v>0</v>
      </c>
    </row>
    <row r="32" spans="1:10" ht="18" x14ac:dyDescent="0.3">
      <c r="A32" s="78"/>
      <c r="B32" s="79"/>
      <c r="C32" s="79"/>
      <c r="D32" s="94"/>
      <c r="E32" s="89"/>
      <c r="F32" s="89"/>
      <c r="G32" s="92"/>
      <c r="H32" s="92"/>
      <c r="I32" s="93"/>
      <c r="J32" s="91">
        <f t="shared" si="0"/>
        <v>0</v>
      </c>
    </row>
    <row r="33" spans="1:10" ht="18" x14ac:dyDescent="0.3">
      <c r="A33" s="78"/>
      <c r="B33" s="79"/>
      <c r="C33" s="79"/>
      <c r="D33" s="94"/>
      <c r="E33" s="89"/>
      <c r="F33" s="89"/>
      <c r="G33" s="92"/>
      <c r="H33" s="92"/>
      <c r="I33" s="93"/>
      <c r="J33" s="91">
        <f t="shared" si="0"/>
        <v>0</v>
      </c>
    </row>
    <row r="34" spans="1:10" ht="18" x14ac:dyDescent="0.3">
      <c r="A34" s="78"/>
      <c r="B34" s="79"/>
      <c r="C34" s="79"/>
      <c r="D34" s="95"/>
      <c r="E34" s="89"/>
      <c r="F34" s="89"/>
      <c r="G34" s="92"/>
      <c r="H34" s="92"/>
      <c r="I34" s="93"/>
      <c r="J34" s="91">
        <f t="shared" si="0"/>
        <v>0</v>
      </c>
    </row>
    <row r="35" spans="1:10" ht="18.75" thickBot="1" x14ac:dyDescent="0.35">
      <c r="A35" s="78"/>
      <c r="B35" s="79"/>
      <c r="C35" s="79"/>
      <c r="D35" s="96"/>
      <c r="E35" s="97"/>
      <c r="F35" s="97"/>
      <c r="G35" s="98"/>
      <c r="H35" s="98"/>
      <c r="I35" s="99"/>
      <c r="J35" s="100">
        <f t="shared" si="0"/>
        <v>0</v>
      </c>
    </row>
    <row r="36" spans="1:10" ht="21" thickBot="1" x14ac:dyDescent="0.35">
      <c r="A36" s="78"/>
      <c r="B36" s="79"/>
      <c r="C36" s="79"/>
      <c r="D36" s="933" t="s">
        <v>10</v>
      </c>
      <c r="E36" s="934"/>
      <c r="F36" s="934"/>
      <c r="G36" s="934"/>
      <c r="H36" s="934"/>
      <c r="I36" s="935"/>
      <c r="J36" s="102">
        <f>ROUND(SUM(J8:J35),2)</f>
        <v>168.07</v>
      </c>
    </row>
    <row r="37" spans="1:10" ht="21" thickBot="1" x14ac:dyDescent="0.35">
      <c r="A37" s="78"/>
      <c r="B37" s="79"/>
      <c r="C37" s="79"/>
      <c r="D37" s="933" t="s">
        <v>1127</v>
      </c>
      <c r="E37" s="934"/>
      <c r="F37" s="934"/>
      <c r="G37" s="934"/>
      <c r="H37" s="934"/>
      <c r="I37" s="935"/>
      <c r="J37" s="103"/>
    </row>
    <row r="38" spans="1:10" ht="21" thickBot="1" x14ac:dyDescent="0.35">
      <c r="A38" s="78"/>
      <c r="B38" s="79"/>
      <c r="C38" s="101"/>
      <c r="D38" s="933" t="s">
        <v>1128</v>
      </c>
      <c r="E38" s="934"/>
      <c r="F38" s="934"/>
      <c r="G38" s="934"/>
      <c r="H38" s="934"/>
      <c r="I38" s="935"/>
      <c r="J38" s="104">
        <f>+J36-J37</f>
        <v>168.07</v>
      </c>
    </row>
    <row r="39" spans="1:10" ht="21" thickBot="1" x14ac:dyDescent="0.35">
      <c r="A39" s="936" t="s">
        <v>1129</v>
      </c>
      <c r="B39" s="937"/>
      <c r="C39" s="938"/>
      <c r="D39" s="939" t="s">
        <v>1130</v>
      </c>
      <c r="E39" s="940"/>
      <c r="F39" s="940"/>
      <c r="G39" s="940"/>
      <c r="H39" s="940"/>
      <c r="I39" s="940"/>
      <c r="J39" s="941"/>
    </row>
    <row r="40" spans="1:10" ht="38.25" customHeight="1" thickBot="1" x14ac:dyDescent="0.35">
      <c r="A40" s="942" t="str">
        <f>PPTO!G3</f>
        <v>JUNIO DE 2026</v>
      </c>
      <c r="B40" s="943"/>
      <c r="C40" s="944"/>
      <c r="D40" s="921"/>
      <c r="E40" s="922"/>
      <c r="F40" s="922"/>
      <c r="G40" s="922"/>
      <c r="H40" s="922"/>
      <c r="I40" s="922"/>
      <c r="J40" s="923"/>
    </row>
    <row r="41" spans="1:10" ht="19.5" thickBot="1" x14ac:dyDescent="0.35">
      <c r="A41" s="918"/>
      <c r="B41" s="919"/>
      <c r="C41" s="920"/>
      <c r="D41" s="921" t="s">
        <v>1131</v>
      </c>
      <c r="E41" s="922"/>
      <c r="F41" s="922"/>
      <c r="G41" s="922"/>
      <c r="H41" s="922"/>
      <c r="I41" s="922"/>
      <c r="J41" s="923"/>
    </row>
  </sheetData>
  <mergeCells count="19">
    <mergeCell ref="A41:C41"/>
    <mergeCell ref="D41:J41"/>
    <mergeCell ref="D6:D7"/>
    <mergeCell ref="E6:G6"/>
    <mergeCell ref="I6:I7"/>
    <mergeCell ref="J6:J7"/>
    <mergeCell ref="D36:I36"/>
    <mergeCell ref="D37:I37"/>
    <mergeCell ref="D38:I38"/>
    <mergeCell ref="A39:C39"/>
    <mergeCell ref="D39:J39"/>
    <mergeCell ref="A40:C40"/>
    <mergeCell ref="D40:J40"/>
    <mergeCell ref="A2:J2"/>
    <mergeCell ref="A3:J3"/>
    <mergeCell ref="A4:J4"/>
    <mergeCell ref="C5:D5"/>
    <mergeCell ref="G5:H5"/>
    <mergeCell ref="I5:J5"/>
  </mergeCells>
  <conditionalFormatting sqref="J8:J35">
    <cfRule type="cellIs" dxfId="66" priority="1" operator="equal">
      <formula>0</formula>
    </cfRule>
  </conditionalFormatting>
  <pageMargins left="0.7" right="0.7" top="0.75" bottom="0.75" header="0.3" footer="0.3"/>
  <pageSetup scale="53"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DAF62A-E2F1-4FBA-A2D6-034A4BEF6F2F}">
  <sheetPr>
    <tabColor rgb="FF92D050"/>
    <pageSetUpPr fitToPage="1"/>
  </sheetPr>
  <dimension ref="A1:J41"/>
  <sheetViews>
    <sheetView showOutlineSymbols="0" zoomScale="70" zoomScaleNormal="70" workbookViewId="0">
      <selection activeCell="J9" sqref="J9"/>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05.75" customHeight="1" thickBot="1" x14ac:dyDescent="0.35">
      <c r="A5" s="72" t="s">
        <v>5</v>
      </c>
      <c r="B5" s="73">
        <v>2.1</v>
      </c>
      <c r="C5" s="913" t="str">
        <f>+VLOOKUP(B5,PPTO!B8:G94,2,FALSE)</f>
        <v xml:space="preserve">EXCAVACIÓN de material heterogéneo DE 0-2 m., bajo cualquier grado de humedad. Incluye: roca descompuesta, bolas de roca de volumen inferior a 0.035 m³. Incluye botada </v>
      </c>
      <c r="D5" s="914"/>
      <c r="E5" s="72" t="s">
        <v>7</v>
      </c>
      <c r="F5" s="74" t="str">
        <f>+VLOOKUP(B5,PPTO!B8:G94,3,FALSE)</f>
        <v>M3</v>
      </c>
      <c r="G5" s="915" t="s">
        <v>1120</v>
      </c>
      <c r="H5" s="915"/>
      <c r="I5" s="916">
        <f>+VLOOKUP(B5,PPTO!B8:G94,5,FALSE)</f>
        <v>73235</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8" x14ac:dyDescent="0.3">
      <c r="A8" s="78"/>
      <c r="B8" s="79"/>
      <c r="C8" s="79"/>
      <c r="D8" s="88" t="s">
        <v>1137</v>
      </c>
      <c r="E8" s="89">
        <v>1</v>
      </c>
      <c r="F8" s="89">
        <v>1</v>
      </c>
      <c r="G8" s="89">
        <v>1.9</v>
      </c>
      <c r="H8" s="89"/>
      <c r="I8" s="90">
        <v>28</v>
      </c>
      <c r="J8" s="91">
        <f t="shared" ref="J8:J19" si="0">+PRODUCT(E8:I8)</f>
        <v>53.199999999999996</v>
      </c>
    </row>
    <row r="9" spans="1:10" ht="18" x14ac:dyDescent="0.3">
      <c r="A9" s="78"/>
      <c r="B9" s="79"/>
      <c r="C9" s="79"/>
      <c r="D9" s="88" t="s">
        <v>1138</v>
      </c>
      <c r="E9" s="89">
        <v>0.3</v>
      </c>
      <c r="F9" s="89">
        <f>9.58-0.9</f>
        <v>8.68</v>
      </c>
      <c r="G9" s="89">
        <v>1.3</v>
      </c>
      <c r="H9" s="89"/>
      <c r="I9" s="90">
        <v>9</v>
      </c>
      <c r="J9" s="91">
        <f t="shared" si="0"/>
        <v>30.466799999999999</v>
      </c>
    </row>
    <row r="10" spans="1:10" ht="18" x14ac:dyDescent="0.3">
      <c r="A10" s="78"/>
      <c r="B10" s="79"/>
      <c r="C10" s="79"/>
      <c r="D10" s="88" t="s">
        <v>1139</v>
      </c>
      <c r="E10" s="89">
        <v>0.3</v>
      </c>
      <c r="F10" s="89">
        <f>37.65-(9*0.3)</f>
        <v>34.949999999999996</v>
      </c>
      <c r="G10" s="89">
        <v>1.3</v>
      </c>
      <c r="H10" s="89"/>
      <c r="I10" s="90">
        <v>2</v>
      </c>
      <c r="J10" s="91">
        <f t="shared" si="0"/>
        <v>27.260999999999996</v>
      </c>
    </row>
    <row r="11" spans="1:10" ht="18" x14ac:dyDescent="0.3">
      <c r="A11" s="78"/>
      <c r="B11" s="79"/>
      <c r="C11" s="79"/>
      <c r="D11" s="88" t="s">
        <v>1140</v>
      </c>
      <c r="E11" s="89">
        <v>0.3</v>
      </c>
      <c r="F11" s="89">
        <f>34.95-3.63-3.92+4.06+3.77</f>
        <v>35.230000000000004</v>
      </c>
      <c r="G11" s="89">
        <v>1.3</v>
      </c>
      <c r="H11" s="89"/>
      <c r="I11" s="90">
        <v>1</v>
      </c>
      <c r="J11" s="91">
        <f t="shared" si="0"/>
        <v>13.739700000000001</v>
      </c>
    </row>
    <row r="12" spans="1:10" ht="18" x14ac:dyDescent="0.3">
      <c r="A12" s="78"/>
      <c r="B12" s="79"/>
      <c r="C12" s="79"/>
      <c r="D12" s="88"/>
      <c r="E12" s="89"/>
      <c r="F12" s="89"/>
      <c r="G12" s="89"/>
      <c r="H12" s="89"/>
      <c r="I12" s="90"/>
      <c r="J12" s="91">
        <f t="shared" si="0"/>
        <v>0</v>
      </c>
    </row>
    <row r="13" spans="1:10" ht="18" x14ac:dyDescent="0.3">
      <c r="A13" s="78"/>
      <c r="B13" s="79"/>
      <c r="C13" s="79"/>
      <c r="D13" s="88"/>
      <c r="E13" s="89"/>
      <c r="F13" s="89"/>
      <c r="G13" s="89"/>
      <c r="H13" s="89"/>
      <c r="I13" s="90"/>
      <c r="J13" s="91">
        <f t="shared" si="0"/>
        <v>0</v>
      </c>
    </row>
    <row r="14" spans="1:10" ht="18" x14ac:dyDescent="0.3">
      <c r="A14" s="78"/>
      <c r="B14" s="79"/>
      <c r="C14" s="79"/>
      <c r="D14" s="88"/>
      <c r="E14" s="89"/>
      <c r="F14" s="89"/>
      <c r="G14" s="89"/>
      <c r="H14" s="89"/>
      <c r="I14" s="90"/>
      <c r="J14" s="91">
        <f t="shared" si="0"/>
        <v>0</v>
      </c>
    </row>
    <row r="15" spans="1:10" ht="18" x14ac:dyDescent="0.3">
      <c r="A15" s="78"/>
      <c r="B15" s="79"/>
      <c r="C15" s="79"/>
      <c r="D15" s="88"/>
      <c r="E15" s="89"/>
      <c r="F15" s="89"/>
      <c r="G15" s="89"/>
      <c r="H15" s="89"/>
      <c r="I15" s="90"/>
      <c r="J15" s="91">
        <f t="shared" si="0"/>
        <v>0</v>
      </c>
    </row>
    <row r="16" spans="1:10" ht="18" x14ac:dyDescent="0.3">
      <c r="A16" s="78"/>
      <c r="B16" s="79"/>
      <c r="C16" s="79"/>
      <c r="D16" s="88"/>
      <c r="E16" s="89"/>
      <c r="F16" s="89"/>
      <c r="G16" s="89"/>
      <c r="H16" s="89"/>
      <c r="I16" s="90"/>
      <c r="J16" s="91">
        <f t="shared" si="0"/>
        <v>0</v>
      </c>
    </row>
    <row r="17" spans="1:10" ht="18" x14ac:dyDescent="0.3">
      <c r="A17" s="78"/>
      <c r="B17" s="79"/>
      <c r="C17" s="79"/>
      <c r="D17" s="88"/>
      <c r="E17" s="89"/>
      <c r="F17" s="89"/>
      <c r="G17" s="89"/>
      <c r="H17" s="89"/>
      <c r="I17" s="90"/>
      <c r="J17" s="91">
        <f t="shared" si="0"/>
        <v>0</v>
      </c>
    </row>
    <row r="18" spans="1:10" ht="18" x14ac:dyDescent="0.3">
      <c r="A18" s="78"/>
      <c r="B18" s="79"/>
      <c r="C18" s="79"/>
      <c r="D18" s="88"/>
      <c r="E18" s="89"/>
      <c r="F18" s="89"/>
      <c r="G18" s="89"/>
      <c r="H18" s="89"/>
      <c r="I18" s="90"/>
      <c r="J18" s="91">
        <f t="shared" si="0"/>
        <v>0</v>
      </c>
    </row>
    <row r="19" spans="1:10" ht="18" x14ac:dyDescent="0.3">
      <c r="A19" s="78"/>
      <c r="B19" s="79"/>
      <c r="C19" s="79"/>
      <c r="D19" s="88"/>
      <c r="E19" s="89"/>
      <c r="F19" s="89"/>
      <c r="G19" s="89"/>
      <c r="H19" s="89"/>
      <c r="I19" s="90"/>
      <c r="J19" s="91">
        <f t="shared" si="0"/>
        <v>0</v>
      </c>
    </row>
    <row r="20" spans="1:10" ht="18" x14ac:dyDescent="0.3">
      <c r="A20" s="78"/>
      <c r="B20" s="79"/>
      <c r="C20" s="79"/>
      <c r="D20" s="88"/>
      <c r="E20" s="89"/>
      <c r="F20" s="89"/>
      <c r="G20" s="89"/>
      <c r="H20" s="89"/>
      <c r="I20" s="90"/>
      <c r="J20" s="91">
        <f t="shared" ref="J20:J35" si="1">+PRODUCT(E20:I20)</f>
        <v>0</v>
      </c>
    </row>
    <row r="21" spans="1:10" ht="18" x14ac:dyDescent="0.3">
      <c r="A21" s="78"/>
      <c r="B21" s="79"/>
      <c r="C21" s="79"/>
      <c r="D21" s="88"/>
      <c r="E21" s="89"/>
      <c r="F21" s="89"/>
      <c r="G21" s="89"/>
      <c r="H21" s="89"/>
      <c r="I21" s="90"/>
      <c r="J21" s="91">
        <f t="shared" si="1"/>
        <v>0</v>
      </c>
    </row>
    <row r="22" spans="1:10" ht="18" x14ac:dyDescent="0.3">
      <c r="A22" s="78"/>
      <c r="B22" s="79"/>
      <c r="C22" s="79"/>
      <c r="D22" s="88"/>
      <c r="E22" s="89"/>
      <c r="F22" s="89"/>
      <c r="G22" s="89"/>
      <c r="H22" s="89"/>
      <c r="I22" s="90"/>
      <c r="J22" s="91">
        <f t="shared" si="1"/>
        <v>0</v>
      </c>
    </row>
    <row r="23" spans="1:10" ht="18" x14ac:dyDescent="0.3">
      <c r="A23" s="78"/>
      <c r="B23" s="79"/>
      <c r="C23" s="79"/>
      <c r="D23" s="88"/>
      <c r="E23" s="89"/>
      <c r="F23" s="89"/>
      <c r="G23" s="89"/>
      <c r="H23" s="89"/>
      <c r="I23" s="90"/>
      <c r="J23" s="91">
        <f t="shared" si="1"/>
        <v>0</v>
      </c>
    </row>
    <row r="24" spans="1:10" ht="18" x14ac:dyDescent="0.3">
      <c r="A24" s="78"/>
      <c r="B24" s="79"/>
      <c r="C24" s="79"/>
      <c r="D24" s="88"/>
      <c r="E24" s="89"/>
      <c r="F24" s="89"/>
      <c r="G24" s="89"/>
      <c r="H24" s="89"/>
      <c r="I24" s="90"/>
      <c r="J24" s="91">
        <f t="shared" si="1"/>
        <v>0</v>
      </c>
    </row>
    <row r="25" spans="1:10" ht="18" x14ac:dyDescent="0.3">
      <c r="A25" s="78"/>
      <c r="B25" s="79"/>
      <c r="C25" s="79"/>
      <c r="D25" s="88"/>
      <c r="E25" s="89"/>
      <c r="F25" s="89"/>
      <c r="G25" s="89"/>
      <c r="H25" s="89"/>
      <c r="I25" s="90"/>
      <c r="J25" s="91">
        <f t="shared" si="1"/>
        <v>0</v>
      </c>
    </row>
    <row r="26" spans="1:10" ht="18" x14ac:dyDescent="0.3">
      <c r="A26" s="78"/>
      <c r="B26" s="79"/>
      <c r="C26" s="79"/>
      <c r="D26" s="88"/>
      <c r="E26" s="89"/>
      <c r="F26" s="89"/>
      <c r="G26" s="89"/>
      <c r="H26" s="89"/>
      <c r="I26" s="90"/>
      <c r="J26" s="91">
        <f t="shared" si="1"/>
        <v>0</v>
      </c>
    </row>
    <row r="27" spans="1:10" ht="18" x14ac:dyDescent="0.3">
      <c r="A27" s="78"/>
      <c r="B27" s="79"/>
      <c r="C27" s="79"/>
      <c r="D27" s="88"/>
      <c r="E27" s="89"/>
      <c r="F27" s="89"/>
      <c r="G27" s="89"/>
      <c r="H27" s="89"/>
      <c r="I27" s="90"/>
      <c r="J27" s="91">
        <f t="shared" si="1"/>
        <v>0</v>
      </c>
    </row>
    <row r="28" spans="1:10" ht="18" x14ac:dyDescent="0.3">
      <c r="A28" s="78"/>
      <c r="B28" s="79"/>
      <c r="C28" s="79"/>
      <c r="D28" s="88"/>
      <c r="E28" s="89"/>
      <c r="F28" s="89"/>
      <c r="G28" s="92"/>
      <c r="H28" s="92"/>
      <c r="I28" s="93"/>
      <c r="J28" s="91">
        <f t="shared" si="1"/>
        <v>0</v>
      </c>
    </row>
    <row r="29" spans="1:10" ht="18" x14ac:dyDescent="0.3">
      <c r="A29" s="78"/>
      <c r="B29" s="79"/>
      <c r="C29" s="79"/>
      <c r="D29" s="88"/>
      <c r="E29" s="89"/>
      <c r="F29" s="89"/>
      <c r="G29" s="92"/>
      <c r="H29" s="92"/>
      <c r="I29" s="93"/>
      <c r="J29" s="91">
        <f t="shared" si="1"/>
        <v>0</v>
      </c>
    </row>
    <row r="30" spans="1:10" ht="18" x14ac:dyDescent="0.3">
      <c r="A30" s="78"/>
      <c r="B30" s="79"/>
      <c r="C30" s="79"/>
      <c r="D30" s="88"/>
      <c r="E30" s="89"/>
      <c r="F30" s="89"/>
      <c r="G30" s="92"/>
      <c r="H30" s="92"/>
      <c r="I30" s="93"/>
      <c r="J30" s="91">
        <f t="shared" si="1"/>
        <v>0</v>
      </c>
    </row>
    <row r="31" spans="1:10" ht="18" x14ac:dyDescent="0.3">
      <c r="A31" s="78"/>
      <c r="B31" s="79"/>
      <c r="C31" s="79"/>
      <c r="D31" s="88"/>
      <c r="E31" s="89"/>
      <c r="F31" s="89"/>
      <c r="G31" s="92"/>
      <c r="H31" s="92"/>
      <c r="I31" s="93"/>
      <c r="J31" s="91">
        <f t="shared" si="1"/>
        <v>0</v>
      </c>
    </row>
    <row r="32" spans="1:10" ht="18" x14ac:dyDescent="0.3">
      <c r="A32" s="78"/>
      <c r="B32" s="79"/>
      <c r="C32" s="79"/>
      <c r="D32" s="94"/>
      <c r="E32" s="89"/>
      <c r="F32" s="89"/>
      <c r="G32" s="92"/>
      <c r="H32" s="92"/>
      <c r="I32" s="93"/>
      <c r="J32" s="91">
        <f t="shared" si="1"/>
        <v>0</v>
      </c>
    </row>
    <row r="33" spans="1:10" ht="18" x14ac:dyDescent="0.3">
      <c r="A33" s="78"/>
      <c r="B33" s="79"/>
      <c r="C33" s="79"/>
      <c r="D33" s="94"/>
      <c r="E33" s="89"/>
      <c r="F33" s="89"/>
      <c r="G33" s="92"/>
      <c r="H33" s="92"/>
      <c r="I33" s="93"/>
      <c r="J33" s="91">
        <f t="shared" si="1"/>
        <v>0</v>
      </c>
    </row>
    <row r="34" spans="1:10" ht="18" x14ac:dyDescent="0.3">
      <c r="A34" s="78"/>
      <c r="B34" s="79"/>
      <c r="C34" s="79"/>
      <c r="D34" s="95"/>
      <c r="E34" s="89"/>
      <c r="F34" s="89"/>
      <c r="G34" s="92"/>
      <c r="H34" s="92"/>
      <c r="I34" s="93"/>
      <c r="J34" s="91">
        <f t="shared" si="1"/>
        <v>0</v>
      </c>
    </row>
    <row r="35" spans="1:10" ht="18.75" thickBot="1" x14ac:dyDescent="0.35">
      <c r="A35" s="78"/>
      <c r="B35" s="79"/>
      <c r="C35" s="79"/>
      <c r="D35" s="96"/>
      <c r="E35" s="97"/>
      <c r="F35" s="97"/>
      <c r="G35" s="98"/>
      <c r="H35" s="98"/>
      <c r="I35" s="99"/>
      <c r="J35" s="100">
        <f t="shared" si="1"/>
        <v>0</v>
      </c>
    </row>
    <row r="36" spans="1:10" ht="21" thickBot="1" x14ac:dyDescent="0.35">
      <c r="A36" s="78"/>
      <c r="B36" s="79"/>
      <c r="C36" s="79"/>
      <c r="D36" s="933" t="s">
        <v>10</v>
      </c>
      <c r="E36" s="934"/>
      <c r="F36" s="934"/>
      <c r="G36" s="934"/>
      <c r="H36" s="934"/>
      <c r="I36" s="935"/>
      <c r="J36" s="102">
        <f>ROUND(SUM(J8:J35),2)</f>
        <v>124.67</v>
      </c>
    </row>
    <row r="37" spans="1:10" ht="21" thickBot="1" x14ac:dyDescent="0.35">
      <c r="A37" s="78"/>
      <c r="B37" s="79"/>
      <c r="C37" s="79"/>
      <c r="D37" s="933" t="s">
        <v>1127</v>
      </c>
      <c r="E37" s="934"/>
      <c r="F37" s="934"/>
      <c r="G37" s="934"/>
      <c r="H37" s="934"/>
      <c r="I37" s="935"/>
      <c r="J37" s="103"/>
    </row>
    <row r="38" spans="1:10" ht="21" thickBot="1" x14ac:dyDescent="0.35">
      <c r="A38" s="78"/>
      <c r="B38" s="79"/>
      <c r="C38" s="101"/>
      <c r="D38" s="933" t="s">
        <v>1128</v>
      </c>
      <c r="E38" s="934"/>
      <c r="F38" s="934"/>
      <c r="G38" s="934"/>
      <c r="H38" s="934"/>
      <c r="I38" s="935"/>
      <c r="J38" s="104">
        <f>+J36-J37</f>
        <v>124.67</v>
      </c>
    </row>
    <row r="39" spans="1:10" ht="21" thickBot="1" x14ac:dyDescent="0.35">
      <c r="A39" s="936" t="s">
        <v>1129</v>
      </c>
      <c r="B39" s="937"/>
      <c r="C39" s="938"/>
      <c r="D39" s="939" t="s">
        <v>1130</v>
      </c>
      <c r="E39" s="940"/>
      <c r="F39" s="940"/>
      <c r="G39" s="940"/>
      <c r="H39" s="940"/>
      <c r="I39" s="940"/>
      <c r="J39" s="941"/>
    </row>
    <row r="40" spans="1:10" ht="38.25" customHeight="1" thickBot="1" x14ac:dyDescent="0.35">
      <c r="A40" s="942" t="str">
        <f>PPTO!G3</f>
        <v>JUNIO DE 2026</v>
      </c>
      <c r="B40" s="943"/>
      <c r="C40" s="944"/>
      <c r="D40" s="921"/>
      <c r="E40" s="922"/>
      <c r="F40" s="922"/>
      <c r="G40" s="922"/>
      <c r="H40" s="922"/>
      <c r="I40" s="922"/>
      <c r="J40" s="923"/>
    </row>
    <row r="41" spans="1:10" ht="19.5" thickBot="1" x14ac:dyDescent="0.35">
      <c r="A41" s="918"/>
      <c r="B41" s="919"/>
      <c r="C41" s="920"/>
      <c r="D41" s="921" t="s">
        <v>1131</v>
      </c>
      <c r="E41" s="922"/>
      <c r="F41" s="922"/>
      <c r="G41" s="922"/>
      <c r="H41" s="922"/>
      <c r="I41" s="922"/>
      <c r="J41" s="923"/>
    </row>
  </sheetData>
  <mergeCells count="19">
    <mergeCell ref="A41:C41"/>
    <mergeCell ref="D41:J41"/>
    <mergeCell ref="D6:D7"/>
    <mergeCell ref="E6:G6"/>
    <mergeCell ref="I6:I7"/>
    <mergeCell ref="J6:J7"/>
    <mergeCell ref="D36:I36"/>
    <mergeCell ref="D37:I37"/>
    <mergeCell ref="D38:I38"/>
    <mergeCell ref="A39:C39"/>
    <mergeCell ref="D39:J39"/>
    <mergeCell ref="A40:C40"/>
    <mergeCell ref="D40:J40"/>
    <mergeCell ref="A2:J2"/>
    <mergeCell ref="A3:J3"/>
    <mergeCell ref="A4:J4"/>
    <mergeCell ref="C5:D5"/>
    <mergeCell ref="G5:H5"/>
    <mergeCell ref="I5:J5"/>
  </mergeCells>
  <conditionalFormatting sqref="J8:J35">
    <cfRule type="cellIs" dxfId="65" priority="1" operator="equal">
      <formula>0</formula>
    </cfRule>
  </conditionalFormatting>
  <pageMargins left="0.7" right="0.7" top="0.75" bottom="0.75" header="0.3" footer="0.3"/>
  <pageSetup scale="53" orientation="landscape"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5DFABF-7F6F-4C0A-9163-88BFE0C8A333}">
  <sheetPr>
    <tabColor rgb="FF92D050"/>
    <pageSetUpPr fitToPage="1"/>
  </sheetPr>
  <dimension ref="A1:J41"/>
  <sheetViews>
    <sheetView showOutlineSymbols="0" topLeftCell="A4" zoomScale="70" zoomScaleNormal="70" workbookViewId="0">
      <selection activeCell="D27" sqref="D27"/>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05.75" customHeight="1" thickBot="1" x14ac:dyDescent="0.35">
      <c r="A5" s="72" t="s">
        <v>5</v>
      </c>
      <c r="B5" s="73">
        <v>2.2000000000000002</v>
      </c>
      <c r="C5" s="913" t="str">
        <f>+VLOOKUP(B5,PPTO!B8:G94,2,FALSE)</f>
        <v>LLENOS CON MATERIAL DE PRESTAMO, compactados mecánicamente hasta obtener una densidad del 98% de la máxima obtenida en el ensayo del Próctor modificado. Incluye el suministro, transporte, colocación de la arenilla, la compactación de la misma y transporte interno. Y su medida será en sitio ya compactado.</v>
      </c>
      <c r="D5" s="914"/>
      <c r="E5" s="72" t="s">
        <v>7</v>
      </c>
      <c r="F5" s="74" t="str">
        <f>+VLOOKUP(B5,PPTO!B8:G94,3,FALSE)</f>
        <v>M3</v>
      </c>
      <c r="G5" s="915" t="s">
        <v>1120</v>
      </c>
      <c r="H5" s="915"/>
      <c r="I5" s="916">
        <f>+VLOOKUP(B5,PPTO!B8:G94,5,FALSE)</f>
        <v>134804</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1141</v>
      </c>
      <c r="F7" s="81" t="s">
        <v>1124</v>
      </c>
      <c r="G7" s="82" t="s">
        <v>1125</v>
      </c>
      <c r="H7" s="83"/>
      <c r="I7" s="930"/>
      <c r="J7" s="932"/>
    </row>
    <row r="8" spans="1:10" ht="18" x14ac:dyDescent="0.3">
      <c r="A8" s="78"/>
      <c r="B8" s="79"/>
      <c r="C8" s="79"/>
      <c r="D8" s="88" t="s">
        <v>1142</v>
      </c>
      <c r="E8" s="89">
        <v>670.73</v>
      </c>
      <c r="F8" s="89"/>
      <c r="G8" s="89">
        <v>0.1</v>
      </c>
      <c r="H8" s="89"/>
      <c r="I8" s="90">
        <v>1</v>
      </c>
      <c r="J8" s="87">
        <f>+PRODUCT(E8:I8)</f>
        <v>67.073000000000008</v>
      </c>
    </row>
    <row r="9" spans="1:10" ht="18" x14ac:dyDescent="0.3">
      <c r="A9" s="78"/>
      <c r="B9" s="79"/>
      <c r="C9" s="79"/>
      <c r="D9" s="88" t="s">
        <v>1138</v>
      </c>
      <c r="E9" s="89">
        <v>0.3</v>
      </c>
      <c r="F9" s="89">
        <f>9.58-0.9</f>
        <v>8.68</v>
      </c>
      <c r="G9" s="89">
        <v>1</v>
      </c>
      <c r="H9" s="89"/>
      <c r="I9" s="90">
        <v>9</v>
      </c>
      <c r="J9" s="91">
        <f t="shared" ref="J9:J35" si="0">+PRODUCT(E9:I9)</f>
        <v>23.435999999999996</v>
      </c>
    </row>
    <row r="10" spans="1:10" ht="18" x14ac:dyDescent="0.3">
      <c r="A10" s="78"/>
      <c r="B10" s="79"/>
      <c r="C10" s="79"/>
      <c r="D10" s="88" t="s">
        <v>1139</v>
      </c>
      <c r="E10" s="89">
        <v>0.3</v>
      </c>
      <c r="F10" s="89">
        <f>37.65-(9*0.3)</f>
        <v>34.949999999999996</v>
      </c>
      <c r="G10" s="89">
        <v>1</v>
      </c>
      <c r="H10" s="89"/>
      <c r="I10" s="90">
        <v>2</v>
      </c>
      <c r="J10" s="91">
        <f t="shared" si="0"/>
        <v>20.969999999999995</v>
      </c>
    </row>
    <row r="11" spans="1:10" ht="18" x14ac:dyDescent="0.3">
      <c r="A11" s="78"/>
      <c r="B11" s="79"/>
      <c r="C11" s="79"/>
      <c r="D11" s="88" t="s">
        <v>1140</v>
      </c>
      <c r="E11" s="89">
        <v>0.3</v>
      </c>
      <c r="F11" s="89">
        <f>34.95-3.63-3.92+4.06+3.77</f>
        <v>35.230000000000004</v>
      </c>
      <c r="G11" s="89">
        <v>1</v>
      </c>
      <c r="H11" s="89"/>
      <c r="I11" s="90">
        <v>1</v>
      </c>
      <c r="J11" s="91">
        <f t="shared" si="0"/>
        <v>10.569000000000001</v>
      </c>
    </row>
    <row r="12" spans="1:10" ht="18" x14ac:dyDescent="0.3">
      <c r="A12" s="78"/>
      <c r="B12" s="79"/>
      <c r="C12" s="79"/>
      <c r="D12" s="88"/>
      <c r="E12" s="89"/>
      <c r="F12" s="89"/>
      <c r="G12" s="89"/>
      <c r="H12" s="89"/>
      <c r="I12" s="90"/>
      <c r="J12" s="91">
        <f t="shared" si="0"/>
        <v>0</v>
      </c>
    </row>
    <row r="13" spans="1:10" ht="18" x14ac:dyDescent="0.3">
      <c r="A13" s="78"/>
      <c r="B13" s="79"/>
      <c r="C13" s="79"/>
      <c r="D13" s="88"/>
      <c r="E13" s="89"/>
      <c r="F13" s="89"/>
      <c r="G13" s="89"/>
      <c r="H13" s="89"/>
      <c r="I13" s="90"/>
      <c r="J13" s="91">
        <f t="shared" si="0"/>
        <v>0</v>
      </c>
    </row>
    <row r="14" spans="1:10" ht="18" x14ac:dyDescent="0.3">
      <c r="A14" s="78"/>
      <c r="B14" s="79"/>
      <c r="C14" s="79"/>
      <c r="D14" s="88"/>
      <c r="E14" s="89"/>
      <c r="F14" s="89"/>
      <c r="G14" s="89"/>
      <c r="H14" s="89"/>
      <c r="I14" s="90"/>
      <c r="J14" s="91">
        <f t="shared" si="0"/>
        <v>0</v>
      </c>
    </row>
    <row r="15" spans="1:10" ht="18" x14ac:dyDescent="0.3">
      <c r="A15" s="78"/>
      <c r="B15" s="79"/>
      <c r="C15" s="79"/>
      <c r="D15" s="88"/>
      <c r="E15" s="89"/>
      <c r="F15" s="89"/>
      <c r="G15" s="89"/>
      <c r="H15" s="89"/>
      <c r="I15" s="90"/>
      <c r="J15" s="91">
        <f t="shared" si="0"/>
        <v>0</v>
      </c>
    </row>
    <row r="16" spans="1:10" ht="18" x14ac:dyDescent="0.3">
      <c r="A16" s="78"/>
      <c r="B16" s="79"/>
      <c r="C16" s="79"/>
      <c r="D16" s="88"/>
      <c r="E16" s="89"/>
      <c r="F16" s="89"/>
      <c r="G16" s="89"/>
      <c r="H16" s="89"/>
      <c r="I16" s="90"/>
      <c r="J16" s="91">
        <f t="shared" si="0"/>
        <v>0</v>
      </c>
    </row>
    <row r="17" spans="1:10" ht="18" x14ac:dyDescent="0.3">
      <c r="A17" s="78"/>
      <c r="B17" s="79"/>
      <c r="C17" s="79"/>
      <c r="D17" s="88"/>
      <c r="E17" s="89"/>
      <c r="F17" s="89"/>
      <c r="G17" s="89"/>
      <c r="H17" s="89"/>
      <c r="I17" s="90"/>
      <c r="J17" s="91">
        <f t="shared" si="0"/>
        <v>0</v>
      </c>
    </row>
    <row r="18" spans="1:10" ht="18" x14ac:dyDescent="0.3">
      <c r="A18" s="78"/>
      <c r="B18" s="79"/>
      <c r="C18" s="79"/>
      <c r="D18" s="88"/>
      <c r="E18" s="89"/>
      <c r="F18" s="89"/>
      <c r="G18" s="89"/>
      <c r="H18" s="89"/>
      <c r="I18" s="90"/>
      <c r="J18" s="91">
        <f t="shared" si="0"/>
        <v>0</v>
      </c>
    </row>
    <row r="19" spans="1:10" ht="18" x14ac:dyDescent="0.3">
      <c r="A19" s="78"/>
      <c r="B19" s="79"/>
      <c r="C19" s="79"/>
      <c r="D19" s="88"/>
      <c r="E19" s="89"/>
      <c r="F19" s="89"/>
      <c r="G19" s="89"/>
      <c r="H19" s="89"/>
      <c r="I19" s="90"/>
      <c r="J19" s="91">
        <f t="shared" si="0"/>
        <v>0</v>
      </c>
    </row>
    <row r="20" spans="1:10" ht="18" x14ac:dyDescent="0.3">
      <c r="A20" s="78"/>
      <c r="B20" s="79"/>
      <c r="C20" s="79"/>
      <c r="D20" s="88"/>
      <c r="E20" s="89"/>
      <c r="F20" s="89"/>
      <c r="G20" s="89"/>
      <c r="H20" s="89"/>
      <c r="I20" s="90"/>
      <c r="J20" s="91">
        <f t="shared" si="0"/>
        <v>0</v>
      </c>
    </row>
    <row r="21" spans="1:10" ht="18" x14ac:dyDescent="0.3">
      <c r="A21" s="78"/>
      <c r="B21" s="79"/>
      <c r="C21" s="79"/>
      <c r="D21" s="88"/>
      <c r="E21" s="89"/>
      <c r="F21" s="89"/>
      <c r="G21" s="89"/>
      <c r="H21" s="89"/>
      <c r="I21" s="90"/>
      <c r="J21" s="91">
        <f t="shared" si="0"/>
        <v>0</v>
      </c>
    </row>
    <row r="22" spans="1:10" ht="18" x14ac:dyDescent="0.3">
      <c r="A22" s="78"/>
      <c r="B22" s="79"/>
      <c r="C22" s="79"/>
      <c r="D22" s="88"/>
      <c r="E22" s="89"/>
      <c r="F22" s="89"/>
      <c r="G22" s="89"/>
      <c r="H22" s="89"/>
      <c r="I22" s="90"/>
      <c r="J22" s="91">
        <f t="shared" si="0"/>
        <v>0</v>
      </c>
    </row>
    <row r="23" spans="1:10" ht="18" x14ac:dyDescent="0.3">
      <c r="A23" s="78"/>
      <c r="B23" s="79"/>
      <c r="C23" s="79"/>
      <c r="D23" s="88"/>
      <c r="E23" s="89"/>
      <c r="F23" s="89"/>
      <c r="G23" s="89"/>
      <c r="H23" s="89"/>
      <c r="I23" s="90"/>
      <c r="J23" s="91">
        <f t="shared" si="0"/>
        <v>0</v>
      </c>
    </row>
    <row r="24" spans="1:10" ht="18" x14ac:dyDescent="0.3">
      <c r="A24" s="78"/>
      <c r="B24" s="79"/>
      <c r="C24" s="79"/>
      <c r="D24" s="88"/>
      <c r="E24" s="89"/>
      <c r="F24" s="89"/>
      <c r="G24" s="89"/>
      <c r="H24" s="89"/>
      <c r="I24" s="90"/>
      <c r="J24" s="91">
        <f t="shared" si="0"/>
        <v>0</v>
      </c>
    </row>
    <row r="25" spans="1:10" ht="18" x14ac:dyDescent="0.3">
      <c r="A25" s="78"/>
      <c r="B25" s="79"/>
      <c r="C25" s="79"/>
      <c r="D25" s="88"/>
      <c r="E25" s="89"/>
      <c r="F25" s="89"/>
      <c r="G25" s="89"/>
      <c r="H25" s="89"/>
      <c r="I25" s="90"/>
      <c r="J25" s="91">
        <f t="shared" si="0"/>
        <v>0</v>
      </c>
    </row>
    <row r="26" spans="1:10" ht="18" x14ac:dyDescent="0.3">
      <c r="A26" s="78"/>
      <c r="B26" s="79"/>
      <c r="C26" s="79"/>
      <c r="D26" s="88"/>
      <c r="E26" s="89"/>
      <c r="F26" s="89"/>
      <c r="G26" s="89"/>
      <c r="H26" s="89"/>
      <c r="I26" s="90"/>
      <c r="J26" s="91">
        <f t="shared" si="0"/>
        <v>0</v>
      </c>
    </row>
    <row r="27" spans="1:10" ht="18" x14ac:dyDescent="0.3">
      <c r="A27" s="78"/>
      <c r="B27" s="79"/>
      <c r="C27" s="79"/>
      <c r="D27" s="88"/>
      <c r="E27" s="89"/>
      <c r="F27" s="89"/>
      <c r="G27" s="89"/>
      <c r="H27" s="89"/>
      <c r="I27" s="90"/>
      <c r="J27" s="91">
        <f t="shared" si="0"/>
        <v>0</v>
      </c>
    </row>
    <row r="28" spans="1:10" ht="18" x14ac:dyDescent="0.3">
      <c r="A28" s="78"/>
      <c r="B28" s="79"/>
      <c r="C28" s="79"/>
      <c r="D28" s="88"/>
      <c r="E28" s="89"/>
      <c r="F28" s="89"/>
      <c r="G28" s="92"/>
      <c r="H28" s="92"/>
      <c r="I28" s="93"/>
      <c r="J28" s="91">
        <f t="shared" si="0"/>
        <v>0</v>
      </c>
    </row>
    <row r="29" spans="1:10" ht="18" x14ac:dyDescent="0.3">
      <c r="A29" s="78"/>
      <c r="B29" s="79"/>
      <c r="C29" s="79"/>
      <c r="D29" s="88"/>
      <c r="E29" s="89"/>
      <c r="F29" s="89"/>
      <c r="G29" s="92"/>
      <c r="H29" s="92"/>
      <c r="I29" s="93"/>
      <c r="J29" s="91">
        <f t="shared" si="0"/>
        <v>0</v>
      </c>
    </row>
    <row r="30" spans="1:10" ht="18" x14ac:dyDescent="0.3">
      <c r="A30" s="78"/>
      <c r="B30" s="79"/>
      <c r="C30" s="79"/>
      <c r="D30" s="88"/>
      <c r="E30" s="89"/>
      <c r="F30" s="89"/>
      <c r="G30" s="92"/>
      <c r="H30" s="92"/>
      <c r="I30" s="93"/>
      <c r="J30" s="91">
        <f t="shared" si="0"/>
        <v>0</v>
      </c>
    </row>
    <row r="31" spans="1:10" ht="18" x14ac:dyDescent="0.3">
      <c r="A31" s="78"/>
      <c r="B31" s="79"/>
      <c r="C31" s="79"/>
      <c r="D31" s="88"/>
      <c r="E31" s="89"/>
      <c r="F31" s="89"/>
      <c r="G31" s="92"/>
      <c r="H31" s="92"/>
      <c r="I31" s="93"/>
      <c r="J31" s="91">
        <f t="shared" si="0"/>
        <v>0</v>
      </c>
    </row>
    <row r="32" spans="1:10" ht="18" x14ac:dyDescent="0.3">
      <c r="A32" s="78"/>
      <c r="B32" s="79"/>
      <c r="C32" s="79"/>
      <c r="D32" s="94"/>
      <c r="E32" s="89"/>
      <c r="F32" s="89"/>
      <c r="G32" s="92"/>
      <c r="H32" s="92"/>
      <c r="I32" s="93"/>
      <c r="J32" s="91">
        <f t="shared" si="0"/>
        <v>0</v>
      </c>
    </row>
    <row r="33" spans="1:10" ht="18" x14ac:dyDescent="0.3">
      <c r="A33" s="78"/>
      <c r="B33" s="79"/>
      <c r="C33" s="79"/>
      <c r="D33" s="94"/>
      <c r="E33" s="89"/>
      <c r="F33" s="89"/>
      <c r="G33" s="92"/>
      <c r="H33" s="92"/>
      <c r="I33" s="93"/>
      <c r="J33" s="91">
        <f t="shared" si="0"/>
        <v>0</v>
      </c>
    </row>
    <row r="34" spans="1:10" ht="18" x14ac:dyDescent="0.3">
      <c r="A34" s="78"/>
      <c r="B34" s="79"/>
      <c r="C34" s="79"/>
      <c r="D34" s="95"/>
      <c r="E34" s="89"/>
      <c r="F34" s="89"/>
      <c r="G34" s="92"/>
      <c r="H34" s="92"/>
      <c r="I34" s="93"/>
      <c r="J34" s="91">
        <f t="shared" si="0"/>
        <v>0</v>
      </c>
    </row>
    <row r="35" spans="1:10" ht="18.75" thickBot="1" x14ac:dyDescent="0.35">
      <c r="A35" s="78"/>
      <c r="B35" s="79"/>
      <c r="C35" s="79"/>
      <c r="D35" s="96"/>
      <c r="E35" s="97"/>
      <c r="F35" s="97"/>
      <c r="G35" s="98"/>
      <c r="H35" s="98"/>
      <c r="I35" s="99"/>
      <c r="J35" s="100">
        <f t="shared" si="0"/>
        <v>0</v>
      </c>
    </row>
    <row r="36" spans="1:10" ht="21" thickBot="1" x14ac:dyDescent="0.35">
      <c r="A36" s="78"/>
      <c r="B36" s="79"/>
      <c r="C36" s="79"/>
      <c r="D36" s="933" t="s">
        <v>10</v>
      </c>
      <c r="E36" s="934"/>
      <c r="F36" s="934"/>
      <c r="G36" s="934"/>
      <c r="H36" s="934"/>
      <c r="I36" s="935"/>
      <c r="J36" s="102">
        <f>ROUND(SUM(J8:J35),2)</f>
        <v>122.05</v>
      </c>
    </row>
    <row r="37" spans="1:10" ht="21" thickBot="1" x14ac:dyDescent="0.35">
      <c r="A37" s="78"/>
      <c r="B37" s="79"/>
      <c r="C37" s="79"/>
      <c r="D37" s="933" t="s">
        <v>1127</v>
      </c>
      <c r="E37" s="934"/>
      <c r="F37" s="934"/>
      <c r="G37" s="934"/>
      <c r="H37" s="934"/>
      <c r="I37" s="935"/>
      <c r="J37" s="103"/>
    </row>
    <row r="38" spans="1:10" ht="21" thickBot="1" x14ac:dyDescent="0.35">
      <c r="A38" s="78"/>
      <c r="B38" s="79"/>
      <c r="C38" s="101"/>
      <c r="D38" s="933" t="s">
        <v>1128</v>
      </c>
      <c r="E38" s="934"/>
      <c r="F38" s="934"/>
      <c r="G38" s="934"/>
      <c r="H38" s="934"/>
      <c r="I38" s="935"/>
      <c r="J38" s="104">
        <f>+J36-J37</f>
        <v>122.05</v>
      </c>
    </row>
    <row r="39" spans="1:10" ht="21" thickBot="1" x14ac:dyDescent="0.35">
      <c r="A39" s="936" t="s">
        <v>1129</v>
      </c>
      <c r="B39" s="937"/>
      <c r="C39" s="938"/>
      <c r="D39" s="939" t="s">
        <v>1130</v>
      </c>
      <c r="E39" s="940"/>
      <c r="F39" s="940"/>
      <c r="G39" s="940"/>
      <c r="H39" s="940"/>
      <c r="I39" s="940"/>
      <c r="J39" s="941"/>
    </row>
    <row r="40" spans="1:10" ht="38.25" customHeight="1" thickBot="1" x14ac:dyDescent="0.35">
      <c r="A40" s="942" t="str">
        <f>PPTO!G3</f>
        <v>JUNIO DE 2026</v>
      </c>
      <c r="B40" s="943"/>
      <c r="C40" s="944"/>
      <c r="D40" s="921"/>
      <c r="E40" s="922"/>
      <c r="F40" s="922"/>
      <c r="G40" s="922"/>
      <c r="H40" s="922"/>
      <c r="I40" s="922"/>
      <c r="J40" s="923"/>
    </row>
    <row r="41" spans="1:10" ht="19.5" thickBot="1" x14ac:dyDescent="0.35">
      <c r="A41" s="918"/>
      <c r="B41" s="919"/>
      <c r="C41" s="920"/>
      <c r="D41" s="921" t="s">
        <v>1131</v>
      </c>
      <c r="E41" s="922"/>
      <c r="F41" s="922"/>
      <c r="G41" s="922"/>
      <c r="H41" s="922"/>
      <c r="I41" s="922"/>
      <c r="J41" s="923"/>
    </row>
  </sheetData>
  <mergeCells count="19">
    <mergeCell ref="A41:C41"/>
    <mergeCell ref="D41:J41"/>
    <mergeCell ref="D6:D7"/>
    <mergeCell ref="E6:G6"/>
    <mergeCell ref="I6:I7"/>
    <mergeCell ref="J6:J7"/>
    <mergeCell ref="D36:I36"/>
    <mergeCell ref="D37:I37"/>
    <mergeCell ref="D38:I38"/>
    <mergeCell ref="A39:C39"/>
    <mergeCell ref="D39:J39"/>
    <mergeCell ref="A40:C40"/>
    <mergeCell ref="D40:J40"/>
    <mergeCell ref="A2:J2"/>
    <mergeCell ref="A3:J3"/>
    <mergeCell ref="A4:J4"/>
    <mergeCell ref="C5:D5"/>
    <mergeCell ref="G5:H5"/>
    <mergeCell ref="I5:J5"/>
  </mergeCells>
  <conditionalFormatting sqref="J8:J35">
    <cfRule type="cellIs" dxfId="64" priority="1" operator="equal">
      <formula>0</formula>
    </cfRule>
  </conditionalFormatting>
  <pageMargins left="0.7" right="0.7" top="0.75" bottom="0.75" header="0.3" footer="0.3"/>
  <pageSetup scale="53" orientation="landscape"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B74B9C-1739-47D7-8716-2292AF37B33D}">
  <sheetPr>
    <tabColor rgb="FFD4ECBA"/>
    <pageSetUpPr fitToPage="1"/>
  </sheetPr>
  <dimension ref="A1:J41"/>
  <sheetViews>
    <sheetView showOutlineSymbols="0" topLeftCell="A3" zoomScale="70" zoomScaleNormal="70" workbookViewId="0">
      <selection activeCell="J8" sqref="J8"/>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05.75" customHeight="1" thickBot="1" x14ac:dyDescent="0.35">
      <c r="A5" s="72" t="s">
        <v>5</v>
      </c>
      <c r="B5" s="73" t="str">
        <f>PPTO!B17</f>
        <v>3,1,1</v>
      </c>
      <c r="C5" s="913" t="str">
        <f>+VLOOKUP(B5,PPTO!B8:G94,2,FALSE)</f>
        <v>Suministro, transporte y colocación de concreto de 14 Mpa para SOLADO, con un espesor DE 0.05 m. Incluye el suministro y el transporte del concreto y todos los demás elementos necesarios para su correcta construcción, incluye acarreo interno.</v>
      </c>
      <c r="D5" s="914"/>
      <c r="E5" s="72" t="s">
        <v>7</v>
      </c>
      <c r="F5" s="74" t="str">
        <f>+VLOOKUP(B5,PPTO!B8:G94,3,FALSE)</f>
        <v>M2</v>
      </c>
      <c r="G5" s="915" t="s">
        <v>1120</v>
      </c>
      <c r="H5" s="915"/>
      <c r="I5" s="916">
        <f>+VLOOKUP(B5,PPTO!B8:G94,5,FALSE)</f>
        <v>57121</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8" x14ac:dyDescent="0.3">
      <c r="A8" s="78"/>
      <c r="B8" s="79"/>
      <c r="C8" s="79"/>
      <c r="D8" s="88" t="s">
        <v>1137</v>
      </c>
      <c r="E8" s="89">
        <v>1</v>
      </c>
      <c r="F8" s="89">
        <v>1</v>
      </c>
      <c r="G8" s="89"/>
      <c r="H8" s="89"/>
      <c r="I8" s="90">
        <v>28</v>
      </c>
      <c r="J8" s="87">
        <f>+PRODUCT(E8:I8)</f>
        <v>28</v>
      </c>
    </row>
    <row r="9" spans="1:10" ht="18" x14ac:dyDescent="0.3">
      <c r="A9" s="78"/>
      <c r="B9" s="79"/>
      <c r="C9" s="79"/>
      <c r="D9" s="88" t="s">
        <v>1138</v>
      </c>
      <c r="E9" s="89">
        <v>0.3</v>
      </c>
      <c r="F9" s="89">
        <f>9.58-0.9</f>
        <v>8.68</v>
      </c>
      <c r="G9" s="89"/>
      <c r="H9" s="89"/>
      <c r="I9" s="90">
        <v>9</v>
      </c>
      <c r="J9" s="91">
        <f t="shared" ref="J9:J35" si="0">+PRODUCT(E9:I9)</f>
        <v>23.435999999999996</v>
      </c>
    </row>
    <row r="10" spans="1:10" ht="18" x14ac:dyDescent="0.3">
      <c r="A10" s="78"/>
      <c r="B10" s="79"/>
      <c r="C10" s="79"/>
      <c r="D10" s="88" t="s">
        <v>1139</v>
      </c>
      <c r="E10" s="89">
        <v>0.3</v>
      </c>
      <c r="F10" s="89">
        <f>37.65-(9*0.3)</f>
        <v>34.949999999999996</v>
      </c>
      <c r="G10" s="89"/>
      <c r="H10" s="89"/>
      <c r="I10" s="90">
        <v>2</v>
      </c>
      <c r="J10" s="91">
        <f t="shared" si="0"/>
        <v>20.969999999999995</v>
      </c>
    </row>
    <row r="11" spans="1:10" ht="18" x14ac:dyDescent="0.3">
      <c r="A11" s="78"/>
      <c r="B11" s="79"/>
      <c r="C11" s="79"/>
      <c r="D11" s="88" t="s">
        <v>1140</v>
      </c>
      <c r="E11" s="89">
        <v>0.3</v>
      </c>
      <c r="F11" s="89">
        <f>34.95-3.63-3.92+4.06+3.77</f>
        <v>35.230000000000004</v>
      </c>
      <c r="G11" s="89"/>
      <c r="H11" s="89"/>
      <c r="I11" s="90">
        <v>1</v>
      </c>
      <c r="J11" s="91">
        <f t="shared" si="0"/>
        <v>10.569000000000001</v>
      </c>
    </row>
    <row r="12" spans="1:10" ht="18" x14ac:dyDescent="0.3">
      <c r="A12" s="78"/>
      <c r="B12" s="79"/>
      <c r="C12" s="79"/>
      <c r="D12" s="88"/>
      <c r="E12" s="89"/>
      <c r="F12" s="89"/>
      <c r="G12" s="89"/>
      <c r="H12" s="89"/>
      <c r="I12" s="90"/>
      <c r="J12" s="91">
        <f t="shared" si="0"/>
        <v>0</v>
      </c>
    </row>
    <row r="13" spans="1:10" ht="18" x14ac:dyDescent="0.3">
      <c r="A13" s="78"/>
      <c r="B13" s="79"/>
      <c r="C13" s="79"/>
      <c r="D13" s="88"/>
      <c r="E13" s="89"/>
      <c r="F13" s="89"/>
      <c r="G13" s="89"/>
      <c r="H13" s="89"/>
      <c r="I13" s="90"/>
      <c r="J13" s="91">
        <f t="shared" si="0"/>
        <v>0</v>
      </c>
    </row>
    <row r="14" spans="1:10" ht="18" x14ac:dyDescent="0.3">
      <c r="A14" s="78"/>
      <c r="B14" s="79"/>
      <c r="C14" s="79"/>
      <c r="D14" s="88"/>
      <c r="E14" s="89"/>
      <c r="F14" s="89"/>
      <c r="G14" s="89"/>
      <c r="H14" s="89"/>
      <c r="I14" s="90"/>
      <c r="J14" s="91">
        <f t="shared" si="0"/>
        <v>0</v>
      </c>
    </row>
    <row r="15" spans="1:10" ht="18" x14ac:dyDescent="0.3">
      <c r="A15" s="78"/>
      <c r="B15" s="79"/>
      <c r="C15" s="79"/>
      <c r="D15" s="88"/>
      <c r="E15" s="89"/>
      <c r="F15" s="89"/>
      <c r="G15" s="89"/>
      <c r="H15" s="89"/>
      <c r="I15" s="90"/>
      <c r="J15" s="91">
        <f t="shared" si="0"/>
        <v>0</v>
      </c>
    </row>
    <row r="16" spans="1:10" ht="18" x14ac:dyDescent="0.3">
      <c r="A16" s="78"/>
      <c r="B16" s="79"/>
      <c r="C16" s="79"/>
      <c r="D16" s="88"/>
      <c r="E16" s="89"/>
      <c r="F16" s="89"/>
      <c r="G16" s="89"/>
      <c r="H16" s="89"/>
      <c r="I16" s="90"/>
      <c r="J16" s="91">
        <f t="shared" si="0"/>
        <v>0</v>
      </c>
    </row>
    <row r="17" spans="1:10" ht="18" x14ac:dyDescent="0.3">
      <c r="A17" s="78"/>
      <c r="B17" s="79"/>
      <c r="C17" s="79"/>
      <c r="D17" s="88"/>
      <c r="E17" s="89"/>
      <c r="F17" s="89"/>
      <c r="G17" s="89"/>
      <c r="H17" s="89"/>
      <c r="I17" s="90"/>
      <c r="J17" s="91">
        <f t="shared" si="0"/>
        <v>0</v>
      </c>
    </row>
    <row r="18" spans="1:10" ht="18" x14ac:dyDescent="0.3">
      <c r="A18" s="78"/>
      <c r="B18" s="79"/>
      <c r="C18" s="79"/>
      <c r="D18" s="88"/>
      <c r="E18" s="89"/>
      <c r="F18" s="89"/>
      <c r="G18" s="89"/>
      <c r="H18" s="89"/>
      <c r="I18" s="90"/>
      <c r="J18" s="91">
        <f t="shared" si="0"/>
        <v>0</v>
      </c>
    </row>
    <row r="19" spans="1:10" ht="18" x14ac:dyDescent="0.3">
      <c r="A19" s="78"/>
      <c r="B19" s="79"/>
      <c r="C19" s="79"/>
      <c r="D19" s="88"/>
      <c r="E19" s="89"/>
      <c r="F19" s="89"/>
      <c r="G19" s="89"/>
      <c r="H19" s="89"/>
      <c r="I19" s="90"/>
      <c r="J19" s="91">
        <f t="shared" si="0"/>
        <v>0</v>
      </c>
    </row>
    <row r="20" spans="1:10" ht="18" x14ac:dyDescent="0.3">
      <c r="A20" s="78"/>
      <c r="B20" s="79"/>
      <c r="C20" s="79"/>
      <c r="D20" s="88"/>
      <c r="E20" s="89"/>
      <c r="F20" s="89"/>
      <c r="G20" s="89"/>
      <c r="H20" s="89"/>
      <c r="I20" s="90"/>
      <c r="J20" s="91">
        <f t="shared" si="0"/>
        <v>0</v>
      </c>
    </row>
    <row r="21" spans="1:10" ht="18" x14ac:dyDescent="0.3">
      <c r="A21" s="78"/>
      <c r="B21" s="79"/>
      <c r="C21" s="79"/>
      <c r="D21" s="88"/>
      <c r="E21" s="89"/>
      <c r="F21" s="89"/>
      <c r="G21" s="89"/>
      <c r="H21" s="89"/>
      <c r="I21" s="90"/>
      <c r="J21" s="91">
        <f t="shared" si="0"/>
        <v>0</v>
      </c>
    </row>
    <row r="22" spans="1:10" ht="18" x14ac:dyDescent="0.3">
      <c r="A22" s="78"/>
      <c r="B22" s="79"/>
      <c r="C22" s="79"/>
      <c r="D22" s="88"/>
      <c r="E22" s="89"/>
      <c r="F22" s="89"/>
      <c r="G22" s="89"/>
      <c r="H22" s="89"/>
      <c r="I22" s="90"/>
      <c r="J22" s="91">
        <f t="shared" si="0"/>
        <v>0</v>
      </c>
    </row>
    <row r="23" spans="1:10" ht="18" x14ac:dyDescent="0.3">
      <c r="A23" s="78"/>
      <c r="B23" s="79"/>
      <c r="C23" s="79"/>
      <c r="D23" s="88"/>
      <c r="E23" s="89"/>
      <c r="F23" s="89"/>
      <c r="G23" s="89"/>
      <c r="H23" s="89"/>
      <c r="I23" s="90"/>
      <c r="J23" s="91">
        <f t="shared" si="0"/>
        <v>0</v>
      </c>
    </row>
    <row r="24" spans="1:10" ht="18" x14ac:dyDescent="0.3">
      <c r="A24" s="78"/>
      <c r="B24" s="79"/>
      <c r="C24" s="79"/>
      <c r="D24" s="88"/>
      <c r="E24" s="89"/>
      <c r="F24" s="89"/>
      <c r="G24" s="89"/>
      <c r="H24" s="89"/>
      <c r="I24" s="90"/>
      <c r="J24" s="91">
        <f t="shared" si="0"/>
        <v>0</v>
      </c>
    </row>
    <row r="25" spans="1:10" ht="18" x14ac:dyDescent="0.3">
      <c r="A25" s="78"/>
      <c r="B25" s="79"/>
      <c r="C25" s="79"/>
      <c r="D25" s="88"/>
      <c r="E25" s="89"/>
      <c r="F25" s="89"/>
      <c r="G25" s="89"/>
      <c r="H25" s="89"/>
      <c r="I25" s="90"/>
      <c r="J25" s="91">
        <f t="shared" si="0"/>
        <v>0</v>
      </c>
    </row>
    <row r="26" spans="1:10" ht="18" x14ac:dyDescent="0.3">
      <c r="A26" s="78"/>
      <c r="B26" s="79"/>
      <c r="C26" s="79"/>
      <c r="D26" s="88"/>
      <c r="E26" s="89"/>
      <c r="F26" s="89"/>
      <c r="G26" s="89"/>
      <c r="H26" s="89"/>
      <c r="I26" s="90"/>
      <c r="J26" s="91">
        <f t="shared" si="0"/>
        <v>0</v>
      </c>
    </row>
    <row r="27" spans="1:10" ht="18" x14ac:dyDescent="0.3">
      <c r="A27" s="78"/>
      <c r="B27" s="79"/>
      <c r="C27" s="79"/>
      <c r="D27" s="88"/>
      <c r="E27" s="89"/>
      <c r="F27" s="89"/>
      <c r="G27" s="89"/>
      <c r="H27" s="89"/>
      <c r="I27" s="90"/>
      <c r="J27" s="91">
        <f t="shared" si="0"/>
        <v>0</v>
      </c>
    </row>
    <row r="28" spans="1:10" ht="18" x14ac:dyDescent="0.3">
      <c r="A28" s="78"/>
      <c r="B28" s="79"/>
      <c r="C28" s="79"/>
      <c r="D28" s="88"/>
      <c r="E28" s="89"/>
      <c r="F28" s="89"/>
      <c r="G28" s="92"/>
      <c r="H28" s="92"/>
      <c r="I28" s="93"/>
      <c r="J28" s="91">
        <f t="shared" si="0"/>
        <v>0</v>
      </c>
    </row>
    <row r="29" spans="1:10" ht="18" x14ac:dyDescent="0.3">
      <c r="A29" s="78"/>
      <c r="B29" s="79"/>
      <c r="C29" s="79"/>
      <c r="D29" s="88"/>
      <c r="E29" s="89"/>
      <c r="F29" s="89"/>
      <c r="G29" s="92"/>
      <c r="H29" s="92"/>
      <c r="I29" s="93"/>
      <c r="J29" s="91">
        <f t="shared" si="0"/>
        <v>0</v>
      </c>
    </row>
    <row r="30" spans="1:10" ht="18" x14ac:dyDescent="0.3">
      <c r="A30" s="78"/>
      <c r="B30" s="79"/>
      <c r="C30" s="79"/>
      <c r="D30" s="88"/>
      <c r="E30" s="89"/>
      <c r="F30" s="89"/>
      <c r="G30" s="92"/>
      <c r="H30" s="92"/>
      <c r="I30" s="93"/>
      <c r="J30" s="91">
        <f t="shared" si="0"/>
        <v>0</v>
      </c>
    </row>
    <row r="31" spans="1:10" ht="18" x14ac:dyDescent="0.3">
      <c r="A31" s="78"/>
      <c r="B31" s="79"/>
      <c r="C31" s="79"/>
      <c r="D31" s="88"/>
      <c r="E31" s="89"/>
      <c r="F31" s="89"/>
      <c r="G31" s="92"/>
      <c r="H31" s="92"/>
      <c r="I31" s="93"/>
      <c r="J31" s="91">
        <f t="shared" si="0"/>
        <v>0</v>
      </c>
    </row>
    <row r="32" spans="1:10" ht="18" x14ac:dyDescent="0.3">
      <c r="A32" s="78"/>
      <c r="B32" s="79"/>
      <c r="C32" s="79"/>
      <c r="D32" s="94"/>
      <c r="E32" s="89"/>
      <c r="F32" s="89"/>
      <c r="G32" s="92"/>
      <c r="H32" s="92"/>
      <c r="I32" s="93"/>
      <c r="J32" s="91">
        <f t="shared" si="0"/>
        <v>0</v>
      </c>
    </row>
    <row r="33" spans="1:10" ht="18" x14ac:dyDescent="0.3">
      <c r="A33" s="78"/>
      <c r="B33" s="79"/>
      <c r="C33" s="79"/>
      <c r="D33" s="94"/>
      <c r="E33" s="89"/>
      <c r="F33" s="89"/>
      <c r="G33" s="92"/>
      <c r="H33" s="92"/>
      <c r="I33" s="93"/>
      <c r="J33" s="91">
        <f t="shared" si="0"/>
        <v>0</v>
      </c>
    </row>
    <row r="34" spans="1:10" ht="18" x14ac:dyDescent="0.3">
      <c r="A34" s="78"/>
      <c r="B34" s="79"/>
      <c r="C34" s="79"/>
      <c r="D34" s="95"/>
      <c r="E34" s="89"/>
      <c r="F34" s="89"/>
      <c r="G34" s="92"/>
      <c r="H34" s="92"/>
      <c r="I34" s="93"/>
      <c r="J34" s="91">
        <f t="shared" si="0"/>
        <v>0</v>
      </c>
    </row>
    <row r="35" spans="1:10" ht="18.75" thickBot="1" x14ac:dyDescent="0.35">
      <c r="A35" s="78"/>
      <c r="B35" s="79"/>
      <c r="C35" s="79"/>
      <c r="D35" s="96"/>
      <c r="E35" s="97"/>
      <c r="F35" s="97"/>
      <c r="G35" s="98"/>
      <c r="H35" s="98"/>
      <c r="I35" s="99"/>
      <c r="J35" s="100">
        <f t="shared" si="0"/>
        <v>0</v>
      </c>
    </row>
    <row r="36" spans="1:10" ht="21" thickBot="1" x14ac:dyDescent="0.35">
      <c r="A36" s="78"/>
      <c r="B36" s="79"/>
      <c r="C36" s="79"/>
      <c r="D36" s="933" t="s">
        <v>10</v>
      </c>
      <c r="E36" s="934"/>
      <c r="F36" s="934"/>
      <c r="G36" s="934"/>
      <c r="H36" s="934"/>
      <c r="I36" s="935"/>
      <c r="J36" s="102">
        <f>ROUND(SUM(J8:J35),2)</f>
        <v>82.98</v>
      </c>
    </row>
    <row r="37" spans="1:10" ht="21" thickBot="1" x14ac:dyDescent="0.35">
      <c r="A37" s="78"/>
      <c r="B37" s="79"/>
      <c r="C37" s="79"/>
      <c r="D37" s="933" t="s">
        <v>1127</v>
      </c>
      <c r="E37" s="934"/>
      <c r="F37" s="934"/>
      <c r="G37" s="934"/>
      <c r="H37" s="934"/>
      <c r="I37" s="935"/>
      <c r="J37" s="103"/>
    </row>
    <row r="38" spans="1:10" ht="21" thickBot="1" x14ac:dyDescent="0.35">
      <c r="A38" s="78"/>
      <c r="B38" s="79"/>
      <c r="C38" s="101"/>
      <c r="D38" s="933" t="s">
        <v>1128</v>
      </c>
      <c r="E38" s="934"/>
      <c r="F38" s="934"/>
      <c r="G38" s="934"/>
      <c r="H38" s="934"/>
      <c r="I38" s="935"/>
      <c r="J38" s="104">
        <f>+J36-J37</f>
        <v>82.98</v>
      </c>
    </row>
    <row r="39" spans="1:10" ht="21" thickBot="1" x14ac:dyDescent="0.35">
      <c r="A39" s="936" t="s">
        <v>1129</v>
      </c>
      <c r="B39" s="937"/>
      <c r="C39" s="938"/>
      <c r="D39" s="939" t="s">
        <v>1130</v>
      </c>
      <c r="E39" s="940"/>
      <c r="F39" s="940"/>
      <c r="G39" s="940"/>
      <c r="H39" s="940"/>
      <c r="I39" s="940"/>
      <c r="J39" s="941"/>
    </row>
    <row r="40" spans="1:10" ht="38.25" customHeight="1" thickBot="1" x14ac:dyDescent="0.35">
      <c r="A40" s="942" t="str">
        <f>PPTO!G3</f>
        <v>JUNIO DE 2026</v>
      </c>
      <c r="B40" s="943"/>
      <c r="C40" s="944"/>
      <c r="D40" s="921"/>
      <c r="E40" s="922"/>
      <c r="F40" s="922"/>
      <c r="G40" s="922"/>
      <c r="H40" s="922"/>
      <c r="I40" s="922"/>
      <c r="J40" s="923"/>
    </row>
    <row r="41" spans="1:10" ht="19.5" thickBot="1" x14ac:dyDescent="0.35">
      <c r="A41" s="918"/>
      <c r="B41" s="919"/>
      <c r="C41" s="920"/>
      <c r="D41" s="921" t="s">
        <v>1131</v>
      </c>
      <c r="E41" s="922"/>
      <c r="F41" s="922"/>
      <c r="G41" s="922"/>
      <c r="H41" s="922"/>
      <c r="I41" s="922"/>
      <c r="J41" s="923"/>
    </row>
  </sheetData>
  <mergeCells count="19">
    <mergeCell ref="A2:J2"/>
    <mergeCell ref="A3:J3"/>
    <mergeCell ref="A4:J4"/>
    <mergeCell ref="C5:D5"/>
    <mergeCell ref="G5:H5"/>
    <mergeCell ref="I5:J5"/>
    <mergeCell ref="A41:C41"/>
    <mergeCell ref="D41:J41"/>
    <mergeCell ref="D6:D7"/>
    <mergeCell ref="E6:G6"/>
    <mergeCell ref="I6:I7"/>
    <mergeCell ref="J6:J7"/>
    <mergeCell ref="D36:I36"/>
    <mergeCell ref="D37:I37"/>
    <mergeCell ref="D38:I38"/>
    <mergeCell ref="A39:C39"/>
    <mergeCell ref="D39:J39"/>
    <mergeCell ref="A40:C40"/>
    <mergeCell ref="D40:J40"/>
  </mergeCells>
  <conditionalFormatting sqref="J8:J35">
    <cfRule type="cellIs" dxfId="63" priority="1" operator="equal">
      <formula>0</formula>
    </cfRule>
  </conditionalFormatting>
  <pageMargins left="0.7" right="0.7" top="0.75" bottom="0.75" header="0.3" footer="0.3"/>
  <pageSetup scale="53" orientation="landscape"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69524F-0D35-41E7-AD8C-683BA1541DB7}">
  <sheetPr>
    <tabColor rgb="FFD4ECBA"/>
    <pageSetUpPr fitToPage="1"/>
  </sheetPr>
  <dimension ref="A1:J41"/>
  <sheetViews>
    <sheetView showOutlineSymbols="0" topLeftCell="A5" zoomScale="70" zoomScaleNormal="70" workbookViewId="0">
      <selection activeCell="E11" sqref="E11"/>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05.75" customHeight="1" thickBot="1" x14ac:dyDescent="0.35">
      <c r="A5" s="72" t="s">
        <v>5</v>
      </c>
      <c r="B5" s="73" t="s">
        <v>27</v>
      </c>
      <c r="C5" s="913" t="str">
        <f>+VLOOKUP(B5,PPTO!B8:G94,2,FALSE)</f>
        <v>Construcción de LOSA MACIZA en concreto de 21 MPa., con un ESPESOR DE 10 cm. Incluye suministro, transporte y la colocación del concreto, vibrado, protección y curado para estructuras, de acuerdo a las diferentes dimensiones establecidas en los planos y todos los demás elementos necesarios para su correcto vaciado, se incluye acero de refuerzo con doble malla electrosoldada D084 y plastico para evitar el contacto directo de la losa con el terreno</v>
      </c>
      <c r="D5" s="914"/>
      <c r="E5" s="72" t="s">
        <v>7</v>
      </c>
      <c r="F5" s="74" t="str">
        <f>+VLOOKUP(B5,PPTO!B8:G94,3,FALSE)</f>
        <v>M2</v>
      </c>
      <c r="G5" s="915" t="s">
        <v>1120</v>
      </c>
      <c r="H5" s="915"/>
      <c r="I5" s="916">
        <f>+VLOOKUP(B5,PPTO!B8:G94,5,FALSE)</f>
        <v>242084</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8" x14ac:dyDescent="0.3">
      <c r="A8" s="78"/>
      <c r="B8" s="79"/>
      <c r="C8" s="79"/>
      <c r="D8" s="88" t="s">
        <v>1142</v>
      </c>
      <c r="E8" s="89">
        <v>360.44</v>
      </c>
      <c r="F8" s="89"/>
      <c r="G8" s="89">
        <v>0.1</v>
      </c>
      <c r="H8" s="85"/>
      <c r="I8" s="86">
        <v>1</v>
      </c>
      <c r="J8" s="87">
        <f>+E8</f>
        <v>360.44</v>
      </c>
    </row>
    <row r="9" spans="1:10" ht="18" x14ac:dyDescent="0.3">
      <c r="A9" s="78"/>
      <c r="B9" s="79"/>
      <c r="C9" s="79"/>
      <c r="D9" s="88" t="s">
        <v>1143</v>
      </c>
      <c r="E9" s="89">
        <v>42.67</v>
      </c>
      <c r="F9" s="89"/>
      <c r="G9" s="89">
        <v>0.1</v>
      </c>
      <c r="H9" s="89"/>
      <c r="I9" s="90">
        <v>1</v>
      </c>
      <c r="J9" s="91">
        <f>+E9</f>
        <v>42.67</v>
      </c>
    </row>
    <row r="10" spans="1:10" ht="18" x14ac:dyDescent="0.3">
      <c r="A10" s="78"/>
      <c r="B10" s="79"/>
      <c r="C10" s="79"/>
      <c r="D10" s="88" t="s">
        <v>1144</v>
      </c>
      <c r="E10" s="89">
        <f>1.5*1.5</f>
        <v>2.25</v>
      </c>
      <c r="F10" s="89"/>
      <c r="G10" s="89">
        <v>0.13</v>
      </c>
      <c r="H10" s="89"/>
      <c r="I10" s="90">
        <v>1</v>
      </c>
      <c r="J10" s="91">
        <f>+E10</f>
        <v>2.25</v>
      </c>
    </row>
    <row r="11" spans="1:10" ht="18" x14ac:dyDescent="0.3">
      <c r="A11" s="78"/>
      <c r="B11" s="79"/>
      <c r="C11" s="79"/>
      <c r="D11" s="88"/>
      <c r="E11" s="89"/>
      <c r="F11" s="89"/>
      <c r="G11" s="89"/>
      <c r="H11" s="89"/>
      <c r="I11" s="90"/>
      <c r="J11" s="91">
        <f t="shared" ref="J11:J35" si="0">+PRODUCT(E11:I11)</f>
        <v>0</v>
      </c>
    </row>
    <row r="12" spans="1:10" ht="18" x14ac:dyDescent="0.3">
      <c r="A12" s="78"/>
      <c r="B12" s="79"/>
      <c r="C12" s="79"/>
      <c r="D12" s="88"/>
      <c r="E12" s="89"/>
      <c r="F12" s="89"/>
      <c r="G12" s="89"/>
      <c r="H12" s="89"/>
      <c r="I12" s="90"/>
      <c r="J12" s="91">
        <f t="shared" si="0"/>
        <v>0</v>
      </c>
    </row>
    <row r="13" spans="1:10" ht="18" x14ac:dyDescent="0.3">
      <c r="A13" s="78"/>
      <c r="B13" s="79"/>
      <c r="C13" s="79"/>
      <c r="D13" s="88"/>
      <c r="E13" s="89"/>
      <c r="F13" s="89"/>
      <c r="G13" s="89"/>
      <c r="H13" s="89"/>
      <c r="I13" s="90"/>
      <c r="J13" s="91">
        <f t="shared" si="0"/>
        <v>0</v>
      </c>
    </row>
    <row r="14" spans="1:10" ht="18" x14ac:dyDescent="0.3">
      <c r="A14" s="78"/>
      <c r="B14" s="79"/>
      <c r="C14" s="79"/>
      <c r="D14" s="88"/>
      <c r="E14" s="89"/>
      <c r="F14" s="89"/>
      <c r="G14" s="89"/>
      <c r="H14" s="89"/>
      <c r="I14" s="90"/>
      <c r="J14" s="91">
        <f t="shared" si="0"/>
        <v>0</v>
      </c>
    </row>
    <row r="15" spans="1:10" ht="18" x14ac:dyDescent="0.3">
      <c r="A15" s="78"/>
      <c r="B15" s="79"/>
      <c r="C15" s="79"/>
      <c r="D15" s="88"/>
      <c r="E15" s="89"/>
      <c r="F15" s="89"/>
      <c r="G15" s="89"/>
      <c r="H15" s="89"/>
      <c r="I15" s="90"/>
      <c r="J15" s="91">
        <f t="shared" si="0"/>
        <v>0</v>
      </c>
    </row>
    <row r="16" spans="1:10" ht="18" x14ac:dyDescent="0.3">
      <c r="A16" s="78"/>
      <c r="B16" s="79"/>
      <c r="C16" s="79"/>
      <c r="D16" s="88"/>
      <c r="E16" s="89"/>
      <c r="F16" s="89"/>
      <c r="G16" s="89"/>
      <c r="H16" s="89"/>
      <c r="I16" s="90"/>
      <c r="J16" s="91">
        <f t="shared" si="0"/>
        <v>0</v>
      </c>
    </row>
    <row r="17" spans="1:10" ht="18" x14ac:dyDescent="0.3">
      <c r="A17" s="78"/>
      <c r="B17" s="79"/>
      <c r="C17" s="79"/>
      <c r="D17" s="88"/>
      <c r="E17" s="89"/>
      <c r="F17" s="89"/>
      <c r="G17" s="89"/>
      <c r="H17" s="89"/>
      <c r="I17" s="90"/>
      <c r="J17" s="91">
        <f t="shared" si="0"/>
        <v>0</v>
      </c>
    </row>
    <row r="18" spans="1:10" ht="18" x14ac:dyDescent="0.3">
      <c r="A18" s="78"/>
      <c r="B18" s="79"/>
      <c r="C18" s="79"/>
      <c r="D18" s="88"/>
      <c r="E18" s="89"/>
      <c r="F18" s="89"/>
      <c r="G18" s="89"/>
      <c r="H18" s="89"/>
      <c r="I18" s="90"/>
      <c r="J18" s="91">
        <f t="shared" si="0"/>
        <v>0</v>
      </c>
    </row>
    <row r="19" spans="1:10" ht="18" x14ac:dyDescent="0.3">
      <c r="A19" s="78"/>
      <c r="B19" s="79"/>
      <c r="C19" s="79"/>
      <c r="D19" s="88"/>
      <c r="E19" s="89"/>
      <c r="F19" s="89"/>
      <c r="G19" s="89"/>
      <c r="H19" s="89"/>
      <c r="I19" s="90"/>
      <c r="J19" s="91">
        <f t="shared" si="0"/>
        <v>0</v>
      </c>
    </row>
    <row r="20" spans="1:10" ht="18" x14ac:dyDescent="0.3">
      <c r="A20" s="78"/>
      <c r="B20" s="79"/>
      <c r="C20" s="79"/>
      <c r="D20" s="88"/>
      <c r="E20" s="89"/>
      <c r="F20" s="89"/>
      <c r="G20" s="89"/>
      <c r="H20" s="89"/>
      <c r="I20" s="90"/>
      <c r="J20" s="91">
        <f t="shared" si="0"/>
        <v>0</v>
      </c>
    </row>
    <row r="21" spans="1:10" ht="18" x14ac:dyDescent="0.3">
      <c r="A21" s="78"/>
      <c r="B21" s="79"/>
      <c r="C21" s="79"/>
      <c r="D21" s="88"/>
      <c r="E21" s="89"/>
      <c r="F21" s="89"/>
      <c r="G21" s="89"/>
      <c r="H21" s="89"/>
      <c r="I21" s="90"/>
      <c r="J21" s="91">
        <f t="shared" si="0"/>
        <v>0</v>
      </c>
    </row>
    <row r="22" spans="1:10" ht="18" x14ac:dyDescent="0.3">
      <c r="A22" s="78"/>
      <c r="B22" s="79"/>
      <c r="C22" s="79"/>
      <c r="D22" s="88"/>
      <c r="E22" s="89"/>
      <c r="F22" s="89"/>
      <c r="G22" s="89"/>
      <c r="H22" s="89"/>
      <c r="I22" s="90"/>
      <c r="J22" s="91">
        <f t="shared" si="0"/>
        <v>0</v>
      </c>
    </row>
    <row r="23" spans="1:10" ht="18" x14ac:dyDescent="0.3">
      <c r="A23" s="78"/>
      <c r="B23" s="79"/>
      <c r="C23" s="79"/>
      <c r="D23" s="88"/>
      <c r="E23" s="89"/>
      <c r="F23" s="89"/>
      <c r="G23" s="89"/>
      <c r="H23" s="89"/>
      <c r="I23" s="90"/>
      <c r="J23" s="91">
        <f t="shared" si="0"/>
        <v>0</v>
      </c>
    </row>
    <row r="24" spans="1:10" ht="18" x14ac:dyDescent="0.3">
      <c r="A24" s="78"/>
      <c r="B24" s="79"/>
      <c r="C24" s="79"/>
      <c r="D24" s="88"/>
      <c r="E24" s="89"/>
      <c r="F24" s="89"/>
      <c r="G24" s="89"/>
      <c r="H24" s="89"/>
      <c r="I24" s="90"/>
      <c r="J24" s="91">
        <f t="shared" si="0"/>
        <v>0</v>
      </c>
    </row>
    <row r="25" spans="1:10" ht="18" x14ac:dyDescent="0.3">
      <c r="A25" s="78"/>
      <c r="B25" s="79"/>
      <c r="C25" s="79"/>
      <c r="D25" s="88"/>
      <c r="E25" s="89"/>
      <c r="F25" s="89"/>
      <c r="G25" s="89"/>
      <c r="H25" s="89"/>
      <c r="I25" s="90"/>
      <c r="J25" s="91">
        <f t="shared" si="0"/>
        <v>0</v>
      </c>
    </row>
    <row r="26" spans="1:10" ht="18" x14ac:dyDescent="0.3">
      <c r="A26" s="78"/>
      <c r="B26" s="79"/>
      <c r="C26" s="79"/>
      <c r="D26" s="88"/>
      <c r="E26" s="89"/>
      <c r="F26" s="89"/>
      <c r="G26" s="89"/>
      <c r="H26" s="89"/>
      <c r="I26" s="90"/>
      <c r="J26" s="91">
        <f t="shared" si="0"/>
        <v>0</v>
      </c>
    </row>
    <row r="27" spans="1:10" ht="18" x14ac:dyDescent="0.3">
      <c r="A27" s="78"/>
      <c r="B27" s="79"/>
      <c r="C27" s="79"/>
      <c r="D27" s="88"/>
      <c r="E27" s="89"/>
      <c r="F27" s="89"/>
      <c r="G27" s="89"/>
      <c r="H27" s="89"/>
      <c r="I27" s="90"/>
      <c r="J27" s="91">
        <f t="shared" si="0"/>
        <v>0</v>
      </c>
    </row>
    <row r="28" spans="1:10" ht="18" x14ac:dyDescent="0.3">
      <c r="A28" s="78"/>
      <c r="B28" s="79"/>
      <c r="C28" s="79"/>
      <c r="D28" s="88"/>
      <c r="E28" s="89"/>
      <c r="F28" s="89"/>
      <c r="G28" s="92"/>
      <c r="H28" s="92"/>
      <c r="I28" s="93"/>
      <c r="J28" s="91">
        <f t="shared" si="0"/>
        <v>0</v>
      </c>
    </row>
    <row r="29" spans="1:10" ht="18" x14ac:dyDescent="0.3">
      <c r="A29" s="78"/>
      <c r="B29" s="79"/>
      <c r="C29" s="79"/>
      <c r="D29" s="88"/>
      <c r="E29" s="89"/>
      <c r="F29" s="89"/>
      <c r="G29" s="92"/>
      <c r="H29" s="92"/>
      <c r="I29" s="93"/>
      <c r="J29" s="91">
        <f t="shared" si="0"/>
        <v>0</v>
      </c>
    </row>
    <row r="30" spans="1:10" ht="18" x14ac:dyDescent="0.3">
      <c r="A30" s="78"/>
      <c r="B30" s="79"/>
      <c r="C30" s="79"/>
      <c r="D30" s="88"/>
      <c r="E30" s="89"/>
      <c r="F30" s="89"/>
      <c r="G30" s="92"/>
      <c r="H30" s="92"/>
      <c r="I30" s="93"/>
      <c r="J30" s="91">
        <f t="shared" si="0"/>
        <v>0</v>
      </c>
    </row>
    <row r="31" spans="1:10" ht="18" x14ac:dyDescent="0.3">
      <c r="A31" s="78"/>
      <c r="B31" s="79"/>
      <c r="C31" s="79"/>
      <c r="D31" s="88"/>
      <c r="E31" s="89"/>
      <c r="F31" s="89"/>
      <c r="G31" s="92"/>
      <c r="H31" s="92"/>
      <c r="I31" s="93"/>
      <c r="J31" s="91">
        <f t="shared" si="0"/>
        <v>0</v>
      </c>
    </row>
    <row r="32" spans="1:10" ht="18" x14ac:dyDescent="0.3">
      <c r="A32" s="78"/>
      <c r="B32" s="79"/>
      <c r="C32" s="79"/>
      <c r="D32" s="94"/>
      <c r="E32" s="89"/>
      <c r="F32" s="89"/>
      <c r="G32" s="92"/>
      <c r="H32" s="92"/>
      <c r="I32" s="93"/>
      <c r="J32" s="91">
        <f t="shared" si="0"/>
        <v>0</v>
      </c>
    </row>
    <row r="33" spans="1:10" ht="18" x14ac:dyDescent="0.3">
      <c r="A33" s="78"/>
      <c r="B33" s="79"/>
      <c r="C33" s="79"/>
      <c r="D33" s="94"/>
      <c r="E33" s="89"/>
      <c r="F33" s="89"/>
      <c r="G33" s="92"/>
      <c r="H33" s="92"/>
      <c r="I33" s="93"/>
      <c r="J33" s="91">
        <f t="shared" si="0"/>
        <v>0</v>
      </c>
    </row>
    <row r="34" spans="1:10" ht="18" x14ac:dyDescent="0.3">
      <c r="A34" s="78"/>
      <c r="B34" s="79"/>
      <c r="C34" s="79"/>
      <c r="D34" s="95"/>
      <c r="E34" s="89"/>
      <c r="F34" s="89"/>
      <c r="G34" s="92"/>
      <c r="H34" s="92"/>
      <c r="I34" s="93"/>
      <c r="J34" s="91">
        <f t="shared" si="0"/>
        <v>0</v>
      </c>
    </row>
    <row r="35" spans="1:10" ht="18.75" thickBot="1" x14ac:dyDescent="0.35">
      <c r="A35" s="78"/>
      <c r="B35" s="79"/>
      <c r="C35" s="79"/>
      <c r="D35" s="96"/>
      <c r="E35" s="97"/>
      <c r="F35" s="97"/>
      <c r="G35" s="98"/>
      <c r="H35" s="98"/>
      <c r="I35" s="99"/>
      <c r="J35" s="100">
        <f t="shared" si="0"/>
        <v>0</v>
      </c>
    </row>
    <row r="36" spans="1:10" ht="21" thickBot="1" x14ac:dyDescent="0.35">
      <c r="A36" s="78"/>
      <c r="B36" s="79"/>
      <c r="C36" s="79"/>
      <c r="D36" s="933" t="s">
        <v>10</v>
      </c>
      <c r="E36" s="934"/>
      <c r="F36" s="934"/>
      <c r="G36" s="934"/>
      <c r="H36" s="934"/>
      <c r="I36" s="935"/>
      <c r="J36" s="102">
        <f>ROUND(SUM(J8:J35),2)</f>
        <v>405.36</v>
      </c>
    </row>
    <row r="37" spans="1:10" ht="21" thickBot="1" x14ac:dyDescent="0.35">
      <c r="A37" s="78"/>
      <c r="B37" s="79"/>
      <c r="C37" s="79"/>
      <c r="D37" s="933" t="s">
        <v>1127</v>
      </c>
      <c r="E37" s="934"/>
      <c r="F37" s="934"/>
      <c r="G37" s="934"/>
      <c r="H37" s="934"/>
      <c r="I37" s="935"/>
      <c r="J37" s="103"/>
    </row>
    <row r="38" spans="1:10" ht="21" thickBot="1" x14ac:dyDescent="0.35">
      <c r="A38" s="78"/>
      <c r="B38" s="79"/>
      <c r="C38" s="101"/>
      <c r="D38" s="933" t="s">
        <v>1128</v>
      </c>
      <c r="E38" s="934"/>
      <c r="F38" s="934"/>
      <c r="G38" s="934"/>
      <c r="H38" s="934"/>
      <c r="I38" s="935"/>
      <c r="J38" s="104">
        <f>+J36-J37</f>
        <v>405.36</v>
      </c>
    </row>
    <row r="39" spans="1:10" ht="21" thickBot="1" x14ac:dyDescent="0.35">
      <c r="A39" s="936" t="s">
        <v>1129</v>
      </c>
      <c r="B39" s="937"/>
      <c r="C39" s="938"/>
      <c r="D39" s="939" t="s">
        <v>1130</v>
      </c>
      <c r="E39" s="940"/>
      <c r="F39" s="940"/>
      <c r="G39" s="940"/>
      <c r="H39" s="940"/>
      <c r="I39" s="940"/>
      <c r="J39" s="941"/>
    </row>
    <row r="40" spans="1:10" ht="38.25" customHeight="1" thickBot="1" x14ac:dyDescent="0.35">
      <c r="A40" s="942" t="str">
        <f>PPTO!G3</f>
        <v>JUNIO DE 2026</v>
      </c>
      <c r="B40" s="943"/>
      <c r="C40" s="944"/>
      <c r="D40" s="921"/>
      <c r="E40" s="922"/>
      <c r="F40" s="922"/>
      <c r="G40" s="922"/>
      <c r="H40" s="922"/>
      <c r="I40" s="922"/>
      <c r="J40" s="923"/>
    </row>
    <row r="41" spans="1:10" ht="19.5" thickBot="1" x14ac:dyDescent="0.35">
      <c r="A41" s="918"/>
      <c r="B41" s="919"/>
      <c r="C41" s="920"/>
      <c r="D41" s="921" t="s">
        <v>1131</v>
      </c>
      <c r="E41" s="922"/>
      <c r="F41" s="922"/>
      <c r="G41" s="922"/>
      <c r="H41" s="922"/>
      <c r="I41" s="922"/>
      <c r="J41" s="923"/>
    </row>
  </sheetData>
  <mergeCells count="19">
    <mergeCell ref="A2:J2"/>
    <mergeCell ref="A3:J3"/>
    <mergeCell ref="A4:J4"/>
    <mergeCell ref="C5:D5"/>
    <mergeCell ref="G5:H5"/>
    <mergeCell ref="I5:J5"/>
    <mergeCell ref="A41:C41"/>
    <mergeCell ref="D41:J41"/>
    <mergeCell ref="D6:D7"/>
    <mergeCell ref="E6:G6"/>
    <mergeCell ref="I6:I7"/>
    <mergeCell ref="J6:J7"/>
    <mergeCell ref="D36:I36"/>
    <mergeCell ref="D37:I37"/>
    <mergeCell ref="D38:I38"/>
    <mergeCell ref="A39:C39"/>
    <mergeCell ref="D39:J39"/>
    <mergeCell ref="A40:C40"/>
    <mergeCell ref="D40:J40"/>
  </mergeCells>
  <conditionalFormatting sqref="J8:J35">
    <cfRule type="cellIs" dxfId="62" priority="1" operator="equal">
      <formula>0</formula>
    </cfRule>
  </conditionalFormatting>
  <pageMargins left="0.7" right="0.7" top="0.75" bottom="0.75" header="0.3" footer="0.3"/>
  <pageSetup scale="53" orientation="landscape"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CD443-64A9-4EBE-9CC7-1BD1B7F3DC61}">
  <sheetPr>
    <tabColor rgb="FFD4ECBA"/>
    <pageSetUpPr fitToPage="1"/>
  </sheetPr>
  <dimension ref="A1:J41"/>
  <sheetViews>
    <sheetView showOutlineSymbols="0" topLeftCell="A3" zoomScale="70" zoomScaleNormal="70" workbookViewId="0">
      <selection activeCell="J8" sqref="J8"/>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05.75" customHeight="1" thickBot="1" x14ac:dyDescent="0.35">
      <c r="A5" s="72" t="s">
        <v>5</v>
      </c>
      <c r="B5" s="73" t="s">
        <v>29</v>
      </c>
      <c r="C5" s="913" t="str">
        <f>+VLOOKUP(B5,PPTO!B8:G94,2,FALSE)</f>
        <v>Suministro, transporte y colocación de concreto para vigas de fundación 0,3 x 0,3 IIncluye: concreto 21MPa, vibrado y todo para su correcta construcción. El acero se pagará en su respectivo ITEM.</v>
      </c>
      <c r="D5" s="914"/>
      <c r="E5" s="72" t="s">
        <v>7</v>
      </c>
      <c r="F5" s="74" t="str">
        <f>+VLOOKUP(B5,PPTO!B8:G94,3,FALSE)</f>
        <v>ML</v>
      </c>
      <c r="G5" s="915" t="s">
        <v>1120</v>
      </c>
      <c r="H5" s="915"/>
      <c r="I5" s="916">
        <f>+VLOOKUP(B5,PPTO!B8:G94,5,FALSE)</f>
        <v>108824</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8" x14ac:dyDescent="0.3">
      <c r="A8" s="78"/>
      <c r="B8" s="79"/>
      <c r="C8" s="79"/>
      <c r="D8" s="88" t="s">
        <v>1138</v>
      </c>
      <c r="E8" s="89">
        <v>0.3</v>
      </c>
      <c r="F8" s="89">
        <f>9.58-0.9</f>
        <v>8.68</v>
      </c>
      <c r="G8" s="89">
        <v>1</v>
      </c>
      <c r="H8" s="89"/>
      <c r="I8" s="90">
        <v>9</v>
      </c>
      <c r="J8" s="91">
        <f>+F8*I8</f>
        <v>78.12</v>
      </c>
    </row>
    <row r="9" spans="1:10" ht="18" x14ac:dyDescent="0.3">
      <c r="A9" s="78"/>
      <c r="B9" s="79"/>
      <c r="C9" s="79"/>
      <c r="D9" s="88" t="s">
        <v>1139</v>
      </c>
      <c r="E9" s="89">
        <v>0.3</v>
      </c>
      <c r="F9" s="89">
        <f>37.65-(9*0.3)</f>
        <v>34.949999999999996</v>
      </c>
      <c r="G9" s="89">
        <v>1</v>
      </c>
      <c r="H9" s="89"/>
      <c r="I9" s="90">
        <v>2</v>
      </c>
      <c r="J9" s="91">
        <f t="shared" ref="J9:J10" si="0">+F9*I9</f>
        <v>69.899999999999991</v>
      </c>
    </row>
    <row r="10" spans="1:10" ht="18" x14ac:dyDescent="0.3">
      <c r="A10" s="78"/>
      <c r="B10" s="79"/>
      <c r="C10" s="79"/>
      <c r="D10" s="88" t="s">
        <v>1140</v>
      </c>
      <c r="E10" s="89">
        <v>0.3</v>
      </c>
      <c r="F10" s="89">
        <f>34.95-3.63-3.92+4.06+3.77</f>
        <v>35.230000000000004</v>
      </c>
      <c r="G10" s="89">
        <v>1</v>
      </c>
      <c r="H10" s="89"/>
      <c r="I10" s="90">
        <v>1</v>
      </c>
      <c r="J10" s="91">
        <f t="shared" si="0"/>
        <v>35.230000000000004</v>
      </c>
    </row>
    <row r="11" spans="1:10" ht="18" x14ac:dyDescent="0.3">
      <c r="A11" s="78"/>
      <c r="B11" s="79"/>
      <c r="C11" s="79"/>
      <c r="D11" s="88"/>
      <c r="E11" s="89"/>
      <c r="F11" s="89"/>
      <c r="G11" s="89"/>
      <c r="H11" s="89"/>
      <c r="I11" s="90"/>
      <c r="J11" s="91">
        <f t="shared" ref="J11:J35" si="1">+PRODUCT(E11:I11)</f>
        <v>0</v>
      </c>
    </row>
    <row r="12" spans="1:10" ht="18" x14ac:dyDescent="0.3">
      <c r="A12" s="78"/>
      <c r="B12" s="79"/>
      <c r="C12" s="79"/>
      <c r="D12" s="88"/>
      <c r="E12" s="89"/>
      <c r="F12" s="89"/>
      <c r="G12" s="89"/>
      <c r="H12" s="89"/>
      <c r="I12" s="90"/>
      <c r="J12" s="91">
        <f t="shared" si="1"/>
        <v>0</v>
      </c>
    </row>
    <row r="13" spans="1:10" ht="18" x14ac:dyDescent="0.3">
      <c r="A13" s="78"/>
      <c r="B13" s="79"/>
      <c r="C13" s="79"/>
      <c r="D13" s="88"/>
      <c r="E13" s="89"/>
      <c r="F13" s="89"/>
      <c r="G13" s="89"/>
      <c r="H13" s="89"/>
      <c r="I13" s="90"/>
      <c r="J13" s="91">
        <f t="shared" si="1"/>
        <v>0</v>
      </c>
    </row>
    <row r="14" spans="1:10" ht="18" x14ac:dyDescent="0.3">
      <c r="A14" s="78"/>
      <c r="B14" s="79"/>
      <c r="C14" s="79"/>
      <c r="D14" s="88"/>
      <c r="E14" s="89"/>
      <c r="F14" s="89"/>
      <c r="G14" s="89"/>
      <c r="H14" s="89"/>
      <c r="I14" s="90"/>
      <c r="J14" s="91">
        <f t="shared" si="1"/>
        <v>0</v>
      </c>
    </row>
    <row r="15" spans="1:10" ht="18" x14ac:dyDescent="0.3">
      <c r="A15" s="78"/>
      <c r="B15" s="79"/>
      <c r="C15" s="79"/>
      <c r="D15" s="88"/>
      <c r="E15" s="89"/>
      <c r="F15" s="89"/>
      <c r="G15" s="89"/>
      <c r="H15" s="89"/>
      <c r="I15" s="90"/>
      <c r="J15" s="91">
        <f t="shared" si="1"/>
        <v>0</v>
      </c>
    </row>
    <row r="16" spans="1:10" ht="18" x14ac:dyDescent="0.3">
      <c r="A16" s="78"/>
      <c r="B16" s="79"/>
      <c r="C16" s="79"/>
      <c r="D16" s="88"/>
      <c r="E16" s="89"/>
      <c r="F16" s="89"/>
      <c r="G16" s="89"/>
      <c r="H16" s="89"/>
      <c r="I16" s="90"/>
      <c r="J16" s="91">
        <f t="shared" si="1"/>
        <v>0</v>
      </c>
    </row>
    <row r="17" spans="1:10" ht="18" x14ac:dyDescent="0.3">
      <c r="A17" s="78"/>
      <c r="B17" s="79"/>
      <c r="C17" s="79"/>
      <c r="D17" s="88"/>
      <c r="E17" s="89"/>
      <c r="F17" s="89"/>
      <c r="G17" s="89"/>
      <c r="H17" s="89"/>
      <c r="I17" s="90"/>
      <c r="J17" s="91">
        <f t="shared" si="1"/>
        <v>0</v>
      </c>
    </row>
    <row r="18" spans="1:10" ht="18" x14ac:dyDescent="0.3">
      <c r="A18" s="78"/>
      <c r="B18" s="79"/>
      <c r="C18" s="79"/>
      <c r="D18" s="88"/>
      <c r="E18" s="89"/>
      <c r="F18" s="89"/>
      <c r="G18" s="89"/>
      <c r="H18" s="89"/>
      <c r="I18" s="90"/>
      <c r="J18" s="91">
        <f t="shared" si="1"/>
        <v>0</v>
      </c>
    </row>
    <row r="19" spans="1:10" ht="18" x14ac:dyDescent="0.3">
      <c r="A19" s="78"/>
      <c r="B19" s="79"/>
      <c r="C19" s="79"/>
      <c r="D19" s="88"/>
      <c r="E19" s="89"/>
      <c r="F19" s="89"/>
      <c r="G19" s="89"/>
      <c r="H19" s="89"/>
      <c r="I19" s="90"/>
      <c r="J19" s="91">
        <f t="shared" si="1"/>
        <v>0</v>
      </c>
    </row>
    <row r="20" spans="1:10" ht="18" x14ac:dyDescent="0.3">
      <c r="A20" s="78"/>
      <c r="B20" s="79"/>
      <c r="C20" s="79"/>
      <c r="D20" s="88"/>
      <c r="E20" s="89"/>
      <c r="F20" s="89"/>
      <c r="G20" s="89"/>
      <c r="H20" s="89"/>
      <c r="I20" s="90"/>
      <c r="J20" s="91">
        <f t="shared" si="1"/>
        <v>0</v>
      </c>
    </row>
    <row r="21" spans="1:10" ht="18" x14ac:dyDescent="0.3">
      <c r="A21" s="78"/>
      <c r="B21" s="79"/>
      <c r="C21" s="79"/>
      <c r="D21" s="88"/>
      <c r="E21" s="89"/>
      <c r="F21" s="89"/>
      <c r="G21" s="89"/>
      <c r="H21" s="89"/>
      <c r="I21" s="90"/>
      <c r="J21" s="91">
        <f t="shared" si="1"/>
        <v>0</v>
      </c>
    </row>
    <row r="22" spans="1:10" ht="18" x14ac:dyDescent="0.3">
      <c r="A22" s="78"/>
      <c r="B22" s="79"/>
      <c r="C22" s="79"/>
      <c r="D22" s="88"/>
      <c r="E22" s="89"/>
      <c r="F22" s="89"/>
      <c r="G22" s="89"/>
      <c r="H22" s="89"/>
      <c r="I22" s="90"/>
      <c r="J22" s="91">
        <f t="shared" si="1"/>
        <v>0</v>
      </c>
    </row>
    <row r="23" spans="1:10" ht="18" x14ac:dyDescent="0.3">
      <c r="A23" s="78"/>
      <c r="B23" s="79"/>
      <c r="C23" s="79"/>
      <c r="D23" s="88"/>
      <c r="E23" s="89"/>
      <c r="F23" s="89"/>
      <c r="G23" s="89"/>
      <c r="H23" s="89"/>
      <c r="I23" s="90"/>
      <c r="J23" s="91">
        <f t="shared" si="1"/>
        <v>0</v>
      </c>
    </row>
    <row r="24" spans="1:10" ht="18" x14ac:dyDescent="0.3">
      <c r="A24" s="78"/>
      <c r="B24" s="79"/>
      <c r="C24" s="79"/>
      <c r="D24" s="88"/>
      <c r="E24" s="89"/>
      <c r="F24" s="89"/>
      <c r="G24" s="89"/>
      <c r="H24" s="89"/>
      <c r="I24" s="90"/>
      <c r="J24" s="91">
        <f t="shared" si="1"/>
        <v>0</v>
      </c>
    </row>
    <row r="25" spans="1:10" ht="18" x14ac:dyDescent="0.3">
      <c r="A25" s="78"/>
      <c r="B25" s="79"/>
      <c r="C25" s="79"/>
      <c r="D25" s="88"/>
      <c r="E25" s="89"/>
      <c r="F25" s="89"/>
      <c r="G25" s="89"/>
      <c r="H25" s="89"/>
      <c r="I25" s="90"/>
      <c r="J25" s="91">
        <f t="shared" si="1"/>
        <v>0</v>
      </c>
    </row>
    <row r="26" spans="1:10" ht="18" x14ac:dyDescent="0.3">
      <c r="A26" s="78"/>
      <c r="B26" s="79"/>
      <c r="C26" s="79"/>
      <c r="D26" s="88"/>
      <c r="E26" s="89"/>
      <c r="F26" s="89"/>
      <c r="G26" s="89"/>
      <c r="H26" s="89"/>
      <c r="I26" s="90"/>
      <c r="J26" s="91">
        <f t="shared" si="1"/>
        <v>0</v>
      </c>
    </row>
    <row r="27" spans="1:10" ht="18" x14ac:dyDescent="0.3">
      <c r="A27" s="78"/>
      <c r="B27" s="79"/>
      <c r="C27" s="79"/>
      <c r="D27" s="88"/>
      <c r="E27" s="89"/>
      <c r="F27" s="89"/>
      <c r="G27" s="89"/>
      <c r="H27" s="89"/>
      <c r="I27" s="90"/>
      <c r="J27" s="91">
        <f t="shared" si="1"/>
        <v>0</v>
      </c>
    </row>
    <row r="28" spans="1:10" ht="18" x14ac:dyDescent="0.3">
      <c r="A28" s="78"/>
      <c r="B28" s="79"/>
      <c r="C28" s="79"/>
      <c r="D28" s="88"/>
      <c r="E28" s="89"/>
      <c r="F28" s="89"/>
      <c r="G28" s="92"/>
      <c r="H28" s="92"/>
      <c r="I28" s="93"/>
      <c r="J28" s="91">
        <f t="shared" si="1"/>
        <v>0</v>
      </c>
    </row>
    <row r="29" spans="1:10" ht="18" x14ac:dyDescent="0.3">
      <c r="A29" s="78"/>
      <c r="B29" s="79"/>
      <c r="C29" s="79"/>
      <c r="D29" s="88"/>
      <c r="E29" s="89"/>
      <c r="F29" s="89"/>
      <c r="G29" s="92"/>
      <c r="H29" s="92"/>
      <c r="I29" s="93"/>
      <c r="J29" s="91">
        <f t="shared" si="1"/>
        <v>0</v>
      </c>
    </row>
    <row r="30" spans="1:10" ht="18" x14ac:dyDescent="0.3">
      <c r="A30" s="78"/>
      <c r="B30" s="79"/>
      <c r="C30" s="79"/>
      <c r="D30" s="88"/>
      <c r="E30" s="89"/>
      <c r="F30" s="89"/>
      <c r="G30" s="92"/>
      <c r="H30" s="92"/>
      <c r="I30" s="93"/>
      <c r="J30" s="91">
        <f t="shared" si="1"/>
        <v>0</v>
      </c>
    </row>
    <row r="31" spans="1:10" ht="18" x14ac:dyDescent="0.3">
      <c r="A31" s="78"/>
      <c r="B31" s="79"/>
      <c r="C31" s="79"/>
      <c r="D31" s="88"/>
      <c r="E31" s="89"/>
      <c r="F31" s="89"/>
      <c r="G31" s="92"/>
      <c r="H31" s="92"/>
      <c r="I31" s="93"/>
      <c r="J31" s="91">
        <f t="shared" si="1"/>
        <v>0</v>
      </c>
    </row>
    <row r="32" spans="1:10" ht="18" x14ac:dyDescent="0.3">
      <c r="A32" s="78"/>
      <c r="B32" s="79"/>
      <c r="C32" s="79"/>
      <c r="D32" s="94"/>
      <c r="E32" s="89"/>
      <c r="F32" s="89"/>
      <c r="G32" s="92"/>
      <c r="H32" s="92"/>
      <c r="I32" s="93"/>
      <c r="J32" s="91">
        <f t="shared" si="1"/>
        <v>0</v>
      </c>
    </row>
    <row r="33" spans="1:10" ht="18" x14ac:dyDescent="0.3">
      <c r="A33" s="78"/>
      <c r="B33" s="79"/>
      <c r="C33" s="79"/>
      <c r="D33" s="94"/>
      <c r="E33" s="89"/>
      <c r="F33" s="89"/>
      <c r="G33" s="92"/>
      <c r="H33" s="92"/>
      <c r="I33" s="93"/>
      <c r="J33" s="91">
        <f t="shared" si="1"/>
        <v>0</v>
      </c>
    </row>
    <row r="34" spans="1:10" ht="18" x14ac:dyDescent="0.3">
      <c r="A34" s="78"/>
      <c r="B34" s="79"/>
      <c r="C34" s="79"/>
      <c r="D34" s="95"/>
      <c r="E34" s="89"/>
      <c r="F34" s="89"/>
      <c r="G34" s="92"/>
      <c r="H34" s="92"/>
      <c r="I34" s="93"/>
      <c r="J34" s="91">
        <f t="shared" si="1"/>
        <v>0</v>
      </c>
    </row>
    <row r="35" spans="1:10" ht="18.75" thickBot="1" x14ac:dyDescent="0.35">
      <c r="A35" s="78"/>
      <c r="B35" s="79"/>
      <c r="C35" s="79"/>
      <c r="D35" s="96"/>
      <c r="E35" s="97"/>
      <c r="F35" s="97"/>
      <c r="G35" s="98"/>
      <c r="H35" s="98"/>
      <c r="I35" s="99"/>
      <c r="J35" s="100">
        <f t="shared" si="1"/>
        <v>0</v>
      </c>
    </row>
    <row r="36" spans="1:10" ht="21" thickBot="1" x14ac:dyDescent="0.35">
      <c r="A36" s="78"/>
      <c r="B36" s="79"/>
      <c r="C36" s="79"/>
      <c r="D36" s="933" t="s">
        <v>10</v>
      </c>
      <c r="E36" s="934"/>
      <c r="F36" s="934"/>
      <c r="G36" s="934"/>
      <c r="H36" s="934"/>
      <c r="I36" s="935"/>
      <c r="J36" s="102">
        <f>ROUND(SUM(J8:J35),2)</f>
        <v>183.25</v>
      </c>
    </row>
    <row r="37" spans="1:10" ht="21" thickBot="1" x14ac:dyDescent="0.35">
      <c r="A37" s="78"/>
      <c r="B37" s="79"/>
      <c r="C37" s="79"/>
      <c r="D37" s="933" t="s">
        <v>1127</v>
      </c>
      <c r="E37" s="934"/>
      <c r="F37" s="934"/>
      <c r="G37" s="934"/>
      <c r="H37" s="934"/>
      <c r="I37" s="935"/>
      <c r="J37" s="103"/>
    </row>
    <row r="38" spans="1:10" ht="21" thickBot="1" x14ac:dyDescent="0.35">
      <c r="A38" s="78"/>
      <c r="B38" s="79"/>
      <c r="C38" s="101"/>
      <c r="D38" s="933" t="s">
        <v>1128</v>
      </c>
      <c r="E38" s="934"/>
      <c r="F38" s="934"/>
      <c r="G38" s="934"/>
      <c r="H38" s="934"/>
      <c r="I38" s="935"/>
      <c r="J38" s="104">
        <f>+J36-J37</f>
        <v>183.25</v>
      </c>
    </row>
    <row r="39" spans="1:10" ht="21" thickBot="1" x14ac:dyDescent="0.35">
      <c r="A39" s="936" t="s">
        <v>1129</v>
      </c>
      <c r="B39" s="937"/>
      <c r="C39" s="938"/>
      <c r="D39" s="939" t="s">
        <v>1130</v>
      </c>
      <c r="E39" s="940"/>
      <c r="F39" s="940"/>
      <c r="G39" s="940"/>
      <c r="H39" s="940"/>
      <c r="I39" s="940"/>
      <c r="J39" s="941"/>
    </row>
    <row r="40" spans="1:10" ht="38.25" customHeight="1" thickBot="1" x14ac:dyDescent="0.35">
      <c r="A40" s="942" t="str">
        <f>PPTO!G3</f>
        <v>JUNIO DE 2026</v>
      </c>
      <c r="B40" s="943"/>
      <c r="C40" s="944"/>
      <c r="D40" s="921"/>
      <c r="E40" s="922"/>
      <c r="F40" s="922"/>
      <c r="G40" s="922"/>
      <c r="H40" s="922"/>
      <c r="I40" s="922"/>
      <c r="J40" s="923"/>
    </row>
    <row r="41" spans="1:10" ht="19.5" thickBot="1" x14ac:dyDescent="0.35">
      <c r="A41" s="918"/>
      <c r="B41" s="919"/>
      <c r="C41" s="920"/>
      <c r="D41" s="921" t="s">
        <v>1131</v>
      </c>
      <c r="E41" s="922"/>
      <c r="F41" s="922"/>
      <c r="G41" s="922"/>
      <c r="H41" s="922"/>
      <c r="I41" s="922"/>
      <c r="J41" s="923"/>
    </row>
  </sheetData>
  <mergeCells count="19">
    <mergeCell ref="A2:J2"/>
    <mergeCell ref="A3:J3"/>
    <mergeCell ref="A4:J4"/>
    <mergeCell ref="C5:D5"/>
    <mergeCell ref="G5:H5"/>
    <mergeCell ref="I5:J5"/>
    <mergeCell ref="A41:C41"/>
    <mergeCell ref="D41:J41"/>
    <mergeCell ref="D6:D7"/>
    <mergeCell ref="E6:G6"/>
    <mergeCell ref="I6:I7"/>
    <mergeCell ref="J6:J7"/>
    <mergeCell ref="D36:I36"/>
    <mergeCell ref="D37:I37"/>
    <mergeCell ref="D38:I38"/>
    <mergeCell ref="A39:C39"/>
    <mergeCell ref="D39:J39"/>
    <mergeCell ref="A40:C40"/>
    <mergeCell ref="D40:J40"/>
  </mergeCells>
  <conditionalFormatting sqref="J8:J35">
    <cfRule type="cellIs" dxfId="61" priority="1" operator="equal">
      <formula>0</formula>
    </cfRule>
  </conditionalFormatting>
  <pageMargins left="0.7" right="0.7" top="0.75" bottom="0.75" header="0.3" footer="0.3"/>
  <pageSetup scale="53" orientation="landscape"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768A53-6153-4B5F-B594-719B6D43DC2E}">
  <sheetPr>
    <tabColor rgb="FFD4ECBA"/>
    <pageSetUpPr fitToPage="1"/>
  </sheetPr>
  <dimension ref="A1:J41"/>
  <sheetViews>
    <sheetView showOutlineSymbols="0" topLeftCell="A3" zoomScale="70" zoomScaleNormal="70" workbookViewId="0">
      <selection activeCell="J8" sqref="J8"/>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05.75" customHeight="1" thickBot="1" x14ac:dyDescent="0.35">
      <c r="A5" s="72" t="s">
        <v>5</v>
      </c>
      <c r="B5" s="73" t="s">
        <v>31</v>
      </c>
      <c r="C5" s="913" t="str">
        <f>+VLOOKUP(B5,PPTO!B8:G94,2,FALSE)</f>
        <v>Suministro, transporte y colocación de concreto para cimentación superficilaes tipo zapatas, incluye pedestales de 0,40 x 0,40 x 1,30: y bases de 1,0 x 1,0 x 0,3 Incluye concreto 21MPa. El acero se pagará en su respectivo ITEM.</v>
      </c>
      <c r="D5" s="914"/>
      <c r="E5" s="72" t="s">
        <v>7</v>
      </c>
      <c r="F5" s="74" t="str">
        <f>+VLOOKUP(B5,PPTO!B8:G94,3,FALSE)</f>
        <v>M3</v>
      </c>
      <c r="G5" s="915" t="s">
        <v>1120</v>
      </c>
      <c r="H5" s="915"/>
      <c r="I5" s="916">
        <f>+VLOOKUP(B5,PPTO!B8:G94,5,FALSE)</f>
        <v>596612</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36" x14ac:dyDescent="0.3">
      <c r="A8" s="78"/>
      <c r="B8" s="79"/>
      <c r="C8" s="79"/>
      <c r="D8" s="429" t="s">
        <v>1145</v>
      </c>
      <c r="E8" s="89">
        <v>0.4</v>
      </c>
      <c r="F8" s="89">
        <v>0.4</v>
      </c>
      <c r="G8" s="89">
        <v>1.3</v>
      </c>
      <c r="H8" s="89"/>
      <c r="I8" s="90">
        <v>28</v>
      </c>
      <c r="J8" s="87">
        <f>+PRODUCT(E8:I8)</f>
        <v>5.8240000000000016</v>
      </c>
    </row>
    <row r="9" spans="1:10" ht="36" x14ac:dyDescent="0.3">
      <c r="A9" s="78"/>
      <c r="B9" s="79"/>
      <c r="C9" s="79"/>
      <c r="D9" s="429" t="s">
        <v>1146</v>
      </c>
      <c r="E9" s="89">
        <v>1</v>
      </c>
      <c r="F9" s="89">
        <v>1</v>
      </c>
      <c r="G9" s="89">
        <v>0.3</v>
      </c>
      <c r="H9" s="89"/>
      <c r="I9" s="90">
        <v>28</v>
      </c>
      <c r="J9" s="91">
        <f t="shared" ref="J9:J35" si="0">+PRODUCT(E9:I9)</f>
        <v>8.4</v>
      </c>
    </row>
    <row r="10" spans="1:10" ht="18" x14ac:dyDescent="0.3">
      <c r="A10" s="78"/>
      <c r="B10" s="79"/>
      <c r="C10" s="79"/>
      <c r="D10" s="88"/>
      <c r="E10" s="89"/>
      <c r="F10" s="89"/>
      <c r="G10" s="89"/>
      <c r="H10" s="89"/>
      <c r="I10" s="90"/>
      <c r="J10" s="91">
        <f t="shared" si="0"/>
        <v>0</v>
      </c>
    </row>
    <row r="11" spans="1:10" ht="18" x14ac:dyDescent="0.3">
      <c r="A11" s="78"/>
      <c r="B11" s="79"/>
      <c r="C11" s="79"/>
      <c r="D11" s="88"/>
      <c r="E11" s="89"/>
      <c r="F11" s="89"/>
      <c r="G11" s="89"/>
      <c r="H11" s="89"/>
      <c r="I11" s="90"/>
      <c r="J11" s="91">
        <f t="shared" si="0"/>
        <v>0</v>
      </c>
    </row>
    <row r="12" spans="1:10" ht="18" x14ac:dyDescent="0.3">
      <c r="A12" s="78"/>
      <c r="B12" s="79"/>
      <c r="C12" s="79"/>
      <c r="D12" s="88"/>
      <c r="E12" s="89"/>
      <c r="F12" s="89"/>
      <c r="G12" s="89"/>
      <c r="H12" s="89"/>
      <c r="I12" s="90"/>
      <c r="J12" s="91">
        <f t="shared" si="0"/>
        <v>0</v>
      </c>
    </row>
    <row r="13" spans="1:10" ht="18" x14ac:dyDescent="0.3">
      <c r="A13" s="78"/>
      <c r="B13" s="79"/>
      <c r="C13" s="79"/>
      <c r="D13" s="88"/>
      <c r="E13" s="89"/>
      <c r="F13" s="89"/>
      <c r="G13" s="89"/>
      <c r="H13" s="89"/>
      <c r="I13" s="90"/>
      <c r="J13" s="91">
        <f t="shared" si="0"/>
        <v>0</v>
      </c>
    </row>
    <row r="14" spans="1:10" ht="18" x14ac:dyDescent="0.3">
      <c r="A14" s="78"/>
      <c r="B14" s="79"/>
      <c r="C14" s="79"/>
      <c r="D14" s="88"/>
      <c r="E14" s="89"/>
      <c r="F14" s="89"/>
      <c r="G14" s="89"/>
      <c r="H14" s="89"/>
      <c r="I14" s="90"/>
      <c r="J14" s="91">
        <f t="shared" si="0"/>
        <v>0</v>
      </c>
    </row>
    <row r="15" spans="1:10" ht="18" x14ac:dyDescent="0.3">
      <c r="A15" s="78"/>
      <c r="B15" s="79"/>
      <c r="C15" s="79"/>
      <c r="D15" s="88"/>
      <c r="E15" s="89"/>
      <c r="F15" s="89"/>
      <c r="G15" s="89"/>
      <c r="H15" s="89"/>
      <c r="I15" s="90"/>
      <c r="J15" s="91">
        <f t="shared" si="0"/>
        <v>0</v>
      </c>
    </row>
    <row r="16" spans="1:10" ht="18" x14ac:dyDescent="0.3">
      <c r="A16" s="78"/>
      <c r="B16" s="79"/>
      <c r="C16" s="79"/>
      <c r="D16" s="88"/>
      <c r="E16" s="89"/>
      <c r="F16" s="89"/>
      <c r="G16" s="89"/>
      <c r="H16" s="89"/>
      <c r="I16" s="90"/>
      <c r="J16" s="91">
        <f t="shared" si="0"/>
        <v>0</v>
      </c>
    </row>
    <row r="17" spans="1:10" ht="18" x14ac:dyDescent="0.3">
      <c r="A17" s="78"/>
      <c r="B17" s="79"/>
      <c r="C17" s="79"/>
      <c r="D17" s="88"/>
      <c r="E17" s="89"/>
      <c r="F17" s="89"/>
      <c r="G17" s="89"/>
      <c r="H17" s="89"/>
      <c r="I17" s="90"/>
      <c r="J17" s="91">
        <f t="shared" si="0"/>
        <v>0</v>
      </c>
    </row>
    <row r="18" spans="1:10" ht="18" x14ac:dyDescent="0.3">
      <c r="A18" s="78"/>
      <c r="B18" s="79"/>
      <c r="C18" s="79"/>
      <c r="D18" s="88"/>
      <c r="E18" s="89"/>
      <c r="F18" s="89"/>
      <c r="G18" s="89"/>
      <c r="H18" s="89"/>
      <c r="I18" s="90"/>
      <c r="J18" s="91">
        <f t="shared" si="0"/>
        <v>0</v>
      </c>
    </row>
    <row r="19" spans="1:10" ht="18" x14ac:dyDescent="0.3">
      <c r="A19" s="78"/>
      <c r="B19" s="79"/>
      <c r="C19" s="79"/>
      <c r="D19" s="88"/>
      <c r="E19" s="89"/>
      <c r="F19" s="89"/>
      <c r="G19" s="89"/>
      <c r="H19" s="89"/>
      <c r="I19" s="90"/>
      <c r="J19" s="91">
        <f t="shared" si="0"/>
        <v>0</v>
      </c>
    </row>
    <row r="20" spans="1:10" ht="18" x14ac:dyDescent="0.3">
      <c r="A20" s="78"/>
      <c r="B20" s="79"/>
      <c r="C20" s="79"/>
      <c r="D20" s="88"/>
      <c r="E20" s="89"/>
      <c r="F20" s="89"/>
      <c r="G20" s="89"/>
      <c r="H20" s="89"/>
      <c r="I20" s="90"/>
      <c r="J20" s="91">
        <f t="shared" si="0"/>
        <v>0</v>
      </c>
    </row>
    <row r="21" spans="1:10" ht="18" x14ac:dyDescent="0.3">
      <c r="A21" s="78"/>
      <c r="B21" s="79"/>
      <c r="C21" s="79"/>
      <c r="D21" s="88"/>
      <c r="E21" s="89"/>
      <c r="F21" s="89"/>
      <c r="G21" s="89"/>
      <c r="H21" s="89"/>
      <c r="I21" s="90"/>
      <c r="J21" s="91">
        <f t="shared" si="0"/>
        <v>0</v>
      </c>
    </row>
    <row r="22" spans="1:10" ht="18" x14ac:dyDescent="0.3">
      <c r="A22" s="78"/>
      <c r="B22" s="79"/>
      <c r="C22" s="79"/>
      <c r="D22" s="88"/>
      <c r="E22" s="89"/>
      <c r="F22" s="89"/>
      <c r="G22" s="89"/>
      <c r="H22" s="89"/>
      <c r="I22" s="90"/>
      <c r="J22" s="91">
        <f t="shared" si="0"/>
        <v>0</v>
      </c>
    </row>
    <row r="23" spans="1:10" ht="18" x14ac:dyDescent="0.3">
      <c r="A23" s="78"/>
      <c r="B23" s="79"/>
      <c r="C23" s="79"/>
      <c r="D23" s="88"/>
      <c r="E23" s="89"/>
      <c r="F23" s="89"/>
      <c r="G23" s="89"/>
      <c r="H23" s="89"/>
      <c r="I23" s="90"/>
      <c r="J23" s="91">
        <f t="shared" si="0"/>
        <v>0</v>
      </c>
    </row>
    <row r="24" spans="1:10" ht="18" x14ac:dyDescent="0.3">
      <c r="A24" s="78"/>
      <c r="B24" s="79"/>
      <c r="C24" s="79"/>
      <c r="D24" s="88"/>
      <c r="E24" s="89"/>
      <c r="F24" s="89"/>
      <c r="G24" s="89"/>
      <c r="H24" s="89"/>
      <c r="I24" s="90"/>
      <c r="J24" s="91">
        <f t="shared" si="0"/>
        <v>0</v>
      </c>
    </row>
    <row r="25" spans="1:10" ht="18" x14ac:dyDescent="0.3">
      <c r="A25" s="78"/>
      <c r="B25" s="79"/>
      <c r="C25" s="79"/>
      <c r="D25" s="88"/>
      <c r="E25" s="89"/>
      <c r="F25" s="89"/>
      <c r="G25" s="89"/>
      <c r="H25" s="89"/>
      <c r="I25" s="90"/>
      <c r="J25" s="91">
        <f t="shared" si="0"/>
        <v>0</v>
      </c>
    </row>
    <row r="26" spans="1:10" ht="18" x14ac:dyDescent="0.3">
      <c r="A26" s="78"/>
      <c r="B26" s="79"/>
      <c r="C26" s="79"/>
      <c r="D26" s="88"/>
      <c r="E26" s="89"/>
      <c r="F26" s="89"/>
      <c r="G26" s="89"/>
      <c r="H26" s="89"/>
      <c r="I26" s="90"/>
      <c r="J26" s="91">
        <f t="shared" si="0"/>
        <v>0</v>
      </c>
    </row>
    <row r="27" spans="1:10" ht="18" x14ac:dyDescent="0.3">
      <c r="A27" s="78"/>
      <c r="B27" s="79"/>
      <c r="C27" s="79"/>
      <c r="D27" s="88"/>
      <c r="E27" s="89"/>
      <c r="F27" s="89"/>
      <c r="G27" s="89"/>
      <c r="H27" s="89"/>
      <c r="I27" s="90"/>
      <c r="J27" s="91">
        <f t="shared" si="0"/>
        <v>0</v>
      </c>
    </row>
    <row r="28" spans="1:10" ht="18" x14ac:dyDescent="0.3">
      <c r="A28" s="78"/>
      <c r="B28" s="79"/>
      <c r="C28" s="79"/>
      <c r="D28" s="88"/>
      <c r="E28" s="89"/>
      <c r="F28" s="89"/>
      <c r="G28" s="92"/>
      <c r="H28" s="92"/>
      <c r="I28" s="93"/>
      <c r="J28" s="91">
        <f t="shared" si="0"/>
        <v>0</v>
      </c>
    </row>
    <row r="29" spans="1:10" ht="18" x14ac:dyDescent="0.3">
      <c r="A29" s="78"/>
      <c r="B29" s="79"/>
      <c r="C29" s="79"/>
      <c r="D29" s="88"/>
      <c r="E29" s="89"/>
      <c r="F29" s="89"/>
      <c r="G29" s="92"/>
      <c r="H29" s="92"/>
      <c r="I29" s="93"/>
      <c r="J29" s="91">
        <f t="shared" si="0"/>
        <v>0</v>
      </c>
    </row>
    <row r="30" spans="1:10" ht="18" x14ac:dyDescent="0.3">
      <c r="A30" s="78"/>
      <c r="B30" s="79"/>
      <c r="C30" s="79"/>
      <c r="D30" s="88"/>
      <c r="E30" s="89"/>
      <c r="F30" s="89"/>
      <c r="G30" s="92"/>
      <c r="H30" s="92"/>
      <c r="I30" s="93"/>
      <c r="J30" s="91">
        <f t="shared" si="0"/>
        <v>0</v>
      </c>
    </row>
    <row r="31" spans="1:10" ht="18" x14ac:dyDescent="0.3">
      <c r="A31" s="78"/>
      <c r="B31" s="79"/>
      <c r="C31" s="79"/>
      <c r="D31" s="88"/>
      <c r="E31" s="89"/>
      <c r="F31" s="89"/>
      <c r="G31" s="92"/>
      <c r="H31" s="92"/>
      <c r="I31" s="93"/>
      <c r="J31" s="91">
        <f t="shared" si="0"/>
        <v>0</v>
      </c>
    </row>
    <row r="32" spans="1:10" ht="18" x14ac:dyDescent="0.3">
      <c r="A32" s="78"/>
      <c r="B32" s="79"/>
      <c r="C32" s="79"/>
      <c r="D32" s="94"/>
      <c r="E32" s="89"/>
      <c r="F32" s="89"/>
      <c r="G32" s="92"/>
      <c r="H32" s="92"/>
      <c r="I32" s="93"/>
      <c r="J32" s="91">
        <f t="shared" si="0"/>
        <v>0</v>
      </c>
    </row>
    <row r="33" spans="1:10" ht="18" x14ac:dyDescent="0.3">
      <c r="A33" s="78"/>
      <c r="B33" s="79"/>
      <c r="C33" s="79"/>
      <c r="D33" s="94"/>
      <c r="E33" s="89"/>
      <c r="F33" s="89"/>
      <c r="G33" s="92"/>
      <c r="H33" s="92"/>
      <c r="I33" s="93"/>
      <c r="J33" s="91">
        <f t="shared" si="0"/>
        <v>0</v>
      </c>
    </row>
    <row r="34" spans="1:10" ht="18" x14ac:dyDescent="0.3">
      <c r="A34" s="78"/>
      <c r="B34" s="79"/>
      <c r="C34" s="79"/>
      <c r="D34" s="95"/>
      <c r="E34" s="89"/>
      <c r="F34" s="89"/>
      <c r="G34" s="92"/>
      <c r="H34" s="92"/>
      <c r="I34" s="93"/>
      <c r="J34" s="91">
        <f t="shared" si="0"/>
        <v>0</v>
      </c>
    </row>
    <row r="35" spans="1:10" ht="18.75" thickBot="1" x14ac:dyDescent="0.35">
      <c r="A35" s="78"/>
      <c r="B35" s="79"/>
      <c r="C35" s="79"/>
      <c r="D35" s="96"/>
      <c r="E35" s="97"/>
      <c r="F35" s="97"/>
      <c r="G35" s="98"/>
      <c r="H35" s="98"/>
      <c r="I35" s="99"/>
      <c r="J35" s="100">
        <f t="shared" si="0"/>
        <v>0</v>
      </c>
    </row>
    <row r="36" spans="1:10" ht="21" thickBot="1" x14ac:dyDescent="0.35">
      <c r="A36" s="78"/>
      <c r="B36" s="79"/>
      <c r="C36" s="79"/>
      <c r="D36" s="933" t="s">
        <v>10</v>
      </c>
      <c r="E36" s="934"/>
      <c r="F36" s="934"/>
      <c r="G36" s="934"/>
      <c r="H36" s="934"/>
      <c r="I36" s="935"/>
      <c r="J36" s="102">
        <f>ROUND(SUM(J8:J35),2)</f>
        <v>14.22</v>
      </c>
    </row>
    <row r="37" spans="1:10" ht="21" thickBot="1" x14ac:dyDescent="0.35">
      <c r="A37" s="78"/>
      <c r="B37" s="79"/>
      <c r="C37" s="79"/>
      <c r="D37" s="933" t="s">
        <v>1127</v>
      </c>
      <c r="E37" s="934"/>
      <c r="F37" s="934"/>
      <c r="G37" s="934"/>
      <c r="H37" s="934"/>
      <c r="I37" s="935"/>
      <c r="J37" s="103"/>
    </row>
    <row r="38" spans="1:10" ht="21" thickBot="1" x14ac:dyDescent="0.35">
      <c r="A38" s="78"/>
      <c r="B38" s="79"/>
      <c r="C38" s="101"/>
      <c r="D38" s="933" t="s">
        <v>1128</v>
      </c>
      <c r="E38" s="934"/>
      <c r="F38" s="934"/>
      <c r="G38" s="934"/>
      <c r="H38" s="934"/>
      <c r="I38" s="935"/>
      <c r="J38" s="104">
        <f>+J36-J37</f>
        <v>14.22</v>
      </c>
    </row>
    <row r="39" spans="1:10" ht="21" thickBot="1" x14ac:dyDescent="0.35">
      <c r="A39" s="936" t="s">
        <v>1129</v>
      </c>
      <c r="B39" s="937"/>
      <c r="C39" s="938"/>
      <c r="D39" s="939" t="s">
        <v>1130</v>
      </c>
      <c r="E39" s="940"/>
      <c r="F39" s="940"/>
      <c r="G39" s="940"/>
      <c r="H39" s="940"/>
      <c r="I39" s="940"/>
      <c r="J39" s="941"/>
    </row>
    <row r="40" spans="1:10" ht="38.25" customHeight="1" thickBot="1" x14ac:dyDescent="0.35">
      <c r="A40" s="942" t="str">
        <f>PPTO!G3</f>
        <v>JUNIO DE 2026</v>
      </c>
      <c r="B40" s="943"/>
      <c r="C40" s="944"/>
      <c r="D40" s="921"/>
      <c r="E40" s="922"/>
      <c r="F40" s="922"/>
      <c r="G40" s="922"/>
      <c r="H40" s="922"/>
      <c r="I40" s="922"/>
      <c r="J40" s="923"/>
    </row>
    <row r="41" spans="1:10" ht="19.5" thickBot="1" x14ac:dyDescent="0.35">
      <c r="A41" s="918"/>
      <c r="B41" s="919"/>
      <c r="C41" s="920"/>
      <c r="D41" s="921" t="s">
        <v>1131</v>
      </c>
      <c r="E41" s="922"/>
      <c r="F41" s="922"/>
      <c r="G41" s="922"/>
      <c r="H41" s="922"/>
      <c r="I41" s="922"/>
      <c r="J41" s="923"/>
    </row>
  </sheetData>
  <mergeCells count="19">
    <mergeCell ref="A2:J2"/>
    <mergeCell ref="A3:J3"/>
    <mergeCell ref="A4:J4"/>
    <mergeCell ref="C5:D5"/>
    <mergeCell ref="G5:H5"/>
    <mergeCell ref="I5:J5"/>
    <mergeCell ref="A41:C41"/>
    <mergeCell ref="D41:J41"/>
    <mergeCell ref="D6:D7"/>
    <mergeCell ref="E6:G6"/>
    <mergeCell ref="I6:I7"/>
    <mergeCell ref="J6:J7"/>
    <mergeCell ref="D36:I36"/>
    <mergeCell ref="D37:I37"/>
    <mergeCell ref="D38:I38"/>
    <mergeCell ref="A39:C39"/>
    <mergeCell ref="D39:J39"/>
    <mergeCell ref="A40:C40"/>
    <mergeCell ref="D40:J40"/>
  </mergeCells>
  <conditionalFormatting sqref="J8:J35">
    <cfRule type="cellIs" dxfId="60" priority="1" operator="equal">
      <formula>0</formula>
    </cfRule>
  </conditionalFormatting>
  <pageMargins left="0.7" right="0.7" top="0.75" bottom="0.75" header="0.3" footer="0.3"/>
  <pageSetup scale="51" orientation="landscape"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A335ED-BBA9-46E5-95CE-F46C84B9B1CE}">
  <sheetPr>
    <tabColor rgb="FF92D050"/>
    <pageSetUpPr fitToPage="1"/>
  </sheetPr>
  <dimension ref="A1:J41"/>
  <sheetViews>
    <sheetView showOutlineSymbols="0" topLeftCell="A2" zoomScale="70" zoomScaleNormal="70" workbookViewId="0">
      <selection activeCell="J9" sqref="J9"/>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05.75" customHeight="1" thickBot="1" x14ac:dyDescent="0.35">
      <c r="A5" s="72" t="s">
        <v>5</v>
      </c>
      <c r="B5" s="73" t="str">
        <f>PPTO!B22</f>
        <v>3,2,1</v>
      </c>
      <c r="C5" s="913" t="str">
        <f>+VLOOKUP(B5,PPTO!B8:G94,2,FALSE)</f>
        <v>Suministro, transporte y colocación de concreto para columnas de 0.30 x 0.30, h= 2.70m,  Incluye: formaleta, concreto 21MPa, vibrado y todo para su correcta instalación. El acero se pagará en su respectivo ITEM.</v>
      </c>
      <c r="D5" s="914"/>
      <c r="E5" s="72" t="s">
        <v>7</v>
      </c>
      <c r="F5" s="74" t="str">
        <f>+VLOOKUP(B5,PPTO!B8:G94,3,FALSE)</f>
        <v>ML</v>
      </c>
      <c r="G5" s="915" t="s">
        <v>1120</v>
      </c>
      <c r="H5" s="915"/>
      <c r="I5" s="916">
        <f>+VLOOKUP(B5,PPTO!B8:G94,5,FALSE)</f>
        <v>204169</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36" x14ac:dyDescent="0.3">
      <c r="A8" s="78"/>
      <c r="B8" s="79"/>
      <c r="C8" s="79"/>
      <c r="D8" s="429" t="s">
        <v>1147</v>
      </c>
      <c r="E8" s="89">
        <v>0.3</v>
      </c>
      <c r="F8" s="89">
        <v>0.3</v>
      </c>
      <c r="G8" s="89">
        <v>2.7</v>
      </c>
      <c r="H8" s="89"/>
      <c r="I8" s="90">
        <v>28</v>
      </c>
      <c r="J8" s="87">
        <f>+PRODUCT(G8:I8)</f>
        <v>75.600000000000009</v>
      </c>
    </row>
    <row r="9" spans="1:10" ht="18" x14ac:dyDescent="0.3">
      <c r="A9" s="78"/>
      <c r="B9" s="79"/>
      <c r="C9" s="79"/>
      <c r="D9" s="88"/>
      <c r="E9" s="89"/>
      <c r="F9" s="89"/>
      <c r="G9" s="89"/>
      <c r="H9" s="89"/>
      <c r="I9" s="90"/>
      <c r="J9" s="91">
        <f t="shared" ref="J9:J35" si="0">+PRODUCT(E9:I9)</f>
        <v>0</v>
      </c>
    </row>
    <row r="10" spans="1:10" ht="18" x14ac:dyDescent="0.3">
      <c r="A10" s="78"/>
      <c r="B10" s="79"/>
      <c r="C10" s="79"/>
      <c r="D10" s="88"/>
      <c r="E10" s="89"/>
      <c r="F10" s="89"/>
      <c r="G10" s="89"/>
      <c r="H10" s="89"/>
      <c r="I10" s="90"/>
      <c r="J10" s="91">
        <f t="shared" si="0"/>
        <v>0</v>
      </c>
    </row>
    <row r="11" spans="1:10" ht="18" x14ac:dyDescent="0.3">
      <c r="A11" s="78"/>
      <c r="B11" s="79"/>
      <c r="C11" s="79"/>
      <c r="D11" s="88"/>
      <c r="E11" s="89"/>
      <c r="F11" s="89"/>
      <c r="G11" s="89"/>
      <c r="H11" s="89"/>
      <c r="I11" s="90"/>
      <c r="J11" s="91">
        <f t="shared" si="0"/>
        <v>0</v>
      </c>
    </row>
    <row r="12" spans="1:10" ht="18" x14ac:dyDescent="0.3">
      <c r="A12" s="78"/>
      <c r="B12" s="79"/>
      <c r="C12" s="79"/>
      <c r="D12" s="88"/>
      <c r="E12" s="89"/>
      <c r="F12" s="89"/>
      <c r="G12" s="89"/>
      <c r="H12" s="89"/>
      <c r="I12" s="90"/>
      <c r="J12" s="91">
        <f t="shared" si="0"/>
        <v>0</v>
      </c>
    </row>
    <row r="13" spans="1:10" ht="18" x14ac:dyDescent="0.3">
      <c r="A13" s="78"/>
      <c r="B13" s="79"/>
      <c r="C13" s="79"/>
      <c r="D13" s="88"/>
      <c r="E13" s="89"/>
      <c r="F13" s="89"/>
      <c r="G13" s="89"/>
      <c r="H13" s="89"/>
      <c r="I13" s="90"/>
      <c r="J13" s="91">
        <f t="shared" si="0"/>
        <v>0</v>
      </c>
    </row>
    <row r="14" spans="1:10" ht="18" x14ac:dyDescent="0.3">
      <c r="A14" s="78"/>
      <c r="B14" s="79"/>
      <c r="C14" s="79"/>
      <c r="D14" s="88"/>
      <c r="E14" s="89"/>
      <c r="F14" s="89"/>
      <c r="G14" s="89"/>
      <c r="H14" s="89"/>
      <c r="I14" s="90"/>
      <c r="J14" s="91">
        <f t="shared" si="0"/>
        <v>0</v>
      </c>
    </row>
    <row r="15" spans="1:10" ht="18" x14ac:dyDescent="0.3">
      <c r="A15" s="78"/>
      <c r="B15" s="79"/>
      <c r="C15" s="79"/>
      <c r="D15" s="88"/>
      <c r="E15" s="89"/>
      <c r="F15" s="89"/>
      <c r="G15" s="89"/>
      <c r="H15" s="89"/>
      <c r="I15" s="90"/>
      <c r="J15" s="91">
        <f t="shared" si="0"/>
        <v>0</v>
      </c>
    </row>
    <row r="16" spans="1:10" ht="18" x14ac:dyDescent="0.3">
      <c r="A16" s="78"/>
      <c r="B16" s="79"/>
      <c r="C16" s="79"/>
      <c r="D16" s="88"/>
      <c r="E16" s="89"/>
      <c r="F16" s="89"/>
      <c r="G16" s="89"/>
      <c r="H16" s="89"/>
      <c r="I16" s="90"/>
      <c r="J16" s="91">
        <f t="shared" si="0"/>
        <v>0</v>
      </c>
    </row>
    <row r="17" spans="1:10" ht="18" x14ac:dyDescent="0.3">
      <c r="A17" s="78"/>
      <c r="B17" s="79"/>
      <c r="C17" s="79"/>
      <c r="D17" s="88"/>
      <c r="E17" s="89"/>
      <c r="F17" s="89"/>
      <c r="G17" s="89"/>
      <c r="H17" s="89"/>
      <c r="I17" s="90"/>
      <c r="J17" s="91">
        <f t="shared" si="0"/>
        <v>0</v>
      </c>
    </row>
    <row r="18" spans="1:10" ht="18" x14ac:dyDescent="0.3">
      <c r="A18" s="78"/>
      <c r="B18" s="79"/>
      <c r="C18" s="79"/>
      <c r="D18" s="88"/>
      <c r="E18" s="89"/>
      <c r="F18" s="89"/>
      <c r="G18" s="89"/>
      <c r="H18" s="89"/>
      <c r="I18" s="90"/>
      <c r="J18" s="91">
        <f t="shared" si="0"/>
        <v>0</v>
      </c>
    </row>
    <row r="19" spans="1:10" ht="18" x14ac:dyDescent="0.3">
      <c r="A19" s="78"/>
      <c r="B19" s="79"/>
      <c r="C19" s="79"/>
      <c r="D19" s="88"/>
      <c r="E19" s="89"/>
      <c r="F19" s="89"/>
      <c r="G19" s="89"/>
      <c r="H19" s="89"/>
      <c r="I19" s="90"/>
      <c r="J19" s="91">
        <f t="shared" si="0"/>
        <v>0</v>
      </c>
    </row>
    <row r="20" spans="1:10" ht="18" x14ac:dyDescent="0.3">
      <c r="A20" s="78"/>
      <c r="B20" s="79"/>
      <c r="C20" s="79"/>
      <c r="D20" s="88"/>
      <c r="E20" s="89"/>
      <c r="F20" s="89"/>
      <c r="G20" s="89"/>
      <c r="H20" s="89"/>
      <c r="I20" s="90"/>
      <c r="J20" s="91">
        <f t="shared" si="0"/>
        <v>0</v>
      </c>
    </row>
    <row r="21" spans="1:10" ht="18" x14ac:dyDescent="0.3">
      <c r="A21" s="78"/>
      <c r="B21" s="79"/>
      <c r="C21" s="79"/>
      <c r="D21" s="88"/>
      <c r="E21" s="89"/>
      <c r="F21" s="89"/>
      <c r="G21" s="89"/>
      <c r="H21" s="89"/>
      <c r="I21" s="90"/>
      <c r="J21" s="91">
        <f t="shared" si="0"/>
        <v>0</v>
      </c>
    </row>
    <row r="22" spans="1:10" ht="18" x14ac:dyDescent="0.3">
      <c r="A22" s="78"/>
      <c r="B22" s="79"/>
      <c r="C22" s="79"/>
      <c r="D22" s="88"/>
      <c r="E22" s="89"/>
      <c r="F22" s="89"/>
      <c r="G22" s="89"/>
      <c r="H22" s="89"/>
      <c r="I22" s="90"/>
      <c r="J22" s="91">
        <f t="shared" si="0"/>
        <v>0</v>
      </c>
    </row>
    <row r="23" spans="1:10" ht="18" x14ac:dyDescent="0.3">
      <c r="A23" s="78"/>
      <c r="B23" s="79"/>
      <c r="C23" s="79"/>
      <c r="D23" s="88"/>
      <c r="E23" s="89"/>
      <c r="F23" s="89"/>
      <c r="G23" s="89"/>
      <c r="H23" s="89"/>
      <c r="I23" s="90"/>
      <c r="J23" s="91">
        <f t="shared" si="0"/>
        <v>0</v>
      </c>
    </row>
    <row r="24" spans="1:10" ht="18" x14ac:dyDescent="0.3">
      <c r="A24" s="78"/>
      <c r="B24" s="79"/>
      <c r="C24" s="79"/>
      <c r="D24" s="88"/>
      <c r="E24" s="89"/>
      <c r="F24" s="89"/>
      <c r="G24" s="89"/>
      <c r="H24" s="89"/>
      <c r="I24" s="90"/>
      <c r="J24" s="91">
        <f t="shared" si="0"/>
        <v>0</v>
      </c>
    </row>
    <row r="25" spans="1:10" ht="18" x14ac:dyDescent="0.3">
      <c r="A25" s="78"/>
      <c r="B25" s="79"/>
      <c r="C25" s="79"/>
      <c r="D25" s="88"/>
      <c r="E25" s="89"/>
      <c r="F25" s="89"/>
      <c r="G25" s="89"/>
      <c r="H25" s="89"/>
      <c r="I25" s="90"/>
      <c r="J25" s="91">
        <f t="shared" si="0"/>
        <v>0</v>
      </c>
    </row>
    <row r="26" spans="1:10" ht="18" x14ac:dyDescent="0.3">
      <c r="A26" s="78"/>
      <c r="B26" s="79"/>
      <c r="C26" s="79"/>
      <c r="D26" s="88"/>
      <c r="E26" s="89"/>
      <c r="F26" s="89"/>
      <c r="G26" s="89"/>
      <c r="H26" s="89"/>
      <c r="I26" s="90"/>
      <c r="J26" s="91">
        <f t="shared" si="0"/>
        <v>0</v>
      </c>
    </row>
    <row r="27" spans="1:10" ht="18" x14ac:dyDescent="0.3">
      <c r="A27" s="78"/>
      <c r="B27" s="79"/>
      <c r="C27" s="79"/>
      <c r="D27" s="88"/>
      <c r="E27" s="89"/>
      <c r="F27" s="89"/>
      <c r="G27" s="89"/>
      <c r="H27" s="89"/>
      <c r="I27" s="90"/>
      <c r="J27" s="91">
        <f t="shared" si="0"/>
        <v>0</v>
      </c>
    </row>
    <row r="28" spans="1:10" ht="18" x14ac:dyDescent="0.3">
      <c r="A28" s="78"/>
      <c r="B28" s="79"/>
      <c r="C28" s="79"/>
      <c r="D28" s="88"/>
      <c r="E28" s="89"/>
      <c r="F28" s="89"/>
      <c r="G28" s="92"/>
      <c r="H28" s="92"/>
      <c r="I28" s="93"/>
      <c r="J28" s="91">
        <f t="shared" si="0"/>
        <v>0</v>
      </c>
    </row>
    <row r="29" spans="1:10" ht="18" x14ac:dyDescent="0.3">
      <c r="A29" s="78"/>
      <c r="B29" s="79"/>
      <c r="C29" s="79"/>
      <c r="D29" s="88"/>
      <c r="E29" s="89"/>
      <c r="F29" s="89"/>
      <c r="G29" s="92"/>
      <c r="H29" s="92"/>
      <c r="I29" s="93"/>
      <c r="J29" s="91">
        <f t="shared" si="0"/>
        <v>0</v>
      </c>
    </row>
    <row r="30" spans="1:10" ht="18" x14ac:dyDescent="0.3">
      <c r="A30" s="78"/>
      <c r="B30" s="79"/>
      <c r="C30" s="79"/>
      <c r="D30" s="88"/>
      <c r="E30" s="89"/>
      <c r="F30" s="89"/>
      <c r="G30" s="92"/>
      <c r="H30" s="92"/>
      <c r="I30" s="93"/>
      <c r="J30" s="91">
        <f t="shared" si="0"/>
        <v>0</v>
      </c>
    </row>
    <row r="31" spans="1:10" ht="18" x14ac:dyDescent="0.3">
      <c r="A31" s="78"/>
      <c r="B31" s="79"/>
      <c r="C31" s="79"/>
      <c r="D31" s="88"/>
      <c r="E31" s="89"/>
      <c r="F31" s="89"/>
      <c r="G31" s="92"/>
      <c r="H31" s="92"/>
      <c r="I31" s="93"/>
      <c r="J31" s="91">
        <f t="shared" si="0"/>
        <v>0</v>
      </c>
    </row>
    <row r="32" spans="1:10" ht="18" x14ac:dyDescent="0.3">
      <c r="A32" s="78"/>
      <c r="B32" s="79"/>
      <c r="C32" s="79"/>
      <c r="D32" s="94"/>
      <c r="E32" s="89"/>
      <c r="F32" s="89"/>
      <c r="G32" s="92"/>
      <c r="H32" s="92"/>
      <c r="I32" s="93"/>
      <c r="J32" s="91">
        <f t="shared" si="0"/>
        <v>0</v>
      </c>
    </row>
    <row r="33" spans="1:10" ht="18" x14ac:dyDescent="0.3">
      <c r="A33" s="78"/>
      <c r="B33" s="79"/>
      <c r="C33" s="79"/>
      <c r="D33" s="94"/>
      <c r="E33" s="89"/>
      <c r="F33" s="89"/>
      <c r="G33" s="92"/>
      <c r="H33" s="92"/>
      <c r="I33" s="93"/>
      <c r="J33" s="91">
        <f t="shared" si="0"/>
        <v>0</v>
      </c>
    </row>
    <row r="34" spans="1:10" ht="18" x14ac:dyDescent="0.3">
      <c r="A34" s="78"/>
      <c r="B34" s="79"/>
      <c r="C34" s="79"/>
      <c r="D34" s="95"/>
      <c r="E34" s="89"/>
      <c r="F34" s="89"/>
      <c r="G34" s="92"/>
      <c r="H34" s="92"/>
      <c r="I34" s="93"/>
      <c r="J34" s="91">
        <f t="shared" si="0"/>
        <v>0</v>
      </c>
    </row>
    <row r="35" spans="1:10" ht="18.75" thickBot="1" x14ac:dyDescent="0.35">
      <c r="A35" s="78"/>
      <c r="B35" s="79"/>
      <c r="C35" s="79"/>
      <c r="D35" s="96"/>
      <c r="E35" s="97"/>
      <c r="F35" s="97"/>
      <c r="G35" s="98"/>
      <c r="H35" s="98"/>
      <c r="I35" s="99"/>
      <c r="J35" s="100">
        <f t="shared" si="0"/>
        <v>0</v>
      </c>
    </row>
    <row r="36" spans="1:10" ht="21" thickBot="1" x14ac:dyDescent="0.35">
      <c r="A36" s="78"/>
      <c r="B36" s="79"/>
      <c r="C36" s="79"/>
      <c r="D36" s="933" t="s">
        <v>10</v>
      </c>
      <c r="E36" s="934"/>
      <c r="F36" s="934"/>
      <c r="G36" s="934"/>
      <c r="H36" s="934"/>
      <c r="I36" s="935"/>
      <c r="J36" s="102">
        <f>ROUND(SUM(J8:J35),2)</f>
        <v>75.599999999999994</v>
      </c>
    </row>
    <row r="37" spans="1:10" ht="21" thickBot="1" x14ac:dyDescent="0.35">
      <c r="A37" s="78"/>
      <c r="B37" s="79"/>
      <c r="C37" s="79"/>
      <c r="D37" s="933" t="s">
        <v>1127</v>
      </c>
      <c r="E37" s="934"/>
      <c r="F37" s="934"/>
      <c r="G37" s="934"/>
      <c r="H37" s="934"/>
      <c r="I37" s="935"/>
      <c r="J37" s="103"/>
    </row>
    <row r="38" spans="1:10" ht="21" thickBot="1" x14ac:dyDescent="0.35">
      <c r="A38" s="78"/>
      <c r="B38" s="79"/>
      <c r="C38" s="101"/>
      <c r="D38" s="933" t="s">
        <v>1128</v>
      </c>
      <c r="E38" s="934"/>
      <c r="F38" s="934"/>
      <c r="G38" s="934"/>
      <c r="H38" s="934"/>
      <c r="I38" s="935"/>
      <c r="J38" s="104">
        <f>+J36-J37</f>
        <v>75.599999999999994</v>
      </c>
    </row>
    <row r="39" spans="1:10" ht="21" thickBot="1" x14ac:dyDescent="0.35">
      <c r="A39" s="936" t="s">
        <v>1129</v>
      </c>
      <c r="B39" s="937"/>
      <c r="C39" s="938"/>
      <c r="D39" s="939" t="s">
        <v>1130</v>
      </c>
      <c r="E39" s="940"/>
      <c r="F39" s="940"/>
      <c r="G39" s="940"/>
      <c r="H39" s="940"/>
      <c r="I39" s="940"/>
      <c r="J39" s="941"/>
    </row>
    <row r="40" spans="1:10" ht="38.25" customHeight="1" thickBot="1" x14ac:dyDescent="0.35">
      <c r="A40" s="942" t="str">
        <f>PPTO!G3</f>
        <v>JUNIO DE 2026</v>
      </c>
      <c r="B40" s="943"/>
      <c r="C40" s="944"/>
      <c r="D40" s="921"/>
      <c r="E40" s="922"/>
      <c r="F40" s="922"/>
      <c r="G40" s="922"/>
      <c r="H40" s="922"/>
      <c r="I40" s="922"/>
      <c r="J40" s="923"/>
    </row>
    <row r="41" spans="1:10" ht="19.5" thickBot="1" x14ac:dyDescent="0.35">
      <c r="A41" s="918"/>
      <c r="B41" s="919"/>
      <c r="C41" s="920"/>
      <c r="D41" s="921" t="s">
        <v>1131</v>
      </c>
      <c r="E41" s="922"/>
      <c r="F41" s="922"/>
      <c r="G41" s="922"/>
      <c r="H41" s="922"/>
      <c r="I41" s="922"/>
      <c r="J41" s="923"/>
    </row>
  </sheetData>
  <mergeCells count="19">
    <mergeCell ref="A41:C41"/>
    <mergeCell ref="D41:J41"/>
    <mergeCell ref="D6:D7"/>
    <mergeCell ref="E6:G6"/>
    <mergeCell ref="I6:I7"/>
    <mergeCell ref="J6:J7"/>
    <mergeCell ref="D36:I36"/>
    <mergeCell ref="D37:I37"/>
    <mergeCell ref="D38:I38"/>
    <mergeCell ref="A39:C39"/>
    <mergeCell ref="D39:J39"/>
    <mergeCell ref="A40:C40"/>
    <mergeCell ref="D40:J40"/>
    <mergeCell ref="A2:J2"/>
    <mergeCell ref="A3:J3"/>
    <mergeCell ref="A4:J4"/>
    <mergeCell ref="C5:D5"/>
    <mergeCell ref="G5:H5"/>
    <mergeCell ref="I5:J5"/>
  </mergeCells>
  <conditionalFormatting sqref="J8:J35">
    <cfRule type="cellIs" dxfId="59" priority="1" operator="equal">
      <formula>0</formula>
    </cfRule>
  </conditionalFormatting>
  <pageMargins left="0.7" right="0.7" top="0.75" bottom="0.75" header="0.3" footer="0.3"/>
  <pageSetup scale="52" orientation="landscape"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61BD0B-3396-4FAA-9366-FAC4C6851A3A}">
  <sheetPr>
    <tabColor rgb="FF92D050"/>
    <pageSetUpPr fitToPage="1"/>
  </sheetPr>
  <dimension ref="A1:J41"/>
  <sheetViews>
    <sheetView showOutlineSymbols="0" topLeftCell="A2" zoomScale="70" zoomScaleNormal="70" workbookViewId="0">
      <selection activeCell="J36" sqref="J36"/>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05.75" customHeight="1" thickBot="1" x14ac:dyDescent="0.35">
      <c r="A5" s="72" t="s">
        <v>5</v>
      </c>
      <c r="B5" s="73" t="str">
        <f>PPTO!B23</f>
        <v>3,2,2</v>
      </c>
      <c r="C5" s="913" t="str">
        <f>+VLOOKUP(B5,PPTO!B8:G94,2,FALSE)</f>
        <v>Suministro, transporte y colocación de concreto para vigas de amarre, de 0.25 x 0.30,  Incluye: ( formaleta y concreto 21MPa), el acero se pagará en su respectivo ITEM.</v>
      </c>
      <c r="D5" s="914"/>
      <c r="E5" s="72" t="s">
        <v>7</v>
      </c>
      <c r="F5" s="74" t="str">
        <f>+VLOOKUP(B5,PPTO!B8:G94,3,FALSE)</f>
        <v>ML</v>
      </c>
      <c r="G5" s="915" t="s">
        <v>1120</v>
      </c>
      <c r="H5" s="915"/>
      <c r="I5" s="916">
        <f>+VLOOKUP(B5,PPTO!B8:G94,5,FALSE)</f>
        <v>227690</v>
      </c>
      <c r="J5" s="917"/>
    </row>
    <row r="6" spans="1:10" ht="18" x14ac:dyDescent="0.3">
      <c r="A6" s="75"/>
      <c r="B6" s="76"/>
      <c r="C6" s="76"/>
      <c r="D6" s="924" t="s">
        <v>958</v>
      </c>
      <c r="E6" s="926" t="s">
        <v>1121</v>
      </c>
      <c r="F6" s="927"/>
      <c r="G6" s="928"/>
      <c r="H6" s="77" t="s">
        <v>1122</v>
      </c>
      <c r="I6" s="929" t="s">
        <v>959</v>
      </c>
      <c r="J6" s="931" t="s">
        <v>287</v>
      </c>
    </row>
    <row r="7" spans="1:10" ht="18" x14ac:dyDescent="0.3">
      <c r="A7" s="78"/>
      <c r="B7" s="79"/>
      <c r="C7" s="79"/>
      <c r="D7" s="945"/>
      <c r="E7" s="109" t="s">
        <v>1123</v>
      </c>
      <c r="F7" s="110" t="s">
        <v>1124</v>
      </c>
      <c r="G7" s="111" t="s">
        <v>1125</v>
      </c>
      <c r="H7" s="112"/>
      <c r="I7" s="946"/>
      <c r="J7" s="947"/>
    </row>
    <row r="8" spans="1:10" ht="18" x14ac:dyDescent="0.3">
      <c r="A8" s="78"/>
      <c r="B8" s="79"/>
      <c r="C8" s="79"/>
      <c r="D8" s="88" t="s">
        <v>1138</v>
      </c>
      <c r="E8" s="89">
        <v>0.25</v>
      </c>
      <c r="F8" s="89">
        <f>9.58-0.9</f>
        <v>8.68</v>
      </c>
      <c r="G8" s="89">
        <v>0.3</v>
      </c>
      <c r="H8" s="89"/>
      <c r="I8" s="90">
        <v>9</v>
      </c>
      <c r="J8" s="91">
        <f>+F8*I8</f>
        <v>78.12</v>
      </c>
    </row>
    <row r="9" spans="1:10" ht="18" x14ac:dyDescent="0.3">
      <c r="A9" s="78"/>
      <c r="B9" s="79"/>
      <c r="C9" s="79"/>
      <c r="D9" s="88" t="s">
        <v>1139</v>
      </c>
      <c r="E9" s="89">
        <v>0.25</v>
      </c>
      <c r="F9" s="89">
        <f>37.65-(9*0.3)</f>
        <v>34.949999999999996</v>
      </c>
      <c r="G9" s="89">
        <v>0.3</v>
      </c>
      <c r="H9" s="89"/>
      <c r="I9" s="90">
        <v>2</v>
      </c>
      <c r="J9" s="91">
        <f>+F9*I9</f>
        <v>69.899999999999991</v>
      </c>
    </row>
    <row r="10" spans="1:10" ht="18" x14ac:dyDescent="0.3">
      <c r="A10" s="78"/>
      <c r="B10" s="79"/>
      <c r="C10" s="79"/>
      <c r="D10" s="88" t="s">
        <v>1140</v>
      </c>
      <c r="E10" s="89">
        <v>0.25</v>
      </c>
      <c r="F10" s="89">
        <f>34.95-3.63-3.92+4.06+3.77</f>
        <v>35.230000000000004</v>
      </c>
      <c r="G10" s="89">
        <v>0.3</v>
      </c>
      <c r="H10" s="89"/>
      <c r="I10" s="90">
        <v>1</v>
      </c>
      <c r="J10" s="91">
        <f>+F10*I10</f>
        <v>35.230000000000004</v>
      </c>
    </row>
    <row r="11" spans="1:10" ht="18" x14ac:dyDescent="0.3">
      <c r="A11" s="78"/>
      <c r="B11" s="79"/>
      <c r="C11" s="79"/>
      <c r="D11" s="88"/>
      <c r="E11" s="89"/>
      <c r="F11" s="89"/>
      <c r="G11" s="89"/>
      <c r="H11" s="89"/>
      <c r="I11" s="90"/>
      <c r="J11" s="91">
        <f>+F11*I11</f>
        <v>0</v>
      </c>
    </row>
    <row r="12" spans="1:10" ht="18" x14ac:dyDescent="0.3">
      <c r="A12" s="78"/>
      <c r="B12" s="79"/>
      <c r="C12" s="79"/>
      <c r="D12" s="88"/>
      <c r="E12" s="89"/>
      <c r="F12" s="89"/>
      <c r="G12" s="89"/>
      <c r="H12" s="89"/>
      <c r="I12" s="90"/>
      <c r="J12" s="91">
        <f t="shared" ref="J12:J35" si="0">+PRODUCT(E12:I12)</f>
        <v>0</v>
      </c>
    </row>
    <row r="13" spans="1:10" ht="18" x14ac:dyDescent="0.3">
      <c r="A13" s="78"/>
      <c r="B13" s="79"/>
      <c r="C13" s="79"/>
      <c r="D13" s="88"/>
      <c r="E13" s="89"/>
      <c r="F13" s="89"/>
      <c r="G13" s="89"/>
      <c r="H13" s="89"/>
      <c r="I13" s="90"/>
      <c r="J13" s="91">
        <f t="shared" si="0"/>
        <v>0</v>
      </c>
    </row>
    <row r="14" spans="1:10" ht="18" x14ac:dyDescent="0.3">
      <c r="A14" s="78"/>
      <c r="B14" s="79"/>
      <c r="C14" s="79"/>
      <c r="D14" s="88"/>
      <c r="E14" s="89"/>
      <c r="F14" s="89"/>
      <c r="G14" s="89"/>
      <c r="H14" s="89"/>
      <c r="I14" s="90"/>
      <c r="J14" s="91">
        <f t="shared" si="0"/>
        <v>0</v>
      </c>
    </row>
    <row r="15" spans="1:10" ht="18" x14ac:dyDescent="0.3">
      <c r="A15" s="78"/>
      <c r="B15" s="79"/>
      <c r="C15" s="79"/>
      <c r="D15" s="88"/>
      <c r="E15" s="89"/>
      <c r="F15" s="89"/>
      <c r="G15" s="89"/>
      <c r="H15" s="89"/>
      <c r="I15" s="90"/>
      <c r="J15" s="91">
        <f t="shared" si="0"/>
        <v>0</v>
      </c>
    </row>
    <row r="16" spans="1:10" ht="18" x14ac:dyDescent="0.3">
      <c r="A16" s="78"/>
      <c r="B16" s="79"/>
      <c r="C16" s="79"/>
      <c r="D16" s="88"/>
      <c r="E16" s="89"/>
      <c r="F16" s="89"/>
      <c r="G16" s="89"/>
      <c r="H16" s="89"/>
      <c r="I16" s="90"/>
      <c r="J16" s="91">
        <f t="shared" si="0"/>
        <v>0</v>
      </c>
    </row>
    <row r="17" spans="1:10" ht="18" x14ac:dyDescent="0.3">
      <c r="A17" s="78"/>
      <c r="B17" s="79"/>
      <c r="C17" s="79"/>
      <c r="D17" s="88"/>
      <c r="E17" s="89"/>
      <c r="F17" s="89"/>
      <c r="G17" s="89"/>
      <c r="H17" s="89"/>
      <c r="I17" s="90"/>
      <c r="J17" s="91">
        <f t="shared" si="0"/>
        <v>0</v>
      </c>
    </row>
    <row r="18" spans="1:10" ht="18" x14ac:dyDescent="0.3">
      <c r="A18" s="78"/>
      <c r="B18" s="79"/>
      <c r="C18" s="79"/>
      <c r="D18" s="88"/>
      <c r="E18" s="89"/>
      <c r="F18" s="89"/>
      <c r="G18" s="89"/>
      <c r="H18" s="89"/>
      <c r="I18" s="90"/>
      <c r="J18" s="91">
        <f t="shared" si="0"/>
        <v>0</v>
      </c>
    </row>
    <row r="19" spans="1:10" ht="18" x14ac:dyDescent="0.3">
      <c r="A19" s="78"/>
      <c r="B19" s="79"/>
      <c r="C19" s="79"/>
      <c r="D19" s="88"/>
      <c r="E19" s="89"/>
      <c r="F19" s="89"/>
      <c r="G19" s="89"/>
      <c r="H19" s="89"/>
      <c r="I19" s="90"/>
      <c r="J19" s="91">
        <f t="shared" si="0"/>
        <v>0</v>
      </c>
    </row>
    <row r="20" spans="1:10" ht="18" x14ac:dyDescent="0.3">
      <c r="A20" s="78"/>
      <c r="B20" s="79"/>
      <c r="C20" s="79"/>
      <c r="D20" s="88"/>
      <c r="E20" s="89"/>
      <c r="F20" s="89"/>
      <c r="G20" s="89"/>
      <c r="H20" s="89"/>
      <c r="I20" s="90"/>
      <c r="J20" s="91">
        <f t="shared" si="0"/>
        <v>0</v>
      </c>
    </row>
    <row r="21" spans="1:10" ht="18" x14ac:dyDescent="0.3">
      <c r="A21" s="78"/>
      <c r="B21" s="79"/>
      <c r="C21" s="79"/>
      <c r="D21" s="88"/>
      <c r="E21" s="89"/>
      <c r="F21" s="89"/>
      <c r="G21" s="89"/>
      <c r="H21" s="89"/>
      <c r="I21" s="90"/>
      <c r="J21" s="91">
        <f t="shared" si="0"/>
        <v>0</v>
      </c>
    </row>
    <row r="22" spans="1:10" ht="18" x14ac:dyDescent="0.3">
      <c r="A22" s="78"/>
      <c r="B22" s="79"/>
      <c r="C22" s="79"/>
      <c r="D22" s="88"/>
      <c r="E22" s="89"/>
      <c r="F22" s="89"/>
      <c r="G22" s="89"/>
      <c r="H22" s="89"/>
      <c r="I22" s="90"/>
      <c r="J22" s="91">
        <f t="shared" si="0"/>
        <v>0</v>
      </c>
    </row>
    <row r="23" spans="1:10" ht="18" x14ac:dyDescent="0.3">
      <c r="A23" s="78"/>
      <c r="B23" s="79"/>
      <c r="C23" s="79"/>
      <c r="D23" s="88"/>
      <c r="E23" s="89"/>
      <c r="F23" s="89"/>
      <c r="G23" s="89"/>
      <c r="H23" s="89"/>
      <c r="I23" s="90"/>
      <c r="J23" s="91">
        <f t="shared" si="0"/>
        <v>0</v>
      </c>
    </row>
    <row r="24" spans="1:10" ht="18" x14ac:dyDescent="0.3">
      <c r="A24" s="78"/>
      <c r="B24" s="79"/>
      <c r="C24" s="79"/>
      <c r="D24" s="88"/>
      <c r="E24" s="89"/>
      <c r="F24" s="89"/>
      <c r="G24" s="89"/>
      <c r="H24" s="89"/>
      <c r="I24" s="90"/>
      <c r="J24" s="91">
        <f t="shared" si="0"/>
        <v>0</v>
      </c>
    </row>
    <row r="25" spans="1:10" ht="18" x14ac:dyDescent="0.3">
      <c r="A25" s="78"/>
      <c r="B25" s="79"/>
      <c r="C25" s="79"/>
      <c r="D25" s="88"/>
      <c r="E25" s="89"/>
      <c r="F25" s="89"/>
      <c r="G25" s="89"/>
      <c r="H25" s="89"/>
      <c r="I25" s="90"/>
      <c r="J25" s="91">
        <f t="shared" si="0"/>
        <v>0</v>
      </c>
    </row>
    <row r="26" spans="1:10" ht="18" x14ac:dyDescent="0.3">
      <c r="A26" s="78"/>
      <c r="B26" s="79"/>
      <c r="C26" s="79"/>
      <c r="D26" s="88"/>
      <c r="E26" s="89"/>
      <c r="F26" s="89"/>
      <c r="G26" s="89"/>
      <c r="H26" s="89"/>
      <c r="I26" s="90"/>
      <c r="J26" s="91">
        <f t="shared" si="0"/>
        <v>0</v>
      </c>
    </row>
    <row r="27" spans="1:10" ht="18" x14ac:dyDescent="0.3">
      <c r="A27" s="78"/>
      <c r="B27" s="79"/>
      <c r="C27" s="79"/>
      <c r="D27" s="88"/>
      <c r="E27" s="89"/>
      <c r="F27" s="89"/>
      <c r="G27" s="89"/>
      <c r="H27" s="89"/>
      <c r="I27" s="90"/>
      <c r="J27" s="91">
        <f t="shared" si="0"/>
        <v>0</v>
      </c>
    </row>
    <row r="28" spans="1:10" ht="18" x14ac:dyDescent="0.3">
      <c r="A28" s="78"/>
      <c r="B28" s="79"/>
      <c r="C28" s="79"/>
      <c r="D28" s="88"/>
      <c r="E28" s="89"/>
      <c r="F28" s="89"/>
      <c r="G28" s="92"/>
      <c r="H28" s="92"/>
      <c r="I28" s="93"/>
      <c r="J28" s="91">
        <f t="shared" si="0"/>
        <v>0</v>
      </c>
    </row>
    <row r="29" spans="1:10" ht="18" x14ac:dyDescent="0.3">
      <c r="A29" s="78"/>
      <c r="B29" s="79"/>
      <c r="C29" s="79"/>
      <c r="D29" s="88"/>
      <c r="E29" s="89"/>
      <c r="F29" s="89"/>
      <c r="G29" s="92"/>
      <c r="H29" s="92"/>
      <c r="I29" s="93"/>
      <c r="J29" s="91">
        <f t="shared" si="0"/>
        <v>0</v>
      </c>
    </row>
    <row r="30" spans="1:10" ht="18" x14ac:dyDescent="0.3">
      <c r="A30" s="78"/>
      <c r="B30" s="79"/>
      <c r="C30" s="79"/>
      <c r="D30" s="88"/>
      <c r="E30" s="89"/>
      <c r="F30" s="89"/>
      <c r="G30" s="92"/>
      <c r="H30" s="92"/>
      <c r="I30" s="93"/>
      <c r="J30" s="91">
        <f t="shared" si="0"/>
        <v>0</v>
      </c>
    </row>
    <row r="31" spans="1:10" ht="18" x14ac:dyDescent="0.3">
      <c r="A31" s="78"/>
      <c r="B31" s="79"/>
      <c r="C31" s="79"/>
      <c r="D31" s="88"/>
      <c r="E31" s="89"/>
      <c r="F31" s="89"/>
      <c r="G31" s="92"/>
      <c r="H31" s="92"/>
      <c r="I31" s="93"/>
      <c r="J31" s="91">
        <f t="shared" si="0"/>
        <v>0</v>
      </c>
    </row>
    <row r="32" spans="1:10" ht="18" x14ac:dyDescent="0.3">
      <c r="A32" s="78"/>
      <c r="B32" s="79"/>
      <c r="C32" s="79"/>
      <c r="D32" s="94"/>
      <c r="E32" s="89"/>
      <c r="F32" s="89"/>
      <c r="G32" s="92"/>
      <c r="H32" s="92"/>
      <c r="I32" s="93"/>
      <c r="J32" s="91">
        <f t="shared" si="0"/>
        <v>0</v>
      </c>
    </row>
    <row r="33" spans="1:10" ht="18" x14ac:dyDescent="0.3">
      <c r="A33" s="78"/>
      <c r="B33" s="79"/>
      <c r="C33" s="79"/>
      <c r="D33" s="94"/>
      <c r="E33" s="89"/>
      <c r="F33" s="89"/>
      <c r="G33" s="92"/>
      <c r="H33" s="92"/>
      <c r="I33" s="93"/>
      <c r="J33" s="91">
        <f t="shared" si="0"/>
        <v>0</v>
      </c>
    </row>
    <row r="34" spans="1:10" ht="18" x14ac:dyDescent="0.3">
      <c r="A34" s="78"/>
      <c r="B34" s="79"/>
      <c r="C34" s="79"/>
      <c r="D34" s="95"/>
      <c r="E34" s="89"/>
      <c r="F34" s="89"/>
      <c r="G34" s="92"/>
      <c r="H34" s="92"/>
      <c r="I34" s="93"/>
      <c r="J34" s="91">
        <f t="shared" si="0"/>
        <v>0</v>
      </c>
    </row>
    <row r="35" spans="1:10" ht="18.75" thickBot="1" x14ac:dyDescent="0.35">
      <c r="A35" s="78"/>
      <c r="B35" s="79"/>
      <c r="C35" s="79"/>
      <c r="D35" s="96"/>
      <c r="E35" s="97"/>
      <c r="F35" s="97"/>
      <c r="G35" s="98"/>
      <c r="H35" s="98"/>
      <c r="I35" s="99"/>
      <c r="J35" s="100">
        <f t="shared" si="0"/>
        <v>0</v>
      </c>
    </row>
    <row r="36" spans="1:10" ht="21" thickBot="1" x14ac:dyDescent="0.35">
      <c r="A36" s="78"/>
      <c r="B36" s="79"/>
      <c r="C36" s="79"/>
      <c r="D36" s="948" t="s">
        <v>10</v>
      </c>
      <c r="E36" s="949"/>
      <c r="F36" s="949"/>
      <c r="G36" s="949"/>
      <c r="H36" s="949"/>
      <c r="I36" s="950"/>
      <c r="J36" s="113">
        <f>ROUND(SUM(J8:J35),2)</f>
        <v>183.25</v>
      </c>
    </row>
    <row r="37" spans="1:10" ht="21" thickBot="1" x14ac:dyDescent="0.35">
      <c r="A37" s="78"/>
      <c r="B37" s="79"/>
      <c r="C37" s="79"/>
      <c r="D37" s="933" t="s">
        <v>1127</v>
      </c>
      <c r="E37" s="934"/>
      <c r="F37" s="934"/>
      <c r="G37" s="934"/>
      <c r="H37" s="934"/>
      <c r="I37" s="935"/>
      <c r="J37" s="103"/>
    </row>
    <row r="38" spans="1:10" ht="21" thickBot="1" x14ac:dyDescent="0.35">
      <c r="A38" s="78"/>
      <c r="B38" s="79"/>
      <c r="C38" s="101"/>
      <c r="D38" s="933" t="s">
        <v>1128</v>
      </c>
      <c r="E38" s="934"/>
      <c r="F38" s="934"/>
      <c r="G38" s="934"/>
      <c r="H38" s="934"/>
      <c r="I38" s="935"/>
      <c r="J38" s="104">
        <f>+J36-J37</f>
        <v>183.25</v>
      </c>
    </row>
    <row r="39" spans="1:10" ht="21" thickBot="1" x14ac:dyDescent="0.35">
      <c r="A39" s="936" t="s">
        <v>1129</v>
      </c>
      <c r="B39" s="937"/>
      <c r="C39" s="938"/>
      <c r="D39" s="939" t="s">
        <v>1130</v>
      </c>
      <c r="E39" s="940"/>
      <c r="F39" s="940"/>
      <c r="G39" s="940"/>
      <c r="H39" s="940"/>
      <c r="I39" s="940"/>
      <c r="J39" s="941"/>
    </row>
    <row r="40" spans="1:10" ht="38.25" customHeight="1" thickBot="1" x14ac:dyDescent="0.35">
      <c r="A40" s="942" t="str">
        <f>PPTO!G3</f>
        <v>JUNIO DE 2026</v>
      </c>
      <c r="B40" s="943"/>
      <c r="C40" s="944"/>
      <c r="D40" s="921"/>
      <c r="E40" s="922"/>
      <c r="F40" s="922"/>
      <c r="G40" s="922"/>
      <c r="H40" s="922"/>
      <c r="I40" s="922"/>
      <c r="J40" s="923"/>
    </row>
    <row r="41" spans="1:10" ht="19.5" thickBot="1" x14ac:dyDescent="0.35">
      <c r="A41" s="918"/>
      <c r="B41" s="919"/>
      <c r="C41" s="920"/>
      <c r="D41" s="921" t="s">
        <v>1131</v>
      </c>
      <c r="E41" s="922"/>
      <c r="F41" s="922"/>
      <c r="G41" s="922"/>
      <c r="H41" s="922"/>
      <c r="I41" s="922"/>
      <c r="J41" s="923"/>
    </row>
  </sheetData>
  <mergeCells count="19">
    <mergeCell ref="A41:C41"/>
    <mergeCell ref="D41:J41"/>
    <mergeCell ref="D6:D7"/>
    <mergeCell ref="E6:G6"/>
    <mergeCell ref="I6:I7"/>
    <mergeCell ref="J6:J7"/>
    <mergeCell ref="D36:I36"/>
    <mergeCell ref="D37:I37"/>
    <mergeCell ref="D38:I38"/>
    <mergeCell ref="A39:C39"/>
    <mergeCell ref="D39:J39"/>
    <mergeCell ref="A40:C40"/>
    <mergeCell ref="D40:J40"/>
    <mergeCell ref="A2:J2"/>
    <mergeCell ref="A3:J3"/>
    <mergeCell ref="A4:J4"/>
    <mergeCell ref="C5:D5"/>
    <mergeCell ref="G5:H5"/>
    <mergeCell ref="I5:J5"/>
  </mergeCells>
  <conditionalFormatting sqref="J8:J35">
    <cfRule type="cellIs" dxfId="58" priority="1" operator="equal">
      <formula>0</formula>
    </cfRule>
  </conditionalFormatting>
  <pageMargins left="0.7" right="0.7" top="0.75" bottom="0.75" header="0.3" footer="0.3"/>
  <pageSetup scale="53" orientation="landscape"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DD31D2-7DE4-4AF6-B532-679C876E40C2}">
  <sheetPr>
    <tabColor rgb="FF92D050"/>
    <pageSetUpPr fitToPage="1"/>
  </sheetPr>
  <dimension ref="A1:J52"/>
  <sheetViews>
    <sheetView showOutlineSymbols="0" view="pageBreakPreview" topLeftCell="A2" zoomScale="60" zoomScaleNormal="70" workbookViewId="0">
      <selection activeCell="I8" sqref="I8:I22"/>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05.75" customHeight="1" thickBot="1" x14ac:dyDescent="0.35">
      <c r="A5" s="72" t="s">
        <v>5</v>
      </c>
      <c r="B5" s="73" t="str">
        <f>PPTO!B24</f>
        <v>3,2,3</v>
      </c>
      <c r="C5" s="913" t="str">
        <f>+VLOOKUP(B5,PPTO!B8:G94,2,FALSE)</f>
        <v>Dovelas en concreto GRAUTING para amarre de mampostería 10x15x30 incluye acero de refuerzo con varilla de 1/2</v>
      </c>
      <c r="D5" s="914"/>
      <c r="E5" s="72" t="s">
        <v>7</v>
      </c>
      <c r="F5" s="74" t="str">
        <f>+VLOOKUP(B5,PPTO!B8:G94,3,FALSE)</f>
        <v>ML</v>
      </c>
      <c r="G5" s="915" t="s">
        <v>1120</v>
      </c>
      <c r="H5" s="915"/>
      <c r="I5" s="916">
        <f>+VLOOKUP(B5,PPTO!B8:G94,5,FALSE)</f>
        <v>32266</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47"/>
    </row>
    <row r="8" spans="1:10" ht="18" x14ac:dyDescent="0.3">
      <c r="A8" s="78"/>
      <c r="B8" s="79"/>
      <c r="C8" s="79"/>
      <c r="D8" s="88" t="s">
        <v>1148</v>
      </c>
      <c r="E8" s="89"/>
      <c r="F8" s="89">
        <v>9.58</v>
      </c>
      <c r="G8" s="89">
        <v>2.7</v>
      </c>
      <c r="H8" s="89">
        <f>+ROUNDUP(F8/1.5,0)</f>
        <v>7</v>
      </c>
      <c r="I8" s="106">
        <v>9</v>
      </c>
      <c r="J8" s="440">
        <f>+G8*H8*I8</f>
        <v>170.10000000000002</v>
      </c>
    </row>
    <row r="9" spans="1:10" ht="18" x14ac:dyDescent="0.3">
      <c r="A9" s="78"/>
      <c r="B9" s="79"/>
      <c r="C9" s="79"/>
      <c r="D9" s="88" t="s">
        <v>1149</v>
      </c>
      <c r="E9" s="89"/>
      <c r="F9" s="89">
        <v>17.72</v>
      </c>
      <c r="G9" s="89">
        <v>2.7</v>
      </c>
      <c r="H9" s="89">
        <f>+ROUNDUP(F9/1.5,0)</f>
        <v>12</v>
      </c>
      <c r="I9" s="106">
        <v>2</v>
      </c>
      <c r="J9" s="440">
        <f t="shared" ref="J9:J27" si="0">+G9*H9*I9</f>
        <v>64.800000000000011</v>
      </c>
    </row>
    <row r="10" spans="1:10" ht="18" x14ac:dyDescent="0.3">
      <c r="A10" s="78"/>
      <c r="B10" s="79"/>
      <c r="C10" s="79"/>
      <c r="D10" s="88" t="s">
        <v>1150</v>
      </c>
      <c r="E10" s="89"/>
      <c r="F10" s="89">
        <v>3.1</v>
      </c>
      <c r="G10" s="89">
        <v>2.7</v>
      </c>
      <c r="H10" s="89">
        <f t="shared" ref="H10:H22" si="1">+ROUNDUP(F10/1.5,0)</f>
        <v>3</v>
      </c>
      <c r="I10" s="106">
        <v>1</v>
      </c>
      <c r="J10" s="440">
        <f t="shared" si="0"/>
        <v>8.1000000000000014</v>
      </c>
    </row>
    <row r="11" spans="1:10" ht="18" x14ac:dyDescent="0.3">
      <c r="A11" s="78"/>
      <c r="B11" s="79"/>
      <c r="C11" s="79"/>
      <c r="D11" s="88" t="s">
        <v>1151</v>
      </c>
      <c r="E11" s="89"/>
      <c r="F11" s="89">
        <v>1.9</v>
      </c>
      <c r="G11" s="89">
        <v>2.7</v>
      </c>
      <c r="H11" s="89">
        <f t="shared" si="1"/>
        <v>2</v>
      </c>
      <c r="I11" s="106">
        <v>1</v>
      </c>
      <c r="J11" s="440">
        <f t="shared" si="0"/>
        <v>5.4</v>
      </c>
    </row>
    <row r="12" spans="1:10" ht="18" x14ac:dyDescent="0.3">
      <c r="A12" s="78"/>
      <c r="B12" s="79"/>
      <c r="C12" s="79"/>
      <c r="D12" s="88" t="s">
        <v>1152</v>
      </c>
      <c r="E12" s="89"/>
      <c r="F12" s="89">
        <v>4.12</v>
      </c>
      <c r="G12" s="89">
        <v>2.7</v>
      </c>
      <c r="H12" s="89">
        <f t="shared" si="1"/>
        <v>3</v>
      </c>
      <c r="I12" s="106">
        <v>1</v>
      </c>
      <c r="J12" s="440">
        <f t="shared" si="0"/>
        <v>8.1000000000000014</v>
      </c>
    </row>
    <row r="13" spans="1:10" ht="18" x14ac:dyDescent="0.3">
      <c r="A13" s="78"/>
      <c r="B13" s="79"/>
      <c r="C13" s="79"/>
      <c r="D13" s="88" t="s">
        <v>1153</v>
      </c>
      <c r="E13" s="89"/>
      <c r="F13" s="89">
        <v>2.33</v>
      </c>
      <c r="G13" s="89">
        <v>2.7</v>
      </c>
      <c r="H13" s="89">
        <f t="shared" si="1"/>
        <v>2</v>
      </c>
      <c r="I13" s="106">
        <v>1</v>
      </c>
      <c r="J13" s="440">
        <f t="shared" si="0"/>
        <v>5.4</v>
      </c>
    </row>
    <row r="14" spans="1:10" ht="18" x14ac:dyDescent="0.3">
      <c r="A14" s="78"/>
      <c r="B14" s="79"/>
      <c r="C14" s="79"/>
      <c r="D14" s="88" t="s">
        <v>1154</v>
      </c>
      <c r="E14" s="89"/>
      <c r="F14" s="89">
        <v>0.45</v>
      </c>
      <c r="G14" s="89">
        <v>2.7</v>
      </c>
      <c r="H14" s="89">
        <f t="shared" si="1"/>
        <v>1</v>
      </c>
      <c r="I14" s="106">
        <v>1</v>
      </c>
      <c r="J14" s="440">
        <f t="shared" si="0"/>
        <v>2.7</v>
      </c>
    </row>
    <row r="15" spans="1:10" ht="18" x14ac:dyDescent="0.3">
      <c r="A15" s="78"/>
      <c r="B15" s="79"/>
      <c r="C15" s="79"/>
      <c r="D15" s="88" t="s">
        <v>1155</v>
      </c>
      <c r="E15" s="89"/>
      <c r="F15" s="89">
        <v>12.08</v>
      </c>
      <c r="G15" s="89">
        <v>2.7</v>
      </c>
      <c r="H15" s="89">
        <f t="shared" si="1"/>
        <v>9</v>
      </c>
      <c r="I15" s="106">
        <v>2</v>
      </c>
      <c r="J15" s="440">
        <f t="shared" si="0"/>
        <v>48.6</v>
      </c>
    </row>
    <row r="16" spans="1:10" ht="18" x14ac:dyDescent="0.3">
      <c r="A16" s="78"/>
      <c r="B16" s="79"/>
      <c r="C16" s="79"/>
      <c r="D16" s="88" t="s">
        <v>1156</v>
      </c>
      <c r="E16" s="89"/>
      <c r="F16" s="89">
        <v>4.08</v>
      </c>
      <c r="G16" s="89">
        <v>2.7</v>
      </c>
      <c r="H16" s="89">
        <f t="shared" si="1"/>
        <v>3</v>
      </c>
      <c r="I16" s="106">
        <v>1</v>
      </c>
      <c r="J16" s="440">
        <f t="shared" si="0"/>
        <v>8.1000000000000014</v>
      </c>
    </row>
    <row r="17" spans="1:10" ht="18" x14ac:dyDescent="0.3">
      <c r="A17" s="78"/>
      <c r="B17" s="79"/>
      <c r="C17" s="79"/>
      <c r="D17" s="88" t="s">
        <v>1157</v>
      </c>
      <c r="E17" s="89"/>
      <c r="F17" s="89">
        <v>1.77</v>
      </c>
      <c r="G17" s="89">
        <v>2.7</v>
      </c>
      <c r="H17" s="89">
        <f t="shared" si="1"/>
        <v>2</v>
      </c>
      <c r="I17" s="106">
        <v>1</v>
      </c>
      <c r="J17" s="440">
        <f t="shared" si="0"/>
        <v>5.4</v>
      </c>
    </row>
    <row r="18" spans="1:10" ht="18" x14ac:dyDescent="0.3">
      <c r="A18" s="78"/>
      <c r="B18" s="79"/>
      <c r="C18" s="79"/>
      <c r="D18" s="88" t="s">
        <v>1158</v>
      </c>
      <c r="E18" s="89"/>
      <c r="F18" s="89">
        <v>3.12</v>
      </c>
      <c r="G18" s="89">
        <v>2.7</v>
      </c>
      <c r="H18" s="89">
        <f t="shared" si="1"/>
        <v>3</v>
      </c>
      <c r="I18" s="106">
        <v>1</v>
      </c>
      <c r="J18" s="440">
        <f t="shared" si="0"/>
        <v>8.1000000000000014</v>
      </c>
    </row>
    <row r="19" spans="1:10" ht="18" x14ac:dyDescent="0.3">
      <c r="A19" s="78"/>
      <c r="B19" s="79"/>
      <c r="C19" s="79"/>
      <c r="D19" s="88" t="s">
        <v>1159</v>
      </c>
      <c r="E19" s="89"/>
      <c r="F19" s="89">
        <v>5.7</v>
      </c>
      <c r="G19" s="89">
        <v>2.7</v>
      </c>
      <c r="H19" s="89">
        <f t="shared" si="1"/>
        <v>4</v>
      </c>
      <c r="I19" s="106">
        <v>1</v>
      </c>
      <c r="J19" s="440">
        <f t="shared" si="0"/>
        <v>10.8</v>
      </c>
    </row>
    <row r="20" spans="1:10" ht="18" x14ac:dyDescent="0.3">
      <c r="A20" s="78"/>
      <c r="B20" s="79"/>
      <c r="C20" s="79"/>
      <c r="D20" s="88" t="s">
        <v>1160</v>
      </c>
      <c r="E20" s="89"/>
      <c r="F20" s="89">
        <v>2.4300000000000002</v>
      </c>
      <c r="G20" s="89">
        <v>2.7</v>
      </c>
      <c r="H20" s="89">
        <f t="shared" si="1"/>
        <v>2</v>
      </c>
      <c r="I20" s="106">
        <v>1</v>
      </c>
      <c r="J20" s="440">
        <f t="shared" si="0"/>
        <v>5.4</v>
      </c>
    </row>
    <row r="21" spans="1:10" ht="18" x14ac:dyDescent="0.3">
      <c r="A21" s="78"/>
      <c r="B21" s="79"/>
      <c r="C21" s="79"/>
      <c r="D21" s="88" t="s">
        <v>1161</v>
      </c>
      <c r="E21" s="89"/>
      <c r="F21" s="89">
        <v>1.0900000000000001</v>
      </c>
      <c r="G21" s="89">
        <v>2.7</v>
      </c>
      <c r="H21" s="89">
        <f t="shared" si="1"/>
        <v>1</v>
      </c>
      <c r="I21" s="106">
        <v>1</v>
      </c>
      <c r="J21" s="440">
        <f t="shared" si="0"/>
        <v>2.7</v>
      </c>
    </row>
    <row r="22" spans="1:10" ht="18" x14ac:dyDescent="0.3">
      <c r="A22" s="78"/>
      <c r="B22" s="79"/>
      <c r="C22" s="79"/>
      <c r="D22" s="88" t="s">
        <v>1162</v>
      </c>
      <c r="E22" s="89"/>
      <c r="F22" s="89">
        <v>3.89</v>
      </c>
      <c r="G22" s="89">
        <v>2.7</v>
      </c>
      <c r="H22" s="89">
        <f t="shared" si="1"/>
        <v>3</v>
      </c>
      <c r="I22" s="106">
        <v>1</v>
      </c>
      <c r="J22" s="440">
        <f t="shared" si="0"/>
        <v>8.1000000000000014</v>
      </c>
    </row>
    <row r="23" spans="1:10" ht="18" x14ac:dyDescent="0.3">
      <c r="A23" s="78"/>
      <c r="B23" s="79"/>
      <c r="C23" s="79"/>
      <c r="D23" s="88"/>
      <c r="E23" s="89"/>
      <c r="F23" s="89"/>
      <c r="G23" s="89"/>
      <c r="H23" s="89"/>
      <c r="I23" s="106"/>
      <c r="J23" s="440">
        <f t="shared" si="0"/>
        <v>0</v>
      </c>
    </row>
    <row r="24" spans="1:10" ht="18" x14ac:dyDescent="0.3">
      <c r="A24" s="78"/>
      <c r="B24" s="79"/>
      <c r="C24" s="79"/>
      <c r="D24" s="88"/>
      <c r="E24" s="89"/>
      <c r="F24" s="89"/>
      <c r="G24" s="89"/>
      <c r="H24" s="89"/>
      <c r="I24" s="106"/>
      <c r="J24" s="440">
        <f t="shared" si="0"/>
        <v>0</v>
      </c>
    </row>
    <row r="25" spans="1:10" ht="18" x14ac:dyDescent="0.3">
      <c r="A25" s="78"/>
      <c r="B25" s="79"/>
      <c r="C25" s="79"/>
      <c r="D25" s="88"/>
      <c r="E25" s="89"/>
      <c r="F25" s="89"/>
      <c r="G25" s="89"/>
      <c r="H25" s="89"/>
      <c r="I25" s="106"/>
      <c r="J25" s="440">
        <f t="shared" si="0"/>
        <v>0</v>
      </c>
    </row>
    <row r="26" spans="1:10" ht="18" x14ac:dyDescent="0.3">
      <c r="A26" s="78"/>
      <c r="B26" s="79"/>
      <c r="C26" s="79"/>
      <c r="D26" s="88"/>
      <c r="E26" s="89"/>
      <c r="F26" s="89"/>
      <c r="G26" s="89"/>
      <c r="H26" s="89"/>
      <c r="I26" s="106"/>
      <c r="J26" s="440">
        <f t="shared" si="0"/>
        <v>0</v>
      </c>
    </row>
    <row r="27" spans="1:10" ht="18" x14ac:dyDescent="0.3">
      <c r="A27" s="78"/>
      <c r="B27" s="79"/>
      <c r="C27" s="79"/>
      <c r="D27" s="88"/>
      <c r="E27" s="89"/>
      <c r="F27" s="89"/>
      <c r="G27" s="89"/>
      <c r="H27" s="89"/>
      <c r="I27" s="106"/>
      <c r="J27" s="440">
        <f t="shared" si="0"/>
        <v>0</v>
      </c>
    </row>
    <row r="28" spans="1:10" ht="18" x14ac:dyDescent="0.3">
      <c r="A28" s="78"/>
      <c r="B28" s="79"/>
      <c r="C28" s="79"/>
      <c r="D28" s="88"/>
      <c r="E28" s="89"/>
      <c r="F28" s="89"/>
      <c r="G28" s="92"/>
      <c r="H28" s="92"/>
      <c r="I28" s="93"/>
      <c r="J28" s="91">
        <f t="shared" ref="J28:J46" si="2">+PRODUCT(E28:I28)</f>
        <v>0</v>
      </c>
    </row>
    <row r="29" spans="1:10" ht="18" x14ac:dyDescent="0.3">
      <c r="A29" s="78"/>
      <c r="B29" s="79"/>
      <c r="C29" s="79"/>
      <c r="D29" s="88"/>
      <c r="E29" s="89"/>
      <c r="F29" s="89"/>
      <c r="G29" s="89"/>
      <c r="H29" s="89"/>
      <c r="I29" s="90"/>
      <c r="J29" s="91">
        <f t="shared" si="2"/>
        <v>0</v>
      </c>
    </row>
    <row r="30" spans="1:10" ht="18" x14ac:dyDescent="0.3">
      <c r="A30" s="78"/>
      <c r="B30" s="79"/>
      <c r="C30" s="79"/>
      <c r="D30" s="88"/>
      <c r="E30" s="89"/>
      <c r="F30" s="89"/>
      <c r="G30" s="89"/>
      <c r="H30" s="89"/>
      <c r="I30" s="90"/>
      <c r="J30" s="91">
        <f t="shared" si="2"/>
        <v>0</v>
      </c>
    </row>
    <row r="31" spans="1:10" ht="18" x14ac:dyDescent="0.3">
      <c r="A31" s="78"/>
      <c r="B31" s="79"/>
      <c r="C31" s="79"/>
      <c r="D31" s="88"/>
      <c r="E31" s="89"/>
      <c r="F31" s="89"/>
      <c r="G31" s="89"/>
      <c r="H31" s="89"/>
      <c r="I31" s="90"/>
      <c r="J31" s="91">
        <f t="shared" si="2"/>
        <v>0</v>
      </c>
    </row>
    <row r="32" spans="1:10" ht="18" x14ac:dyDescent="0.3">
      <c r="A32" s="78"/>
      <c r="B32" s="79"/>
      <c r="C32" s="79"/>
      <c r="D32" s="94"/>
      <c r="E32" s="89"/>
      <c r="F32" s="89"/>
      <c r="G32" s="92"/>
      <c r="H32" s="89"/>
      <c r="I32" s="93"/>
      <c r="J32" s="91">
        <f t="shared" si="2"/>
        <v>0</v>
      </c>
    </row>
    <row r="33" spans="1:10" ht="18" x14ac:dyDescent="0.3">
      <c r="A33" s="78"/>
      <c r="B33" s="79"/>
      <c r="C33" s="79"/>
      <c r="D33" s="94"/>
      <c r="E33" s="89"/>
      <c r="F33" s="89"/>
      <c r="G33" s="92"/>
      <c r="H33" s="89"/>
      <c r="I33" s="93"/>
      <c r="J33" s="91">
        <f t="shared" si="2"/>
        <v>0</v>
      </c>
    </row>
    <row r="34" spans="1:10" ht="18" x14ac:dyDescent="0.3">
      <c r="A34" s="78"/>
      <c r="B34" s="79"/>
      <c r="C34" s="79"/>
      <c r="D34" s="94"/>
      <c r="E34" s="89"/>
      <c r="F34" s="89"/>
      <c r="G34" s="92"/>
      <c r="H34" s="89"/>
      <c r="I34" s="93"/>
      <c r="J34" s="91">
        <f t="shared" si="2"/>
        <v>0</v>
      </c>
    </row>
    <row r="35" spans="1:10" ht="18" x14ac:dyDescent="0.3">
      <c r="A35" s="78"/>
      <c r="B35" s="79"/>
      <c r="C35" s="79"/>
      <c r="D35" s="94"/>
      <c r="E35" s="89"/>
      <c r="F35" s="89"/>
      <c r="G35" s="92"/>
      <c r="H35" s="89"/>
      <c r="I35" s="93"/>
      <c r="J35" s="91">
        <f t="shared" si="2"/>
        <v>0</v>
      </c>
    </row>
    <row r="36" spans="1:10" ht="18" x14ac:dyDescent="0.3">
      <c r="A36" s="78"/>
      <c r="B36" s="79"/>
      <c r="C36" s="79"/>
      <c r="D36" s="94"/>
      <c r="E36" s="89"/>
      <c r="F36" s="89"/>
      <c r="G36" s="92"/>
      <c r="H36" s="89"/>
      <c r="I36" s="93"/>
      <c r="J36" s="91">
        <f t="shared" si="2"/>
        <v>0</v>
      </c>
    </row>
    <row r="37" spans="1:10" ht="18" x14ac:dyDescent="0.3">
      <c r="A37" s="78"/>
      <c r="B37" s="79"/>
      <c r="C37" s="79"/>
      <c r="D37" s="94"/>
      <c r="E37" s="89"/>
      <c r="F37" s="89"/>
      <c r="G37" s="92"/>
      <c r="H37" s="89"/>
      <c r="I37" s="93"/>
      <c r="J37" s="91">
        <f t="shared" si="2"/>
        <v>0</v>
      </c>
    </row>
    <row r="38" spans="1:10" ht="18" x14ac:dyDescent="0.3">
      <c r="A38" s="78"/>
      <c r="B38" s="79"/>
      <c r="C38" s="79"/>
      <c r="D38" s="94"/>
      <c r="E38" s="89"/>
      <c r="F38" s="89"/>
      <c r="G38" s="92"/>
      <c r="H38" s="89"/>
      <c r="I38" s="93"/>
      <c r="J38" s="91">
        <f t="shared" si="2"/>
        <v>0</v>
      </c>
    </row>
    <row r="39" spans="1:10" ht="18" x14ac:dyDescent="0.3">
      <c r="A39" s="78"/>
      <c r="B39" s="79"/>
      <c r="C39" s="79"/>
      <c r="D39" s="94"/>
      <c r="E39" s="89"/>
      <c r="F39" s="89"/>
      <c r="G39" s="92"/>
      <c r="H39" s="89"/>
      <c r="I39" s="93"/>
      <c r="J39" s="91">
        <f t="shared" si="2"/>
        <v>0</v>
      </c>
    </row>
    <row r="40" spans="1:10" ht="18" x14ac:dyDescent="0.3">
      <c r="A40" s="78"/>
      <c r="B40" s="79"/>
      <c r="C40" s="79"/>
      <c r="D40" s="94"/>
      <c r="E40" s="89"/>
      <c r="F40" s="89"/>
      <c r="G40" s="92"/>
      <c r="H40" s="89"/>
      <c r="I40" s="93"/>
      <c r="J40" s="91"/>
    </row>
    <row r="41" spans="1:10" ht="18" x14ac:dyDescent="0.3">
      <c r="A41" s="78"/>
      <c r="B41" s="79"/>
      <c r="C41" s="79"/>
      <c r="D41" s="94"/>
      <c r="E41" s="89"/>
      <c r="F41" s="89"/>
      <c r="G41" s="92"/>
      <c r="H41" s="89"/>
      <c r="I41" s="93"/>
      <c r="J41" s="91"/>
    </row>
    <row r="42" spans="1:10" ht="18" x14ac:dyDescent="0.3">
      <c r="A42" s="78"/>
      <c r="B42" s="79"/>
      <c r="C42" s="79"/>
      <c r="D42" s="94"/>
      <c r="E42" s="89"/>
      <c r="F42" s="89"/>
      <c r="G42" s="92"/>
      <c r="H42" s="89"/>
      <c r="I42" s="93"/>
      <c r="J42" s="91"/>
    </row>
    <row r="43" spans="1:10" ht="18" x14ac:dyDescent="0.3">
      <c r="A43" s="78"/>
      <c r="B43" s="79"/>
      <c r="C43" s="79"/>
      <c r="D43" s="94"/>
      <c r="E43" s="89"/>
      <c r="F43" s="89"/>
      <c r="G43" s="92"/>
      <c r="H43" s="89"/>
      <c r="I43" s="93"/>
      <c r="J43" s="91"/>
    </row>
    <row r="44" spans="1:10" ht="18" x14ac:dyDescent="0.3">
      <c r="A44" s="78"/>
      <c r="B44" s="79"/>
      <c r="C44" s="79"/>
      <c r="D44" s="94"/>
      <c r="E44" s="89"/>
      <c r="F44" s="89"/>
      <c r="G44" s="92"/>
      <c r="H44" s="89"/>
      <c r="I44" s="93"/>
      <c r="J44" s="91"/>
    </row>
    <row r="45" spans="1:10" ht="18" x14ac:dyDescent="0.3">
      <c r="A45" s="78"/>
      <c r="B45" s="79"/>
      <c r="C45" s="79"/>
      <c r="D45" s="95"/>
      <c r="E45" s="89"/>
      <c r="F45" s="89"/>
      <c r="G45" s="92"/>
      <c r="H45" s="89"/>
      <c r="I45" s="93"/>
      <c r="J45" s="91">
        <f t="shared" si="2"/>
        <v>0</v>
      </c>
    </row>
    <row r="46" spans="1:10" ht="18.75" thickBot="1" x14ac:dyDescent="0.35">
      <c r="A46" s="78"/>
      <c r="B46" s="79"/>
      <c r="C46" s="79"/>
      <c r="D46" s="96"/>
      <c r="E46" s="97"/>
      <c r="F46" s="97"/>
      <c r="G46" s="98"/>
      <c r="H46" s="97"/>
      <c r="I46" s="99"/>
      <c r="J46" s="100">
        <f t="shared" si="2"/>
        <v>0</v>
      </c>
    </row>
    <row r="47" spans="1:10" ht="21" thickBot="1" x14ac:dyDescent="0.35">
      <c r="A47" s="78"/>
      <c r="B47" s="79"/>
      <c r="C47" s="79"/>
      <c r="D47" s="933" t="s">
        <v>10</v>
      </c>
      <c r="E47" s="934"/>
      <c r="F47" s="934"/>
      <c r="G47" s="934"/>
      <c r="H47" s="934"/>
      <c r="I47" s="935"/>
      <c r="J47" s="102">
        <f>ROUND(SUM(J8:J46),2)</f>
        <v>361.8</v>
      </c>
    </row>
    <row r="48" spans="1:10" ht="21" thickBot="1" x14ac:dyDescent="0.35">
      <c r="A48" s="78"/>
      <c r="B48" s="79"/>
      <c r="C48" s="79"/>
      <c r="D48" s="933" t="s">
        <v>1127</v>
      </c>
      <c r="E48" s="934"/>
      <c r="F48" s="934"/>
      <c r="G48" s="934"/>
      <c r="H48" s="934"/>
      <c r="I48" s="935"/>
      <c r="J48" s="103"/>
    </row>
    <row r="49" spans="1:10" ht="21" thickBot="1" x14ac:dyDescent="0.35">
      <c r="A49" s="78"/>
      <c r="B49" s="79"/>
      <c r="C49" s="101"/>
      <c r="D49" s="933" t="s">
        <v>1128</v>
      </c>
      <c r="E49" s="934"/>
      <c r="F49" s="934"/>
      <c r="G49" s="934"/>
      <c r="H49" s="934"/>
      <c r="I49" s="935"/>
      <c r="J49" s="104">
        <f>+J47-J48</f>
        <v>361.8</v>
      </c>
    </row>
    <row r="50" spans="1:10" ht="21" thickBot="1" x14ac:dyDescent="0.35">
      <c r="A50" s="936" t="s">
        <v>1129</v>
      </c>
      <c r="B50" s="937"/>
      <c r="C50" s="938"/>
      <c r="D50" s="939" t="s">
        <v>1130</v>
      </c>
      <c r="E50" s="940"/>
      <c r="F50" s="940"/>
      <c r="G50" s="940"/>
      <c r="H50" s="940"/>
      <c r="I50" s="940"/>
      <c r="J50" s="941"/>
    </row>
    <row r="51" spans="1:10" ht="38.25" customHeight="1" thickBot="1" x14ac:dyDescent="0.35">
      <c r="A51" s="942" t="str">
        <f>PPTO!G3</f>
        <v>JUNIO DE 2026</v>
      </c>
      <c r="B51" s="943"/>
      <c r="C51" s="944"/>
      <c r="D51" s="921"/>
      <c r="E51" s="922"/>
      <c r="F51" s="922"/>
      <c r="G51" s="922"/>
      <c r="H51" s="922"/>
      <c r="I51" s="922"/>
      <c r="J51" s="923"/>
    </row>
    <row r="52" spans="1:10" ht="19.5" thickBot="1" x14ac:dyDescent="0.35">
      <c r="A52" s="918"/>
      <c r="B52" s="919"/>
      <c r="C52" s="920"/>
      <c r="D52" s="921" t="s">
        <v>1131</v>
      </c>
      <c r="E52" s="922"/>
      <c r="F52" s="922"/>
      <c r="G52" s="922"/>
      <c r="H52" s="922"/>
      <c r="I52" s="922"/>
      <c r="J52" s="923"/>
    </row>
  </sheetData>
  <mergeCells count="19">
    <mergeCell ref="D49:I49"/>
    <mergeCell ref="D6:D7"/>
    <mergeCell ref="E6:G6"/>
    <mergeCell ref="I6:I7"/>
    <mergeCell ref="J6:J7"/>
    <mergeCell ref="D47:I47"/>
    <mergeCell ref="D48:I48"/>
    <mergeCell ref="A50:C50"/>
    <mergeCell ref="D50:J50"/>
    <mergeCell ref="A51:C51"/>
    <mergeCell ref="D51:J51"/>
    <mergeCell ref="A52:C52"/>
    <mergeCell ref="D52:J52"/>
    <mergeCell ref="A2:J2"/>
    <mergeCell ref="A3:J3"/>
    <mergeCell ref="A4:J4"/>
    <mergeCell ref="C5:D5"/>
    <mergeCell ref="G5:H5"/>
    <mergeCell ref="I5:J5"/>
  </mergeCells>
  <phoneticPr fontId="4" type="noConversion"/>
  <conditionalFormatting sqref="J8:J46">
    <cfRule type="cellIs" dxfId="57" priority="3" operator="equal">
      <formula>0</formula>
    </cfRule>
  </conditionalFormatting>
  <pageMargins left="0.7" right="0.7" top="0.75" bottom="0.75" header="0.3" footer="0.3"/>
  <pageSetup scale="50" orientation="landscape"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8087A3-AB3B-4EE6-8CD0-A840D9B6668B}">
  <sheetPr>
    <tabColor rgb="FFD4ECBA"/>
    <pageSetUpPr fitToPage="1"/>
  </sheetPr>
  <dimension ref="A1:J52"/>
  <sheetViews>
    <sheetView showOutlineSymbols="0" view="pageBreakPreview" zoomScale="60" zoomScaleNormal="70" workbookViewId="0">
      <selection activeCell="H9" sqref="H9:H13"/>
    </sheetView>
  </sheetViews>
  <sheetFormatPr baseColWidth="10" defaultColWidth="11" defaultRowHeight="16.5" x14ac:dyDescent="0.3"/>
  <cols>
    <col min="3" max="3" width="58.25" customWidth="1"/>
    <col min="4" max="4" width="56.625" customWidth="1"/>
    <col min="5" max="7" width="14.375" customWidth="1"/>
    <col min="8" max="8" width="18" customWidth="1"/>
    <col min="9"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05.75" customHeight="1" thickBot="1" x14ac:dyDescent="0.35">
      <c r="A5" s="72" t="s">
        <v>5</v>
      </c>
      <c r="B5" s="73" t="str">
        <f>PPTO!B26</f>
        <v>3,3,1</v>
      </c>
      <c r="C5" s="913" t="str">
        <f>+VLOOKUP(B5,PPTO!B8:G94,2,FALSE)</f>
        <v>Suministro, transporte e instalación de estructura metalica para cubierta, suministro y transporte de perfiles tipo PHR 254X67X2mm, platinas, uniones, soldaduras de acabado o presentación, anclajes y pernos a estructura de concreto. Incluye transporte a sitio e izaje. Todos los elementos deben llevar dos manos de pintura anticorrosiva, color por definir. tambien incluye obra falsa y todo el equipo y la herramienta necesaria para el montaje.</v>
      </c>
      <c r="D5" s="914"/>
      <c r="E5" s="72" t="s">
        <v>7</v>
      </c>
      <c r="F5" s="74" t="str">
        <f>+VLOOKUP(B5,PPTO!B8:G94,3,FALSE)</f>
        <v>KG</v>
      </c>
      <c r="G5" s="915" t="s">
        <v>1120</v>
      </c>
      <c r="H5" s="915"/>
      <c r="I5" s="916">
        <f>+VLOOKUP(B5,PPTO!B8:G94,5,FALSE)</f>
        <v>26995</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t="s">
        <v>1163</v>
      </c>
      <c r="I7" s="930"/>
      <c r="J7" s="932"/>
    </row>
    <row r="8" spans="1:10" ht="18" x14ac:dyDescent="0.3">
      <c r="A8" s="78"/>
      <c r="B8" s="79"/>
      <c r="C8" s="79"/>
      <c r="D8" s="88" t="s">
        <v>1164</v>
      </c>
      <c r="E8" s="89"/>
      <c r="F8" s="89">
        <v>25.9</v>
      </c>
      <c r="G8" s="89"/>
      <c r="H8" s="89">
        <v>6.37</v>
      </c>
      <c r="I8" s="106">
        <v>2</v>
      </c>
      <c r="J8" s="87">
        <f>+PRODUCT(E8:I8)</f>
        <v>329.96600000000001</v>
      </c>
    </row>
    <row r="9" spans="1:10" ht="18" x14ac:dyDescent="0.3">
      <c r="A9" s="78"/>
      <c r="B9" s="79"/>
      <c r="C9" s="79"/>
      <c r="D9" s="88" t="s">
        <v>1164</v>
      </c>
      <c r="E9" s="89"/>
      <c r="F9" s="89">
        <v>24.3</v>
      </c>
      <c r="G9" s="89"/>
      <c r="H9" s="89">
        <v>6.37</v>
      </c>
      <c r="I9" s="90">
        <v>10</v>
      </c>
      <c r="J9" s="91">
        <f t="shared" ref="J9:J46" si="0">+PRODUCT(E9:I9)</f>
        <v>1547.9099999999999</v>
      </c>
    </row>
    <row r="10" spans="1:10" ht="18" x14ac:dyDescent="0.3">
      <c r="A10" s="78"/>
      <c r="B10" s="79"/>
      <c r="C10" s="79"/>
      <c r="D10" s="88" t="s">
        <v>1164</v>
      </c>
      <c r="E10" s="89"/>
      <c r="F10" s="89">
        <v>22.5</v>
      </c>
      <c r="G10" s="89"/>
      <c r="H10" s="89">
        <v>6.37</v>
      </c>
      <c r="I10" s="90">
        <v>2</v>
      </c>
      <c r="J10" s="91">
        <f t="shared" si="0"/>
        <v>286.64999999999998</v>
      </c>
    </row>
    <row r="11" spans="1:10" ht="18" x14ac:dyDescent="0.3">
      <c r="A11" s="78"/>
      <c r="B11" s="79"/>
      <c r="C11" s="79"/>
      <c r="D11" s="88" t="s">
        <v>1164</v>
      </c>
      <c r="E11" s="89"/>
      <c r="F11" s="89">
        <v>7.85</v>
      </c>
      <c r="G11" s="89"/>
      <c r="H11" s="89">
        <v>6.37</v>
      </c>
      <c r="I11" s="90">
        <v>22</v>
      </c>
      <c r="J11" s="91">
        <f t="shared" si="0"/>
        <v>1100.0989999999999</v>
      </c>
    </row>
    <row r="12" spans="1:10" ht="18" x14ac:dyDescent="0.3">
      <c r="A12" s="78"/>
      <c r="B12" s="79"/>
      <c r="C12" s="79"/>
      <c r="D12" s="88" t="s">
        <v>1164</v>
      </c>
      <c r="E12" s="89"/>
      <c r="F12" s="89">
        <v>37.130000000000003</v>
      </c>
      <c r="G12" s="89"/>
      <c r="H12" s="89">
        <v>6.37</v>
      </c>
      <c r="I12" s="90">
        <v>2</v>
      </c>
      <c r="J12" s="91">
        <f t="shared" si="0"/>
        <v>473.03620000000006</v>
      </c>
    </row>
    <row r="13" spans="1:10" ht="18" x14ac:dyDescent="0.3">
      <c r="A13" s="78"/>
      <c r="B13" s="79"/>
      <c r="C13" s="79"/>
      <c r="D13" s="88" t="s">
        <v>1164</v>
      </c>
      <c r="E13" s="89"/>
      <c r="F13" s="89">
        <v>35.53</v>
      </c>
      <c r="G13" s="89"/>
      <c r="H13" s="89">
        <v>6.37</v>
      </c>
      <c r="I13" s="90">
        <v>10</v>
      </c>
      <c r="J13" s="91">
        <f t="shared" si="0"/>
        <v>2263.2610000000004</v>
      </c>
    </row>
    <row r="14" spans="1:10" ht="18" x14ac:dyDescent="0.3">
      <c r="A14" s="78"/>
      <c r="B14" s="79"/>
      <c r="C14" s="79"/>
      <c r="D14" s="88"/>
      <c r="E14" s="89"/>
      <c r="F14" s="89"/>
      <c r="G14" s="89"/>
      <c r="H14" s="89"/>
      <c r="I14" s="90"/>
      <c r="J14" s="91">
        <f t="shared" si="0"/>
        <v>0</v>
      </c>
    </row>
    <row r="15" spans="1:10" ht="18" x14ac:dyDescent="0.3">
      <c r="A15" s="78"/>
      <c r="B15" s="79"/>
      <c r="C15" s="79"/>
      <c r="D15" s="88"/>
      <c r="E15" s="89"/>
      <c r="F15" s="89"/>
      <c r="G15" s="89"/>
      <c r="H15" s="89"/>
      <c r="I15" s="90"/>
      <c r="J15" s="91">
        <f t="shared" si="0"/>
        <v>0</v>
      </c>
    </row>
    <row r="16" spans="1:10" ht="18" x14ac:dyDescent="0.3">
      <c r="A16" s="78"/>
      <c r="B16" s="79"/>
      <c r="C16" s="79"/>
      <c r="D16" s="88"/>
      <c r="E16" s="89"/>
      <c r="F16" s="89"/>
      <c r="G16" s="89"/>
      <c r="H16" s="89"/>
      <c r="I16" s="90"/>
      <c r="J16" s="91">
        <f t="shared" si="0"/>
        <v>0</v>
      </c>
    </row>
    <row r="17" spans="1:10" ht="18" x14ac:dyDescent="0.3">
      <c r="A17" s="78"/>
      <c r="B17" s="79"/>
      <c r="C17" s="79"/>
      <c r="D17" s="88"/>
      <c r="E17" s="89"/>
      <c r="F17" s="89"/>
      <c r="G17" s="89"/>
      <c r="H17" s="89"/>
      <c r="I17" s="90"/>
      <c r="J17" s="91">
        <f t="shared" si="0"/>
        <v>0</v>
      </c>
    </row>
    <row r="18" spans="1:10" ht="18" x14ac:dyDescent="0.3">
      <c r="A18" s="78"/>
      <c r="B18" s="79"/>
      <c r="C18" s="79"/>
      <c r="D18" s="88"/>
      <c r="E18" s="89"/>
      <c r="F18" s="89"/>
      <c r="G18" s="89"/>
      <c r="H18" s="89"/>
      <c r="I18" s="90"/>
      <c r="J18" s="91">
        <f t="shared" si="0"/>
        <v>0</v>
      </c>
    </row>
    <row r="19" spans="1:10" ht="18" x14ac:dyDescent="0.3">
      <c r="A19" s="78"/>
      <c r="B19" s="79"/>
      <c r="C19" s="79"/>
      <c r="D19" s="88"/>
      <c r="E19" s="89"/>
      <c r="F19" s="89"/>
      <c r="G19" s="89"/>
      <c r="H19" s="89"/>
      <c r="I19" s="90"/>
      <c r="J19" s="91">
        <f t="shared" si="0"/>
        <v>0</v>
      </c>
    </row>
    <row r="20" spans="1:10" ht="18" x14ac:dyDescent="0.3">
      <c r="A20" s="78"/>
      <c r="B20" s="79"/>
      <c r="C20" s="79"/>
      <c r="D20" s="88"/>
      <c r="E20" s="89"/>
      <c r="F20" s="89"/>
      <c r="G20" s="89"/>
      <c r="H20" s="89"/>
      <c r="I20" s="90"/>
      <c r="J20" s="91">
        <f t="shared" si="0"/>
        <v>0</v>
      </c>
    </row>
    <row r="21" spans="1:10" ht="18" x14ac:dyDescent="0.3">
      <c r="A21" s="78"/>
      <c r="B21" s="79"/>
      <c r="C21" s="79"/>
      <c r="D21" s="88"/>
      <c r="E21" s="89"/>
      <c r="F21" s="89"/>
      <c r="G21" s="89"/>
      <c r="H21" s="89"/>
      <c r="I21" s="90"/>
      <c r="J21" s="91">
        <f t="shared" si="0"/>
        <v>0</v>
      </c>
    </row>
    <row r="22" spans="1:10" ht="18" x14ac:dyDescent="0.3">
      <c r="A22" s="78"/>
      <c r="B22" s="79"/>
      <c r="C22" s="79"/>
      <c r="D22" s="88"/>
      <c r="E22" s="89"/>
      <c r="F22" s="89"/>
      <c r="G22" s="89"/>
      <c r="H22" s="89"/>
      <c r="I22" s="90"/>
      <c r="J22" s="91">
        <f t="shared" si="0"/>
        <v>0</v>
      </c>
    </row>
    <row r="23" spans="1:10" ht="18" x14ac:dyDescent="0.3">
      <c r="A23" s="78"/>
      <c r="B23" s="79"/>
      <c r="C23" s="79"/>
      <c r="D23" s="88"/>
      <c r="E23" s="89"/>
      <c r="F23" s="89"/>
      <c r="G23" s="89"/>
      <c r="H23" s="89"/>
      <c r="I23" s="90"/>
      <c r="J23" s="91">
        <f t="shared" si="0"/>
        <v>0</v>
      </c>
    </row>
    <row r="24" spans="1:10" ht="18" x14ac:dyDescent="0.3">
      <c r="A24" s="78"/>
      <c r="B24" s="79"/>
      <c r="C24" s="79"/>
      <c r="D24" s="88"/>
      <c r="E24" s="89"/>
      <c r="F24" s="89"/>
      <c r="G24" s="89"/>
      <c r="H24" s="89"/>
      <c r="I24" s="90"/>
      <c r="J24" s="91">
        <f t="shared" si="0"/>
        <v>0</v>
      </c>
    </row>
    <row r="25" spans="1:10" ht="18" x14ac:dyDescent="0.3">
      <c r="A25" s="78"/>
      <c r="B25" s="79"/>
      <c r="C25" s="79"/>
      <c r="D25" s="88"/>
      <c r="E25" s="89"/>
      <c r="F25" s="89"/>
      <c r="G25" s="89"/>
      <c r="H25" s="89"/>
      <c r="I25" s="90"/>
      <c r="J25" s="91">
        <f t="shared" si="0"/>
        <v>0</v>
      </c>
    </row>
    <row r="26" spans="1:10" ht="18" x14ac:dyDescent="0.3">
      <c r="A26" s="78"/>
      <c r="B26" s="79"/>
      <c r="C26" s="79"/>
      <c r="D26" s="88"/>
      <c r="E26" s="89"/>
      <c r="F26" s="89"/>
      <c r="G26" s="89"/>
      <c r="H26" s="89"/>
      <c r="I26" s="90"/>
      <c r="J26" s="91">
        <f t="shared" si="0"/>
        <v>0</v>
      </c>
    </row>
    <row r="27" spans="1:10" ht="18" x14ac:dyDescent="0.3">
      <c r="A27" s="78"/>
      <c r="B27" s="79"/>
      <c r="C27" s="79"/>
      <c r="D27" s="88"/>
      <c r="E27" s="89"/>
      <c r="F27" s="89"/>
      <c r="G27" s="89"/>
      <c r="H27" s="89"/>
      <c r="I27" s="90"/>
      <c r="J27" s="91">
        <f t="shared" si="0"/>
        <v>0</v>
      </c>
    </row>
    <row r="28" spans="1:10" ht="18" x14ac:dyDescent="0.3">
      <c r="A28" s="78"/>
      <c r="B28" s="79"/>
      <c r="C28" s="79"/>
      <c r="D28" s="88"/>
      <c r="E28" s="89"/>
      <c r="F28" s="89"/>
      <c r="G28" s="92"/>
      <c r="H28" s="92"/>
      <c r="I28" s="93"/>
      <c r="J28" s="91">
        <f t="shared" si="0"/>
        <v>0</v>
      </c>
    </row>
    <row r="29" spans="1:10" ht="18" x14ac:dyDescent="0.3">
      <c r="A29" s="78"/>
      <c r="B29" s="79"/>
      <c r="C29" s="79"/>
      <c r="D29" s="88"/>
      <c r="E29" s="89"/>
      <c r="F29" s="89"/>
      <c r="G29" s="89"/>
      <c r="H29" s="89"/>
      <c r="I29" s="90"/>
      <c r="J29" s="91">
        <f t="shared" si="0"/>
        <v>0</v>
      </c>
    </row>
    <row r="30" spans="1:10" ht="18" x14ac:dyDescent="0.3">
      <c r="A30" s="78"/>
      <c r="B30" s="79"/>
      <c r="C30" s="79"/>
      <c r="D30" s="88"/>
      <c r="E30" s="89"/>
      <c r="F30" s="89"/>
      <c r="G30" s="89"/>
      <c r="H30" s="89"/>
      <c r="I30" s="90"/>
      <c r="J30" s="91">
        <f t="shared" si="0"/>
        <v>0</v>
      </c>
    </row>
    <row r="31" spans="1:10" ht="18" x14ac:dyDescent="0.3">
      <c r="A31" s="78"/>
      <c r="B31" s="79"/>
      <c r="C31" s="79"/>
      <c r="D31" s="88"/>
      <c r="E31" s="89"/>
      <c r="F31" s="89"/>
      <c r="G31" s="89"/>
      <c r="H31" s="89"/>
      <c r="I31" s="90"/>
      <c r="J31" s="91">
        <f t="shared" si="0"/>
        <v>0</v>
      </c>
    </row>
    <row r="32" spans="1:10" ht="18" x14ac:dyDescent="0.3">
      <c r="A32" s="78"/>
      <c r="B32" s="79"/>
      <c r="C32" s="79"/>
      <c r="D32" s="94"/>
      <c r="E32" s="89"/>
      <c r="F32" s="89"/>
      <c r="G32" s="92"/>
      <c r="H32" s="89"/>
      <c r="I32" s="93"/>
      <c r="J32" s="91">
        <f t="shared" si="0"/>
        <v>0</v>
      </c>
    </row>
    <row r="33" spans="1:10" ht="18" x14ac:dyDescent="0.3">
      <c r="A33" s="78"/>
      <c r="B33" s="79"/>
      <c r="C33" s="79"/>
      <c r="D33" s="94"/>
      <c r="E33" s="89"/>
      <c r="F33" s="89"/>
      <c r="G33" s="92"/>
      <c r="H33" s="89"/>
      <c r="I33" s="93"/>
      <c r="J33" s="91">
        <f t="shared" si="0"/>
        <v>0</v>
      </c>
    </row>
    <row r="34" spans="1:10" ht="18" x14ac:dyDescent="0.3">
      <c r="A34" s="78"/>
      <c r="B34" s="79"/>
      <c r="C34" s="79"/>
      <c r="D34" s="94"/>
      <c r="E34" s="89"/>
      <c r="F34" s="89"/>
      <c r="G34" s="92"/>
      <c r="H34" s="89"/>
      <c r="I34" s="93"/>
      <c r="J34" s="91">
        <f t="shared" si="0"/>
        <v>0</v>
      </c>
    </row>
    <row r="35" spans="1:10" ht="18" x14ac:dyDescent="0.3">
      <c r="A35" s="78"/>
      <c r="B35" s="79"/>
      <c r="C35" s="79"/>
      <c r="D35" s="94"/>
      <c r="E35" s="89"/>
      <c r="F35" s="89"/>
      <c r="G35" s="92"/>
      <c r="H35" s="89"/>
      <c r="I35" s="93"/>
      <c r="J35" s="91">
        <f t="shared" si="0"/>
        <v>0</v>
      </c>
    </row>
    <row r="36" spans="1:10" ht="18" x14ac:dyDescent="0.3">
      <c r="A36" s="78"/>
      <c r="B36" s="79"/>
      <c r="C36" s="79"/>
      <c r="D36" s="94"/>
      <c r="E36" s="89"/>
      <c r="F36" s="89"/>
      <c r="G36" s="92"/>
      <c r="H36" s="89"/>
      <c r="I36" s="93"/>
      <c r="J36" s="91">
        <f t="shared" si="0"/>
        <v>0</v>
      </c>
    </row>
    <row r="37" spans="1:10" ht="18" x14ac:dyDescent="0.3">
      <c r="A37" s="78"/>
      <c r="B37" s="79"/>
      <c r="C37" s="79"/>
      <c r="D37" s="94"/>
      <c r="E37" s="89"/>
      <c r="F37" s="89"/>
      <c r="G37" s="92"/>
      <c r="H37" s="89"/>
      <c r="I37" s="93"/>
      <c r="J37" s="91">
        <f t="shared" si="0"/>
        <v>0</v>
      </c>
    </row>
    <row r="38" spans="1:10" ht="18" x14ac:dyDescent="0.3">
      <c r="A38" s="78"/>
      <c r="B38" s="79"/>
      <c r="C38" s="79"/>
      <c r="D38" s="94"/>
      <c r="E38" s="89"/>
      <c r="F38" s="89"/>
      <c r="G38" s="92"/>
      <c r="H38" s="89"/>
      <c r="I38" s="93"/>
      <c r="J38" s="91">
        <f t="shared" si="0"/>
        <v>0</v>
      </c>
    </row>
    <row r="39" spans="1:10" ht="18" x14ac:dyDescent="0.3">
      <c r="A39" s="78"/>
      <c r="B39" s="79"/>
      <c r="C39" s="79"/>
      <c r="D39" s="94"/>
      <c r="E39" s="89"/>
      <c r="F39" s="89"/>
      <c r="G39" s="92"/>
      <c r="H39" s="89"/>
      <c r="I39" s="93"/>
      <c r="J39" s="91">
        <f t="shared" si="0"/>
        <v>0</v>
      </c>
    </row>
    <row r="40" spans="1:10" ht="18" x14ac:dyDescent="0.3">
      <c r="A40" s="78"/>
      <c r="B40" s="79"/>
      <c r="C40" s="79"/>
      <c r="D40" s="94"/>
      <c r="E40" s="89"/>
      <c r="F40" s="89"/>
      <c r="G40" s="92"/>
      <c r="H40" s="89"/>
      <c r="I40" s="93"/>
      <c r="J40" s="91"/>
    </row>
    <row r="41" spans="1:10" ht="18" x14ac:dyDescent="0.3">
      <c r="A41" s="78"/>
      <c r="B41" s="79"/>
      <c r="C41" s="79"/>
      <c r="D41" s="94"/>
      <c r="E41" s="89"/>
      <c r="F41" s="89"/>
      <c r="G41" s="92"/>
      <c r="H41" s="89"/>
      <c r="I41" s="93"/>
      <c r="J41" s="91"/>
    </row>
    <row r="42" spans="1:10" ht="18" x14ac:dyDescent="0.3">
      <c r="A42" s="78"/>
      <c r="B42" s="79"/>
      <c r="C42" s="79"/>
      <c r="D42" s="94"/>
      <c r="E42" s="89"/>
      <c r="F42" s="89"/>
      <c r="G42" s="92"/>
      <c r="H42" s="89"/>
      <c r="I42" s="93"/>
      <c r="J42" s="91"/>
    </row>
    <row r="43" spans="1:10" ht="18" x14ac:dyDescent="0.3">
      <c r="A43" s="78"/>
      <c r="B43" s="79"/>
      <c r="C43" s="79"/>
      <c r="D43" s="94"/>
      <c r="E43" s="89"/>
      <c r="F43" s="89"/>
      <c r="G43" s="92"/>
      <c r="H43" s="89"/>
      <c r="I43" s="93"/>
      <c r="J43" s="91"/>
    </row>
    <row r="44" spans="1:10" ht="18" x14ac:dyDescent="0.3">
      <c r="A44" s="78"/>
      <c r="B44" s="79"/>
      <c r="C44" s="79"/>
      <c r="D44" s="94"/>
      <c r="E44" s="89"/>
      <c r="F44" s="89"/>
      <c r="G44" s="92"/>
      <c r="H44" s="89"/>
      <c r="I44" s="93"/>
      <c r="J44" s="91"/>
    </row>
    <row r="45" spans="1:10" ht="18" x14ac:dyDescent="0.3">
      <c r="A45" s="78"/>
      <c r="B45" s="79"/>
      <c r="C45" s="79"/>
      <c r="D45" s="95"/>
      <c r="E45" s="89"/>
      <c r="F45" s="89"/>
      <c r="G45" s="92"/>
      <c r="H45" s="89"/>
      <c r="I45" s="93"/>
      <c r="J45" s="91">
        <f t="shared" si="0"/>
        <v>0</v>
      </c>
    </row>
    <row r="46" spans="1:10" ht="18.75" thickBot="1" x14ac:dyDescent="0.35">
      <c r="A46" s="78"/>
      <c r="B46" s="79"/>
      <c r="C46" s="79"/>
      <c r="D46" s="96"/>
      <c r="E46" s="97"/>
      <c r="F46" s="97"/>
      <c r="G46" s="98"/>
      <c r="H46" s="97"/>
      <c r="I46" s="99"/>
      <c r="J46" s="100">
        <f t="shared" si="0"/>
        <v>0</v>
      </c>
    </row>
    <row r="47" spans="1:10" ht="21" thickBot="1" x14ac:dyDescent="0.35">
      <c r="A47" s="78"/>
      <c r="B47" s="79"/>
      <c r="C47" s="79"/>
      <c r="D47" s="933" t="s">
        <v>10</v>
      </c>
      <c r="E47" s="934"/>
      <c r="F47" s="934"/>
      <c r="G47" s="934"/>
      <c r="H47" s="934"/>
      <c r="I47" s="935"/>
      <c r="J47" s="102">
        <f>ROUND(SUM(J8:J46),2)</f>
        <v>6000.92</v>
      </c>
    </row>
    <row r="48" spans="1:10" ht="21" thickBot="1" x14ac:dyDescent="0.35">
      <c r="A48" s="78"/>
      <c r="B48" s="79"/>
      <c r="C48" s="79"/>
      <c r="D48" s="933" t="s">
        <v>1127</v>
      </c>
      <c r="E48" s="934"/>
      <c r="F48" s="934"/>
      <c r="G48" s="934"/>
      <c r="H48" s="934"/>
      <c r="I48" s="935"/>
      <c r="J48" s="103"/>
    </row>
    <row r="49" spans="1:10" ht="21" thickBot="1" x14ac:dyDescent="0.35">
      <c r="A49" s="78"/>
      <c r="B49" s="79"/>
      <c r="C49" s="101"/>
      <c r="D49" s="933" t="s">
        <v>1128</v>
      </c>
      <c r="E49" s="934"/>
      <c r="F49" s="934"/>
      <c r="G49" s="934"/>
      <c r="H49" s="934"/>
      <c r="I49" s="935"/>
      <c r="J49" s="104">
        <f>+J47-J48</f>
        <v>6000.92</v>
      </c>
    </row>
    <row r="50" spans="1:10" ht="21" thickBot="1" x14ac:dyDescent="0.35">
      <c r="A50" s="936" t="s">
        <v>1129</v>
      </c>
      <c r="B50" s="937"/>
      <c r="C50" s="938"/>
      <c r="D50" s="939" t="s">
        <v>1130</v>
      </c>
      <c r="E50" s="940"/>
      <c r="F50" s="940"/>
      <c r="G50" s="940"/>
      <c r="H50" s="940"/>
      <c r="I50" s="940"/>
      <c r="J50" s="941"/>
    </row>
    <row r="51" spans="1:10" ht="38.25" customHeight="1" thickBot="1" x14ac:dyDescent="0.35">
      <c r="A51" s="942" t="str">
        <f>PPTO!G3</f>
        <v>JUNIO DE 2026</v>
      </c>
      <c r="B51" s="943"/>
      <c r="C51" s="944"/>
      <c r="D51" s="921"/>
      <c r="E51" s="922"/>
      <c r="F51" s="922"/>
      <c r="G51" s="922"/>
      <c r="H51" s="922"/>
      <c r="I51" s="922"/>
      <c r="J51" s="923"/>
    </row>
    <row r="52" spans="1:10" ht="19.5" thickBot="1" x14ac:dyDescent="0.35">
      <c r="A52" s="918"/>
      <c r="B52" s="919"/>
      <c r="C52" s="920"/>
      <c r="D52" s="921" t="s">
        <v>1131</v>
      </c>
      <c r="E52" s="922"/>
      <c r="F52" s="922"/>
      <c r="G52" s="922"/>
      <c r="H52" s="922"/>
      <c r="I52" s="922"/>
      <c r="J52" s="923"/>
    </row>
  </sheetData>
  <mergeCells count="19">
    <mergeCell ref="A51:C51"/>
    <mergeCell ref="D51:J51"/>
    <mergeCell ref="A52:C52"/>
    <mergeCell ref="D52:J52"/>
    <mergeCell ref="D47:I47"/>
    <mergeCell ref="D48:I48"/>
    <mergeCell ref="D49:I49"/>
    <mergeCell ref="A50:C50"/>
    <mergeCell ref="D50:J50"/>
    <mergeCell ref="D6:D7"/>
    <mergeCell ref="E6:G6"/>
    <mergeCell ref="I6:I7"/>
    <mergeCell ref="J6:J7"/>
    <mergeCell ref="A2:J2"/>
    <mergeCell ref="A3:J3"/>
    <mergeCell ref="A4:J4"/>
    <mergeCell ref="C5:D5"/>
    <mergeCell ref="G5:H5"/>
    <mergeCell ref="I5:J5"/>
  </mergeCells>
  <conditionalFormatting sqref="J8:J46">
    <cfRule type="cellIs" dxfId="56" priority="2" operator="equal">
      <formula>0</formula>
    </cfRule>
  </conditionalFormatting>
  <pageMargins left="0.7" right="0.7" top="0.75" bottom="0.75" header="0.3" footer="0.3"/>
  <pageSetup scale="50" orientation="landscape"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BB572B-9FFC-4DA8-8D58-18BADBCA6A5E}">
  <sheetPr>
    <tabColor rgb="FFD4ECBA"/>
    <pageSetUpPr fitToPage="1"/>
  </sheetPr>
  <dimension ref="A1:J61"/>
  <sheetViews>
    <sheetView showOutlineSymbols="0" view="pageBreakPreview" topLeftCell="A4" zoomScale="60" zoomScaleNormal="70" workbookViewId="0">
      <selection activeCell="J10" sqref="J10"/>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05.75" customHeight="1" thickBot="1" x14ac:dyDescent="0.35">
      <c r="A5" s="72" t="s">
        <v>5</v>
      </c>
      <c r="B5" s="73" t="str">
        <f>PPTO!B27</f>
        <v>3,3,2</v>
      </c>
      <c r="C5" s="913" t="str">
        <f>+VLOOKUP(B5,PPTO!B8:G94,2,FALSE)</f>
        <v>Suministro, transporte e instalación de cubierta tipo Teja Termoacustica Ecoroof UPVC 2.5mm Blanco 1.07 x 5.90 Mts. Incluye remates internos y externos de cubierta, tornillos autoroscantes y todo lo necesario para su correcta instalación. Según diseño.</v>
      </c>
      <c r="D5" s="914"/>
      <c r="E5" s="72" t="s">
        <v>7</v>
      </c>
      <c r="F5" s="74" t="str">
        <f>+VLOOKUP(B5,PPTO!B8:G94,3,FALSE)</f>
        <v>M2</v>
      </c>
      <c r="G5" s="915" t="s">
        <v>1120</v>
      </c>
      <c r="H5" s="915"/>
      <c r="I5" s="916">
        <f>+VLOOKUP(B5,PPTO!B8:G94,5,FALSE)</f>
        <v>111640</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1141</v>
      </c>
      <c r="F7" s="81" t="s">
        <v>1124</v>
      </c>
      <c r="G7" s="82" t="s">
        <v>1125</v>
      </c>
      <c r="H7" s="83"/>
      <c r="I7" s="930"/>
      <c r="J7" s="932"/>
    </row>
    <row r="8" spans="1:10" ht="18" x14ac:dyDescent="0.3">
      <c r="A8" s="78"/>
      <c r="B8" s="79"/>
      <c r="C8" s="79"/>
      <c r="D8" s="88" t="s">
        <v>1165</v>
      </c>
      <c r="E8" s="89">
        <v>85.53</v>
      </c>
      <c r="F8" s="89"/>
      <c r="G8" s="89"/>
      <c r="H8" s="89"/>
      <c r="I8" s="106">
        <v>2</v>
      </c>
      <c r="J8" s="87">
        <f>+PRODUCT(E8:I8)</f>
        <v>171.06</v>
      </c>
    </row>
    <row r="9" spans="1:10" ht="18" x14ac:dyDescent="0.3">
      <c r="A9" s="78"/>
      <c r="B9" s="79"/>
      <c r="C9" s="79"/>
      <c r="D9" s="88" t="s">
        <v>1165</v>
      </c>
      <c r="E9" s="89">
        <v>8.4499999999999993</v>
      </c>
      <c r="F9" s="89"/>
      <c r="G9" s="89"/>
      <c r="H9" s="89"/>
      <c r="I9" s="106">
        <v>2</v>
      </c>
      <c r="J9" s="91">
        <f t="shared" ref="J9:J46" si="0">+PRODUCT(E9:I9)</f>
        <v>16.899999999999999</v>
      </c>
    </row>
    <row r="10" spans="1:10" ht="18" x14ac:dyDescent="0.3">
      <c r="A10" s="78"/>
      <c r="B10" s="79"/>
      <c r="C10" s="79"/>
      <c r="D10" s="88" t="s">
        <v>1165</v>
      </c>
      <c r="E10" s="89">
        <v>32.71</v>
      </c>
      <c r="F10" s="89"/>
      <c r="G10" s="89"/>
      <c r="H10" s="89"/>
      <c r="I10" s="106">
        <v>2</v>
      </c>
      <c r="J10" s="91">
        <f t="shared" si="0"/>
        <v>65.42</v>
      </c>
    </row>
    <row r="11" spans="1:10" ht="18" x14ac:dyDescent="0.3">
      <c r="A11" s="78"/>
      <c r="B11" s="79"/>
      <c r="C11" s="79"/>
      <c r="D11" s="88" t="s">
        <v>1165</v>
      </c>
      <c r="E11" s="89">
        <v>75.02</v>
      </c>
      <c r="F11" s="89"/>
      <c r="G11" s="89"/>
      <c r="H11" s="89"/>
      <c r="I11" s="106">
        <v>1</v>
      </c>
      <c r="J11" s="91">
        <f t="shared" si="0"/>
        <v>75.02</v>
      </c>
    </row>
    <row r="12" spans="1:10" ht="18" x14ac:dyDescent="0.3">
      <c r="A12" s="78"/>
      <c r="B12" s="79"/>
      <c r="C12" s="79"/>
      <c r="D12" s="88" t="s">
        <v>1165</v>
      </c>
      <c r="E12" s="89">
        <v>58.04</v>
      </c>
      <c r="F12" s="89"/>
      <c r="G12" s="89"/>
      <c r="H12" s="89"/>
      <c r="I12" s="106">
        <v>2</v>
      </c>
      <c r="J12" s="91">
        <f t="shared" si="0"/>
        <v>116.08</v>
      </c>
    </row>
    <row r="13" spans="1:10" ht="18" x14ac:dyDescent="0.3">
      <c r="A13" s="78"/>
      <c r="B13" s="79"/>
      <c r="C13" s="79"/>
      <c r="D13" s="88"/>
      <c r="E13" s="89"/>
      <c r="F13" s="89"/>
      <c r="G13" s="89"/>
      <c r="H13" s="89"/>
      <c r="I13" s="90"/>
      <c r="J13" s="91">
        <f t="shared" si="0"/>
        <v>0</v>
      </c>
    </row>
    <row r="14" spans="1:10" ht="18" x14ac:dyDescent="0.3">
      <c r="A14" s="78"/>
      <c r="B14" s="79"/>
      <c r="C14" s="79"/>
      <c r="D14" s="88"/>
      <c r="E14" s="89"/>
      <c r="F14" s="89"/>
      <c r="G14" s="89"/>
      <c r="H14" s="89"/>
      <c r="I14" s="90"/>
      <c r="J14" s="91">
        <f t="shared" si="0"/>
        <v>0</v>
      </c>
    </row>
    <row r="15" spans="1:10" ht="18" x14ac:dyDescent="0.3">
      <c r="A15" s="78"/>
      <c r="B15" s="79"/>
      <c r="C15" s="79"/>
      <c r="D15" s="88"/>
      <c r="E15" s="89"/>
      <c r="F15" s="89"/>
      <c r="G15" s="89"/>
      <c r="H15" s="89"/>
      <c r="I15" s="90"/>
      <c r="J15" s="91">
        <f t="shared" si="0"/>
        <v>0</v>
      </c>
    </row>
    <row r="16" spans="1:10" ht="18" x14ac:dyDescent="0.3">
      <c r="A16" s="78"/>
      <c r="B16" s="79"/>
      <c r="C16" s="79"/>
      <c r="D16" s="88"/>
      <c r="E16" s="89"/>
      <c r="F16" s="89"/>
      <c r="G16" s="89"/>
      <c r="H16" s="89"/>
      <c r="I16" s="90"/>
      <c r="J16" s="91">
        <f t="shared" si="0"/>
        <v>0</v>
      </c>
    </row>
    <row r="17" spans="1:10" ht="18" x14ac:dyDescent="0.3">
      <c r="A17" s="78"/>
      <c r="B17" s="79"/>
      <c r="C17" s="79"/>
      <c r="D17" s="88"/>
      <c r="E17" s="89"/>
      <c r="F17" s="89"/>
      <c r="G17" s="89"/>
      <c r="H17" s="89"/>
      <c r="I17" s="90"/>
      <c r="J17" s="91">
        <f t="shared" si="0"/>
        <v>0</v>
      </c>
    </row>
    <row r="18" spans="1:10" ht="18" x14ac:dyDescent="0.3">
      <c r="A18" s="78"/>
      <c r="B18" s="79"/>
      <c r="C18" s="79"/>
      <c r="D18" s="88"/>
      <c r="E18" s="89"/>
      <c r="F18" s="89"/>
      <c r="G18" s="89"/>
      <c r="H18" s="89"/>
      <c r="I18" s="90"/>
      <c r="J18" s="91">
        <f t="shared" si="0"/>
        <v>0</v>
      </c>
    </row>
    <row r="19" spans="1:10" ht="18" x14ac:dyDescent="0.3">
      <c r="A19" s="78"/>
      <c r="B19" s="79"/>
      <c r="C19" s="79"/>
      <c r="D19" s="88"/>
      <c r="E19" s="89"/>
      <c r="F19" s="89"/>
      <c r="G19" s="89"/>
      <c r="H19" s="89"/>
      <c r="I19" s="90"/>
      <c r="J19" s="91">
        <f t="shared" si="0"/>
        <v>0</v>
      </c>
    </row>
    <row r="20" spans="1:10" ht="18" x14ac:dyDescent="0.3">
      <c r="A20" s="78"/>
      <c r="B20" s="79"/>
      <c r="C20" s="79"/>
      <c r="D20" s="88"/>
      <c r="E20" s="89"/>
      <c r="F20" s="89"/>
      <c r="G20" s="89"/>
      <c r="H20" s="89"/>
      <c r="I20" s="90"/>
      <c r="J20" s="91">
        <f t="shared" si="0"/>
        <v>0</v>
      </c>
    </row>
    <row r="21" spans="1:10" ht="18" x14ac:dyDescent="0.3">
      <c r="A21" s="78"/>
      <c r="B21" s="79"/>
      <c r="C21" s="79"/>
      <c r="D21" s="88"/>
      <c r="E21" s="89"/>
      <c r="F21" s="89"/>
      <c r="G21" s="89"/>
      <c r="H21" s="89"/>
      <c r="I21" s="90"/>
      <c r="J21" s="91">
        <f t="shared" si="0"/>
        <v>0</v>
      </c>
    </row>
    <row r="22" spans="1:10" ht="18" x14ac:dyDescent="0.3">
      <c r="A22" s="78"/>
      <c r="B22" s="79"/>
      <c r="C22" s="79"/>
      <c r="D22" s="88"/>
      <c r="E22" s="89"/>
      <c r="F22" s="89"/>
      <c r="G22" s="89"/>
      <c r="H22" s="89"/>
      <c r="I22" s="90"/>
      <c r="J22" s="91">
        <f t="shared" si="0"/>
        <v>0</v>
      </c>
    </row>
    <row r="23" spans="1:10" ht="18" x14ac:dyDescent="0.3">
      <c r="A23" s="78"/>
      <c r="B23" s="79"/>
      <c r="C23" s="79"/>
      <c r="D23" s="88"/>
      <c r="E23" s="89"/>
      <c r="F23" s="89"/>
      <c r="G23" s="89"/>
      <c r="H23" s="89"/>
      <c r="I23" s="90"/>
      <c r="J23" s="91">
        <f t="shared" si="0"/>
        <v>0</v>
      </c>
    </row>
    <row r="24" spans="1:10" ht="18" x14ac:dyDescent="0.3">
      <c r="A24" s="78"/>
      <c r="B24" s="79"/>
      <c r="C24" s="79"/>
      <c r="D24" s="88"/>
      <c r="E24" s="89"/>
      <c r="F24" s="89"/>
      <c r="G24" s="89"/>
      <c r="H24" s="89"/>
      <c r="I24" s="90"/>
      <c r="J24" s="91">
        <f t="shared" si="0"/>
        <v>0</v>
      </c>
    </row>
    <row r="25" spans="1:10" ht="18" x14ac:dyDescent="0.3">
      <c r="A25" s="78"/>
      <c r="B25" s="79"/>
      <c r="C25" s="79"/>
      <c r="D25" s="88"/>
      <c r="E25" s="89"/>
      <c r="F25" s="89"/>
      <c r="G25" s="89"/>
      <c r="H25" s="89"/>
      <c r="I25" s="90"/>
      <c r="J25" s="91">
        <f t="shared" si="0"/>
        <v>0</v>
      </c>
    </row>
    <row r="26" spans="1:10" ht="18" x14ac:dyDescent="0.3">
      <c r="A26" s="78"/>
      <c r="B26" s="79"/>
      <c r="C26" s="79"/>
      <c r="D26" s="88"/>
      <c r="E26" s="89"/>
      <c r="F26" s="89"/>
      <c r="G26" s="89"/>
      <c r="H26" s="89"/>
      <c r="I26" s="90"/>
      <c r="J26" s="91">
        <f t="shared" si="0"/>
        <v>0</v>
      </c>
    </row>
    <row r="27" spans="1:10" ht="18" x14ac:dyDescent="0.3">
      <c r="A27" s="78"/>
      <c r="B27" s="79"/>
      <c r="C27" s="79"/>
      <c r="D27" s="88"/>
      <c r="E27" s="89"/>
      <c r="F27" s="89"/>
      <c r="G27" s="89"/>
      <c r="H27" s="89"/>
      <c r="I27" s="90"/>
      <c r="J27" s="91">
        <f t="shared" si="0"/>
        <v>0</v>
      </c>
    </row>
    <row r="28" spans="1:10" ht="18" x14ac:dyDescent="0.3">
      <c r="A28" s="78"/>
      <c r="B28" s="79"/>
      <c r="C28" s="79"/>
      <c r="D28" s="88"/>
      <c r="E28" s="89"/>
      <c r="F28" s="89"/>
      <c r="G28" s="92"/>
      <c r="H28" s="92"/>
      <c r="I28" s="93"/>
      <c r="J28" s="91">
        <f t="shared" si="0"/>
        <v>0</v>
      </c>
    </row>
    <row r="29" spans="1:10" ht="18" x14ac:dyDescent="0.3">
      <c r="A29" s="78"/>
      <c r="B29" s="79"/>
      <c r="C29" s="79"/>
      <c r="D29" s="88"/>
      <c r="E29" s="89"/>
      <c r="F29" s="89"/>
      <c r="G29" s="89"/>
      <c r="H29" s="89"/>
      <c r="I29" s="90"/>
      <c r="J29" s="91">
        <f t="shared" si="0"/>
        <v>0</v>
      </c>
    </row>
    <row r="30" spans="1:10" ht="18" x14ac:dyDescent="0.3">
      <c r="A30" s="78"/>
      <c r="B30" s="79"/>
      <c r="C30" s="79"/>
      <c r="D30" s="88"/>
      <c r="E30" s="89"/>
      <c r="F30" s="89"/>
      <c r="G30" s="89"/>
      <c r="H30" s="89"/>
      <c r="I30" s="90"/>
      <c r="J30" s="91">
        <f t="shared" si="0"/>
        <v>0</v>
      </c>
    </row>
    <row r="31" spans="1:10" ht="18" x14ac:dyDescent="0.3">
      <c r="A31" s="78"/>
      <c r="B31" s="79"/>
      <c r="C31" s="79"/>
      <c r="D31" s="88"/>
      <c r="E31" s="89"/>
      <c r="F31" s="89"/>
      <c r="G31" s="89"/>
      <c r="H31" s="89"/>
      <c r="I31" s="90"/>
      <c r="J31" s="91">
        <f t="shared" si="0"/>
        <v>0</v>
      </c>
    </row>
    <row r="32" spans="1:10" ht="18" x14ac:dyDescent="0.3">
      <c r="A32" s="78"/>
      <c r="B32" s="79"/>
      <c r="C32" s="79"/>
      <c r="D32" s="94"/>
      <c r="E32" s="89"/>
      <c r="F32" s="89"/>
      <c r="G32" s="92"/>
      <c r="H32" s="89"/>
      <c r="I32" s="93"/>
      <c r="J32" s="91">
        <f t="shared" si="0"/>
        <v>0</v>
      </c>
    </row>
    <row r="33" spans="1:10" ht="18" x14ac:dyDescent="0.3">
      <c r="A33" s="78"/>
      <c r="B33" s="79"/>
      <c r="C33" s="79"/>
      <c r="D33" s="94"/>
      <c r="E33" s="89"/>
      <c r="F33" s="89"/>
      <c r="G33" s="92"/>
      <c r="H33" s="89"/>
      <c r="I33" s="93"/>
      <c r="J33" s="91">
        <f t="shared" si="0"/>
        <v>0</v>
      </c>
    </row>
    <row r="34" spans="1:10" ht="18" x14ac:dyDescent="0.3">
      <c r="A34" s="78"/>
      <c r="B34" s="79"/>
      <c r="C34" s="79"/>
      <c r="D34" s="94"/>
      <c r="E34" s="89"/>
      <c r="F34" s="89"/>
      <c r="G34" s="92"/>
      <c r="H34" s="89"/>
      <c r="I34" s="93"/>
      <c r="J34" s="91">
        <f t="shared" si="0"/>
        <v>0</v>
      </c>
    </row>
    <row r="35" spans="1:10" ht="18" x14ac:dyDescent="0.3">
      <c r="A35" s="78"/>
      <c r="B35" s="79"/>
      <c r="C35" s="79"/>
      <c r="D35" s="94"/>
      <c r="E35" s="89"/>
      <c r="F35" s="89"/>
      <c r="G35" s="92"/>
      <c r="H35" s="89"/>
      <c r="I35" s="93"/>
      <c r="J35" s="91">
        <f t="shared" si="0"/>
        <v>0</v>
      </c>
    </row>
    <row r="36" spans="1:10" ht="18" x14ac:dyDescent="0.3">
      <c r="A36" s="78"/>
      <c r="B36" s="79"/>
      <c r="C36" s="79"/>
      <c r="D36" s="94"/>
      <c r="E36" s="89"/>
      <c r="F36" s="89"/>
      <c r="G36" s="92"/>
      <c r="H36" s="89"/>
      <c r="I36" s="93"/>
      <c r="J36" s="91">
        <f t="shared" si="0"/>
        <v>0</v>
      </c>
    </row>
    <row r="37" spans="1:10" ht="18" x14ac:dyDescent="0.3">
      <c r="A37" s="78"/>
      <c r="B37" s="79"/>
      <c r="C37" s="79"/>
      <c r="D37" s="94"/>
      <c r="E37" s="89"/>
      <c r="F37" s="89"/>
      <c r="G37" s="92"/>
      <c r="H37" s="89"/>
      <c r="I37" s="93"/>
      <c r="J37" s="91">
        <f t="shared" si="0"/>
        <v>0</v>
      </c>
    </row>
    <row r="38" spans="1:10" ht="18" x14ac:dyDescent="0.3">
      <c r="A38" s="78"/>
      <c r="B38" s="79"/>
      <c r="C38" s="79"/>
      <c r="D38" s="94"/>
      <c r="E38" s="89"/>
      <c r="F38" s="89"/>
      <c r="G38" s="92"/>
      <c r="H38" s="89"/>
      <c r="I38" s="93"/>
      <c r="J38" s="91">
        <f t="shared" si="0"/>
        <v>0</v>
      </c>
    </row>
    <row r="39" spans="1:10" ht="18" x14ac:dyDescent="0.3">
      <c r="A39" s="78"/>
      <c r="B39" s="79"/>
      <c r="C39" s="79"/>
      <c r="D39" s="94"/>
      <c r="E39" s="89"/>
      <c r="F39" s="89"/>
      <c r="G39" s="92"/>
      <c r="H39" s="89"/>
      <c r="I39" s="93"/>
      <c r="J39" s="91">
        <f t="shared" si="0"/>
        <v>0</v>
      </c>
    </row>
    <row r="40" spans="1:10" ht="18" x14ac:dyDescent="0.3">
      <c r="A40" s="78"/>
      <c r="B40" s="79"/>
      <c r="C40" s="79"/>
      <c r="D40" s="94"/>
      <c r="E40" s="89"/>
      <c r="F40" s="89"/>
      <c r="G40" s="92"/>
      <c r="H40" s="89"/>
      <c r="I40" s="93"/>
      <c r="J40" s="91"/>
    </row>
    <row r="41" spans="1:10" ht="18" x14ac:dyDescent="0.3">
      <c r="A41" s="78"/>
      <c r="B41" s="79"/>
      <c r="C41" s="79"/>
      <c r="D41" s="94"/>
      <c r="E41" s="89"/>
      <c r="F41" s="89"/>
      <c r="G41" s="92"/>
      <c r="H41" s="89"/>
      <c r="I41" s="93"/>
      <c r="J41" s="91"/>
    </row>
    <row r="42" spans="1:10" ht="18" x14ac:dyDescent="0.3">
      <c r="A42" s="78"/>
      <c r="B42" s="79"/>
      <c r="C42" s="79"/>
      <c r="D42" s="94"/>
      <c r="E42" s="89"/>
      <c r="F42" s="89"/>
      <c r="G42" s="92"/>
      <c r="H42" s="89"/>
      <c r="I42" s="93"/>
      <c r="J42" s="91"/>
    </row>
    <row r="43" spans="1:10" ht="18" x14ac:dyDescent="0.3">
      <c r="A43" s="78"/>
      <c r="B43" s="79"/>
      <c r="C43" s="79"/>
      <c r="D43" s="94"/>
      <c r="E43" s="89"/>
      <c r="F43" s="89"/>
      <c r="G43" s="92"/>
      <c r="H43" s="89"/>
      <c r="I43" s="93"/>
      <c r="J43" s="91"/>
    </row>
    <row r="44" spans="1:10" ht="18" x14ac:dyDescent="0.3">
      <c r="A44" s="78"/>
      <c r="B44" s="79"/>
      <c r="C44" s="79"/>
      <c r="D44" s="94"/>
      <c r="E44" s="89"/>
      <c r="F44" s="89"/>
      <c r="G44" s="92"/>
      <c r="H44" s="89"/>
      <c r="I44" s="93"/>
      <c r="J44" s="91"/>
    </row>
    <row r="45" spans="1:10" ht="18" x14ac:dyDescent="0.3">
      <c r="A45" s="78"/>
      <c r="B45" s="79"/>
      <c r="C45" s="79"/>
      <c r="D45" s="95"/>
      <c r="E45" s="89"/>
      <c r="F45" s="89"/>
      <c r="G45" s="92"/>
      <c r="H45" s="89"/>
      <c r="I45" s="93"/>
      <c r="J45" s="91">
        <f t="shared" si="0"/>
        <v>0</v>
      </c>
    </row>
    <row r="46" spans="1:10" ht="18.75" thickBot="1" x14ac:dyDescent="0.35">
      <c r="A46" s="78"/>
      <c r="B46" s="79"/>
      <c r="C46" s="79"/>
      <c r="D46" s="96"/>
      <c r="E46" s="97"/>
      <c r="F46" s="97"/>
      <c r="G46" s="98"/>
      <c r="H46" s="97"/>
      <c r="I46" s="99"/>
      <c r="J46" s="100">
        <f t="shared" si="0"/>
        <v>0</v>
      </c>
    </row>
    <row r="47" spans="1:10" ht="21" thickBot="1" x14ac:dyDescent="0.35">
      <c r="A47" s="78"/>
      <c r="B47" s="79"/>
      <c r="C47" s="79"/>
      <c r="D47" s="933" t="s">
        <v>10</v>
      </c>
      <c r="E47" s="934"/>
      <c r="F47" s="934"/>
      <c r="G47" s="934"/>
      <c r="H47" s="934"/>
      <c r="I47" s="935"/>
      <c r="J47" s="102">
        <f>ROUND(SUM(J8:J46),2)</f>
        <v>444.48</v>
      </c>
    </row>
    <row r="48" spans="1:10" ht="21" thickBot="1" x14ac:dyDescent="0.35">
      <c r="A48" s="78"/>
      <c r="B48" s="79"/>
      <c r="C48" s="79"/>
      <c r="D48" s="933" t="s">
        <v>1127</v>
      </c>
      <c r="E48" s="934"/>
      <c r="F48" s="934"/>
      <c r="G48" s="934"/>
      <c r="H48" s="934"/>
      <c r="I48" s="935"/>
      <c r="J48" s="103"/>
    </row>
    <row r="49" spans="1:10" ht="21" thickBot="1" x14ac:dyDescent="0.35">
      <c r="A49" s="78"/>
      <c r="B49" s="79"/>
      <c r="C49" s="101"/>
      <c r="D49" s="933" t="s">
        <v>1128</v>
      </c>
      <c r="E49" s="934"/>
      <c r="F49" s="934"/>
      <c r="G49" s="934"/>
      <c r="H49" s="934"/>
      <c r="I49" s="935"/>
      <c r="J49" s="104">
        <f>+J47-J48</f>
        <v>444.48</v>
      </c>
    </row>
    <row r="50" spans="1:10" ht="21" thickBot="1" x14ac:dyDescent="0.35">
      <c r="A50" s="936" t="s">
        <v>1129</v>
      </c>
      <c r="B50" s="937"/>
      <c r="C50" s="938"/>
      <c r="D50" s="939" t="s">
        <v>1130</v>
      </c>
      <c r="E50" s="940"/>
      <c r="F50" s="940"/>
      <c r="G50" s="940"/>
      <c r="H50" s="940"/>
      <c r="I50" s="940"/>
      <c r="J50" s="941"/>
    </row>
    <row r="51" spans="1:10" ht="38.25" customHeight="1" thickBot="1" x14ac:dyDescent="0.35">
      <c r="A51" s="942" t="str">
        <f>PPTO!G3</f>
        <v>JUNIO DE 2026</v>
      </c>
      <c r="B51" s="943"/>
      <c r="C51" s="944"/>
      <c r="D51" s="921"/>
      <c r="E51" s="922"/>
      <c r="F51" s="922"/>
      <c r="G51" s="922"/>
      <c r="H51" s="922"/>
      <c r="I51" s="922"/>
      <c r="J51" s="923"/>
    </row>
    <row r="52" spans="1:10" ht="19.5" thickBot="1" x14ac:dyDescent="0.35">
      <c r="A52" s="918"/>
      <c r="B52" s="919"/>
      <c r="C52" s="920"/>
      <c r="D52" s="921" t="s">
        <v>1131</v>
      </c>
      <c r="E52" s="922"/>
      <c r="F52" s="922"/>
      <c r="G52" s="922"/>
      <c r="H52" s="922"/>
      <c r="I52" s="922"/>
      <c r="J52" s="923"/>
    </row>
    <row r="61" spans="1:10" x14ac:dyDescent="0.3">
      <c r="D61" s="155">
        <f>TAG30</f>
        <v>0</v>
      </c>
    </row>
  </sheetData>
  <mergeCells count="19">
    <mergeCell ref="A51:C51"/>
    <mergeCell ref="D51:J51"/>
    <mergeCell ref="A52:C52"/>
    <mergeCell ref="D52:J52"/>
    <mergeCell ref="D47:I47"/>
    <mergeCell ref="D48:I48"/>
    <mergeCell ref="D49:I49"/>
    <mergeCell ref="A50:C50"/>
    <mergeCell ref="D50:J50"/>
    <mergeCell ref="D6:D7"/>
    <mergeCell ref="E6:G6"/>
    <mergeCell ref="I6:I7"/>
    <mergeCell ref="J6:J7"/>
    <mergeCell ref="A2:J2"/>
    <mergeCell ref="A3:J3"/>
    <mergeCell ref="A4:J4"/>
    <mergeCell ref="C5:D5"/>
    <mergeCell ref="G5:H5"/>
    <mergeCell ref="I5:J5"/>
  </mergeCells>
  <conditionalFormatting sqref="J8:J46">
    <cfRule type="cellIs" dxfId="55" priority="2" operator="equal">
      <formula>0</formula>
    </cfRule>
  </conditionalFormatting>
  <pageMargins left="0.7" right="0.7" top="0.75" bottom="0.75" header="0.3" footer="0.3"/>
  <pageSetup scale="50" orientation="landscape"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70ED41-9429-4248-B58A-268F6696D7DC}">
  <sheetPr>
    <tabColor rgb="FFD4ECBA"/>
    <pageSetUpPr fitToPage="1"/>
  </sheetPr>
  <dimension ref="A1:K52"/>
  <sheetViews>
    <sheetView showOutlineSymbols="0" view="pageBreakPreview" topLeftCell="A27" zoomScale="60" zoomScaleNormal="70" workbookViewId="0">
      <selection activeCell="N61" sqref="N61"/>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05.75" customHeight="1" thickBot="1" x14ac:dyDescent="0.35">
      <c r="A5" s="72" t="s">
        <v>5</v>
      </c>
      <c r="B5" s="73" t="str">
        <f>PPTO!B29</f>
        <v>3,4,1</v>
      </c>
      <c r="C5" s="913" t="str">
        <f>+VLOOKUP(B5,PPTO!B8:G94,2,FALSE)</f>
        <v xml:space="preserve">Suministro, figurado y armado de Acero de refuerzo 6000PSI, (se incluyen zapatas, vigas de fundación y vigas de amarre y columnas). </v>
      </c>
      <c r="D5" s="914"/>
      <c r="E5" s="72" t="s">
        <v>7</v>
      </c>
      <c r="F5" s="74" t="str">
        <f>+VLOOKUP(B5,PPTO!B8:G94,3,FALSE)</f>
        <v>KG</v>
      </c>
      <c r="G5" s="915" t="s">
        <v>1120</v>
      </c>
      <c r="H5" s="915"/>
      <c r="I5" s="916">
        <f>+VLOOKUP(B5,PPTO!B8:G94,5,FALSE)</f>
        <v>12038</v>
      </c>
      <c r="J5" s="917"/>
    </row>
    <row r="6" spans="1:10" ht="18" x14ac:dyDescent="0.3">
      <c r="A6" s="75"/>
      <c r="B6" s="76"/>
      <c r="C6" s="76"/>
      <c r="D6" s="924" t="s">
        <v>958</v>
      </c>
      <c r="E6" s="926" t="s">
        <v>1121</v>
      </c>
      <c r="F6" s="927"/>
      <c r="G6" s="928"/>
      <c r="H6" s="77" t="s">
        <v>1166</v>
      </c>
      <c r="I6" s="929" t="s">
        <v>959</v>
      </c>
      <c r="J6" s="931" t="s">
        <v>287</v>
      </c>
    </row>
    <row r="7" spans="1:10" ht="18.75" thickBot="1" x14ac:dyDescent="0.35">
      <c r="A7" s="78"/>
      <c r="B7" s="79"/>
      <c r="C7" s="79"/>
      <c r="D7" s="925"/>
      <c r="E7" s="80" t="s">
        <v>1123</v>
      </c>
      <c r="F7" s="81" t="s">
        <v>1124</v>
      </c>
      <c r="G7" s="82" t="s">
        <v>1167</v>
      </c>
      <c r="H7" s="83" t="s">
        <v>1168</v>
      </c>
      <c r="I7" s="930"/>
      <c r="J7" s="932"/>
    </row>
    <row r="8" spans="1:10" ht="18" x14ac:dyDescent="0.3">
      <c r="A8" s="78"/>
      <c r="B8" s="79"/>
      <c r="C8" s="79"/>
      <c r="D8" s="88" t="s">
        <v>1169</v>
      </c>
      <c r="E8" s="89"/>
      <c r="F8" s="89">
        <f>12*1.4</f>
        <v>16.799999999999997</v>
      </c>
      <c r="G8" s="89"/>
      <c r="H8" s="89">
        <v>0.99</v>
      </c>
      <c r="I8" s="90">
        <v>28</v>
      </c>
      <c r="J8" s="91">
        <f t="shared" ref="J8:J17" si="0">+PRODUCT(E8:I8)</f>
        <v>465.69599999999991</v>
      </c>
    </row>
    <row r="9" spans="1:10" ht="18" x14ac:dyDescent="0.3">
      <c r="A9" s="78"/>
      <c r="B9" s="79"/>
      <c r="C9" s="79"/>
      <c r="D9" s="88" t="s">
        <v>1170</v>
      </c>
      <c r="E9" s="89"/>
      <c r="F9" s="89">
        <f>8*5</f>
        <v>40</v>
      </c>
      <c r="G9" s="89"/>
      <c r="H9" s="89">
        <v>0.99</v>
      </c>
      <c r="I9" s="90">
        <v>28</v>
      </c>
      <c r="J9" s="91">
        <f t="shared" si="0"/>
        <v>1108.8</v>
      </c>
    </row>
    <row r="10" spans="1:10" ht="18" x14ac:dyDescent="0.3">
      <c r="A10" s="78"/>
      <c r="B10" s="79"/>
      <c r="C10" s="79"/>
      <c r="D10" s="88" t="s">
        <v>1171</v>
      </c>
      <c r="E10" s="89"/>
      <c r="F10" s="89">
        <f>+(1.04+0.42+0.42)*40</f>
        <v>75.199999999999989</v>
      </c>
      <c r="G10" s="89"/>
      <c r="H10" s="89">
        <v>0.56000000000000005</v>
      </c>
      <c r="I10" s="90">
        <v>28</v>
      </c>
      <c r="J10" s="91">
        <f t="shared" si="0"/>
        <v>1179.136</v>
      </c>
    </row>
    <row r="11" spans="1:10" ht="18" x14ac:dyDescent="0.3">
      <c r="A11" s="78"/>
      <c r="B11" s="79"/>
      <c r="C11" s="79"/>
      <c r="D11" s="88" t="s">
        <v>1171</v>
      </c>
      <c r="E11" s="89"/>
      <c r="F11" s="89">
        <f>+(1.44+0.52+0.52)*22</f>
        <v>54.56</v>
      </c>
      <c r="G11" s="89"/>
      <c r="H11" s="89">
        <v>0.56000000000000005</v>
      </c>
      <c r="I11" s="90">
        <v>28</v>
      </c>
      <c r="J11" s="91">
        <f t="shared" si="0"/>
        <v>855.50080000000003</v>
      </c>
    </row>
    <row r="12" spans="1:10" ht="18" x14ac:dyDescent="0.3">
      <c r="A12" s="78"/>
      <c r="B12" s="79"/>
      <c r="C12" s="79"/>
      <c r="D12" s="88" t="s">
        <v>1172</v>
      </c>
      <c r="E12" s="89"/>
      <c r="F12" s="89">
        <f>+(4.7*4)+(6*4)</f>
        <v>42.8</v>
      </c>
      <c r="G12" s="89"/>
      <c r="H12" s="89">
        <v>1.55</v>
      </c>
      <c r="I12" s="90">
        <v>5</v>
      </c>
      <c r="J12" s="91">
        <f t="shared" si="0"/>
        <v>331.70000000000005</v>
      </c>
    </row>
    <row r="13" spans="1:10" ht="18" x14ac:dyDescent="0.3">
      <c r="A13" s="78"/>
      <c r="B13" s="79"/>
      <c r="C13" s="79"/>
      <c r="D13" s="88" t="s">
        <v>1173</v>
      </c>
      <c r="E13" s="89"/>
      <c r="F13" s="89">
        <v>0.76</v>
      </c>
      <c r="G13" s="89"/>
      <c r="H13" s="89">
        <v>0.56000000000000005</v>
      </c>
      <c r="I13" s="90">
        <f>52*5</f>
        <v>260</v>
      </c>
      <c r="J13" s="91">
        <f t="shared" si="0"/>
        <v>110.65600000000001</v>
      </c>
    </row>
    <row r="14" spans="1:10" ht="18" x14ac:dyDescent="0.3">
      <c r="A14" s="78"/>
      <c r="B14" s="79"/>
      <c r="C14" s="79"/>
      <c r="D14" s="88" t="s">
        <v>1174</v>
      </c>
      <c r="E14" s="89"/>
      <c r="F14" s="89">
        <f>+(8*3)+(4*5.4)</f>
        <v>45.6</v>
      </c>
      <c r="G14" s="89"/>
      <c r="H14" s="89">
        <v>1.55</v>
      </c>
      <c r="I14" s="90">
        <v>1</v>
      </c>
      <c r="J14" s="91">
        <f t="shared" si="0"/>
        <v>70.680000000000007</v>
      </c>
    </row>
    <row r="15" spans="1:10" ht="18" x14ac:dyDescent="0.3">
      <c r="A15" s="78"/>
      <c r="B15" s="79"/>
      <c r="C15" s="79"/>
      <c r="D15" s="88" t="s">
        <v>1173</v>
      </c>
      <c r="E15" s="89"/>
      <c r="F15" s="89">
        <v>0.76</v>
      </c>
      <c r="G15" s="89"/>
      <c r="H15" s="89">
        <v>0.56000000000000005</v>
      </c>
      <c r="I15" s="90">
        <v>54</v>
      </c>
      <c r="J15" s="91">
        <f t="shared" si="0"/>
        <v>22.982400000000002</v>
      </c>
    </row>
    <row r="16" spans="1:10" ht="18" x14ac:dyDescent="0.3">
      <c r="A16" s="78"/>
      <c r="B16" s="79"/>
      <c r="C16" s="79"/>
      <c r="D16" s="88" t="s">
        <v>1175</v>
      </c>
      <c r="E16" s="89"/>
      <c r="F16" s="89">
        <f>+(6*6)+(6*4.7)</f>
        <v>64.2</v>
      </c>
      <c r="G16" s="89"/>
      <c r="H16" s="89">
        <v>1.55</v>
      </c>
      <c r="I16" s="90">
        <v>2</v>
      </c>
      <c r="J16" s="91">
        <f t="shared" si="0"/>
        <v>199.02</v>
      </c>
    </row>
    <row r="17" spans="1:11" ht="18" x14ac:dyDescent="0.3">
      <c r="A17" s="78"/>
      <c r="B17" s="79"/>
      <c r="C17" s="79"/>
      <c r="D17" s="88" t="s">
        <v>1173</v>
      </c>
      <c r="E17" s="89"/>
      <c r="F17" s="89">
        <v>0.76</v>
      </c>
      <c r="G17" s="89"/>
      <c r="H17" s="89">
        <v>0.56000000000000005</v>
      </c>
      <c r="I17" s="90">
        <f>54*2</f>
        <v>108</v>
      </c>
      <c r="J17" s="91">
        <f t="shared" si="0"/>
        <v>45.964800000000004</v>
      </c>
    </row>
    <row r="18" spans="1:11" ht="18" x14ac:dyDescent="0.3">
      <c r="A18" s="78"/>
      <c r="B18" s="79"/>
      <c r="C18" s="79"/>
      <c r="D18" s="88" t="s">
        <v>1176</v>
      </c>
      <c r="E18" s="89"/>
      <c r="F18" s="89">
        <f>+(6*4.9)+(6*6)+(6*6)+(6*4.8)+(6*2.9)+(6*6)+(6*3.6)+(6*6)+(6*3.6)</f>
        <v>262.8</v>
      </c>
      <c r="G18" s="89"/>
      <c r="H18" s="89">
        <v>1.55</v>
      </c>
      <c r="I18" s="90">
        <v>2</v>
      </c>
      <c r="J18" s="91">
        <f t="shared" ref="J18:J46" si="1">+PRODUCT(E18:I18)</f>
        <v>814.68000000000006</v>
      </c>
    </row>
    <row r="19" spans="1:11" ht="18" x14ac:dyDescent="0.3">
      <c r="A19" s="78"/>
      <c r="B19" s="79"/>
      <c r="C19" s="79"/>
      <c r="D19" s="88" t="s">
        <v>1173</v>
      </c>
      <c r="E19" s="89"/>
      <c r="F19" s="89">
        <v>0.76</v>
      </c>
      <c r="G19" s="89"/>
      <c r="H19" s="89">
        <v>0.56000000000000005</v>
      </c>
      <c r="I19" s="90">
        <f>212*2</f>
        <v>424</v>
      </c>
      <c r="J19" s="91">
        <f t="shared" si="1"/>
        <v>180.45440000000002</v>
      </c>
    </row>
    <row r="20" spans="1:11" ht="18" x14ac:dyDescent="0.3">
      <c r="A20" s="78"/>
      <c r="B20" s="79"/>
      <c r="C20" s="79"/>
      <c r="D20" s="88" t="s">
        <v>1177</v>
      </c>
      <c r="E20" s="89"/>
      <c r="F20" s="89">
        <f>+(6*4.9)+(6*6)+(6*6)+(6*4.8)+(6*3.2)+(6*6)+(6*3.6)+(6*6)+(6*3.6)</f>
        <v>264.59999999999997</v>
      </c>
      <c r="G20" s="89"/>
      <c r="H20" s="89">
        <v>1.55</v>
      </c>
      <c r="I20" s="90">
        <v>1</v>
      </c>
      <c r="J20" s="91">
        <f t="shared" si="1"/>
        <v>410.12999999999994</v>
      </c>
    </row>
    <row r="21" spans="1:11" ht="18" x14ac:dyDescent="0.3">
      <c r="A21" s="78"/>
      <c r="B21" s="79"/>
      <c r="C21" s="79"/>
      <c r="D21" s="88" t="s">
        <v>1173</v>
      </c>
      <c r="E21" s="89"/>
      <c r="F21" s="89">
        <v>0.76</v>
      </c>
      <c r="G21" s="89"/>
      <c r="H21" s="89">
        <v>0.56000000000000005</v>
      </c>
      <c r="I21" s="90">
        <v>212</v>
      </c>
      <c r="J21" s="91">
        <f t="shared" si="1"/>
        <v>90.227200000000011</v>
      </c>
    </row>
    <row r="22" spans="1:11" ht="18" x14ac:dyDescent="0.3">
      <c r="A22" s="78"/>
      <c r="B22" s="79"/>
      <c r="C22" s="79"/>
      <c r="D22" s="88" t="s">
        <v>1178</v>
      </c>
      <c r="E22" s="89"/>
      <c r="F22" s="89">
        <f>+(4*5.8)+(4*6)+(6*6)+(6*4.8)+(6*2.9)+(4*6)+(4*3.6)+(4*6)+(4*4.4)</f>
        <v>209.4</v>
      </c>
      <c r="G22" s="89"/>
      <c r="H22" s="89">
        <v>1.55</v>
      </c>
      <c r="I22" s="90">
        <v>2</v>
      </c>
      <c r="J22" s="91">
        <f t="shared" si="1"/>
        <v>649.14</v>
      </c>
    </row>
    <row r="23" spans="1:11" ht="18" x14ac:dyDescent="0.3">
      <c r="A23" s="78"/>
      <c r="B23" s="79"/>
      <c r="C23" s="79"/>
      <c r="D23" s="88" t="s">
        <v>1179</v>
      </c>
      <c r="E23" s="89"/>
      <c r="F23" s="89">
        <f>0.44+0.34+0.16</f>
        <v>0.94000000000000006</v>
      </c>
      <c r="G23" s="89"/>
      <c r="H23" s="89">
        <v>0.56000000000000005</v>
      </c>
      <c r="I23" s="90">
        <f>2*182</f>
        <v>364</v>
      </c>
      <c r="J23" s="91">
        <f t="shared" si="1"/>
        <v>191.60960000000003</v>
      </c>
    </row>
    <row r="24" spans="1:11" ht="18" x14ac:dyDescent="0.3">
      <c r="A24" s="78"/>
      <c r="B24" s="79"/>
      <c r="C24" s="79"/>
      <c r="D24" s="88" t="s">
        <v>1180</v>
      </c>
      <c r="E24" s="89"/>
      <c r="F24" s="89">
        <f>+(4.9*4)+(4*6)+(6*6)+(6*4.8)+(6*3.2)+(4*6)+(4*3.6)+(4*6)+(4*3.6)</f>
        <v>204.4</v>
      </c>
      <c r="G24" s="89"/>
      <c r="H24" s="89">
        <v>1.55</v>
      </c>
      <c r="I24" s="90">
        <v>1</v>
      </c>
      <c r="J24" s="91">
        <f t="shared" si="1"/>
        <v>316.82</v>
      </c>
    </row>
    <row r="25" spans="1:11" ht="18" x14ac:dyDescent="0.3">
      <c r="A25" s="78"/>
      <c r="B25" s="79"/>
      <c r="C25" s="79"/>
      <c r="D25" s="88" t="s">
        <v>1179</v>
      </c>
      <c r="E25" s="89"/>
      <c r="F25" s="89">
        <v>0.94</v>
      </c>
      <c r="G25" s="89"/>
      <c r="H25" s="89">
        <v>0.56000000000000005</v>
      </c>
      <c r="I25" s="90">
        <v>182</v>
      </c>
      <c r="J25" s="91">
        <f t="shared" si="1"/>
        <v>95.8048</v>
      </c>
    </row>
    <row r="26" spans="1:11" ht="18" x14ac:dyDescent="0.3">
      <c r="A26" s="78"/>
      <c r="B26" s="79"/>
      <c r="C26" s="79"/>
      <c r="D26" s="88" t="s">
        <v>1181</v>
      </c>
      <c r="E26" s="89"/>
      <c r="F26" s="89">
        <f>+(4*3)+(4*6)+(4*4)</f>
        <v>52</v>
      </c>
      <c r="G26" s="89"/>
      <c r="H26" s="89">
        <v>1.55</v>
      </c>
      <c r="I26" s="90">
        <v>9</v>
      </c>
      <c r="J26" s="91">
        <f t="shared" si="1"/>
        <v>725.40000000000009</v>
      </c>
    </row>
    <row r="27" spans="1:11" ht="18" x14ac:dyDescent="0.3">
      <c r="A27" s="78"/>
      <c r="B27" s="79"/>
      <c r="C27" s="79"/>
      <c r="D27" s="88" t="s">
        <v>1179</v>
      </c>
      <c r="E27" s="89"/>
      <c r="F27" s="89">
        <v>0.94</v>
      </c>
      <c r="G27" s="89"/>
      <c r="H27" s="89">
        <v>0.56000000000000005</v>
      </c>
      <c r="I27" s="90">
        <f>48*9</f>
        <v>432</v>
      </c>
      <c r="J27" s="91">
        <f t="shared" si="1"/>
        <v>227.40479999999999</v>
      </c>
    </row>
    <row r="28" spans="1:11" ht="18" x14ac:dyDescent="0.3">
      <c r="A28" s="78"/>
      <c r="B28" s="79"/>
      <c r="C28" s="79"/>
      <c r="D28" s="88"/>
      <c r="E28" s="89"/>
      <c r="F28" s="89"/>
      <c r="G28" s="92"/>
      <c r="H28" s="92"/>
      <c r="I28" s="93"/>
      <c r="J28" s="91">
        <f t="shared" si="1"/>
        <v>0</v>
      </c>
    </row>
    <row r="29" spans="1:11" ht="18" x14ac:dyDescent="0.3">
      <c r="A29" s="78"/>
      <c r="B29" s="79"/>
      <c r="C29" s="79"/>
      <c r="D29" s="88"/>
      <c r="E29" s="89"/>
      <c r="F29" s="89"/>
      <c r="G29" s="89"/>
      <c r="H29" s="89"/>
      <c r="I29" s="90"/>
      <c r="J29" s="91">
        <f t="shared" si="1"/>
        <v>0</v>
      </c>
    </row>
    <row r="30" spans="1:11" ht="18" x14ac:dyDescent="0.3">
      <c r="A30" s="78"/>
      <c r="B30" s="79"/>
      <c r="C30" s="79"/>
      <c r="D30" s="88"/>
      <c r="E30" s="89"/>
      <c r="F30" s="89"/>
      <c r="G30" s="89"/>
      <c r="H30" s="89"/>
      <c r="I30" s="90"/>
      <c r="J30" s="91">
        <f t="shared" si="1"/>
        <v>0</v>
      </c>
      <c r="K30" t="s">
        <v>1084</v>
      </c>
    </row>
    <row r="31" spans="1:11" ht="18" x14ac:dyDescent="0.3">
      <c r="A31" s="78"/>
      <c r="B31" s="79"/>
      <c r="C31" s="79"/>
      <c r="D31" s="88"/>
      <c r="E31" s="89"/>
      <c r="F31" s="89"/>
      <c r="G31" s="89"/>
      <c r="H31" s="89"/>
      <c r="I31" s="90"/>
      <c r="J31" s="91">
        <f t="shared" si="1"/>
        <v>0</v>
      </c>
    </row>
    <row r="32" spans="1:11" ht="18" x14ac:dyDescent="0.3">
      <c r="A32" s="78"/>
      <c r="B32" s="79"/>
      <c r="C32" s="79"/>
      <c r="D32" s="94"/>
      <c r="E32" s="89"/>
      <c r="F32" s="89"/>
      <c r="G32" s="92"/>
      <c r="H32" s="89"/>
      <c r="I32" s="93"/>
      <c r="J32" s="91">
        <f t="shared" si="1"/>
        <v>0</v>
      </c>
    </row>
    <row r="33" spans="1:10" ht="18" x14ac:dyDescent="0.3">
      <c r="A33" s="78"/>
      <c r="B33" s="79"/>
      <c r="C33" s="79"/>
      <c r="D33" s="94"/>
      <c r="E33" s="89"/>
      <c r="F33" s="89"/>
      <c r="G33" s="92"/>
      <c r="H33" s="89"/>
      <c r="I33" s="93"/>
      <c r="J33" s="91">
        <f t="shared" si="1"/>
        <v>0</v>
      </c>
    </row>
    <row r="34" spans="1:10" ht="18" x14ac:dyDescent="0.3">
      <c r="A34" s="78"/>
      <c r="B34" s="79"/>
      <c r="C34" s="79"/>
      <c r="D34" s="94"/>
      <c r="E34" s="89"/>
      <c r="F34" s="89"/>
      <c r="G34" s="92"/>
      <c r="H34" s="89"/>
      <c r="I34" s="93"/>
      <c r="J34" s="91">
        <f t="shared" si="1"/>
        <v>0</v>
      </c>
    </row>
    <row r="35" spans="1:10" ht="18" x14ac:dyDescent="0.3">
      <c r="A35" s="78"/>
      <c r="B35" s="79"/>
      <c r="C35" s="79"/>
      <c r="D35" s="94"/>
      <c r="E35" s="89"/>
      <c r="F35" s="89"/>
      <c r="G35" s="92"/>
      <c r="H35" s="89"/>
      <c r="I35" s="93"/>
      <c r="J35" s="91">
        <f t="shared" si="1"/>
        <v>0</v>
      </c>
    </row>
    <row r="36" spans="1:10" ht="18" x14ac:dyDescent="0.3">
      <c r="A36" s="78"/>
      <c r="B36" s="79"/>
      <c r="C36" s="79"/>
      <c r="D36" s="94"/>
      <c r="E36" s="89"/>
      <c r="F36" s="89"/>
      <c r="G36" s="92"/>
      <c r="H36" s="89"/>
      <c r="I36" s="93"/>
      <c r="J36" s="91">
        <f t="shared" si="1"/>
        <v>0</v>
      </c>
    </row>
    <row r="37" spans="1:10" ht="18" x14ac:dyDescent="0.3">
      <c r="A37" s="78"/>
      <c r="B37" s="79"/>
      <c r="C37" s="79"/>
      <c r="D37" s="94"/>
      <c r="E37" s="89"/>
      <c r="F37" s="89"/>
      <c r="G37" s="92"/>
      <c r="H37" s="89"/>
      <c r="I37" s="93"/>
      <c r="J37" s="91">
        <f t="shared" si="1"/>
        <v>0</v>
      </c>
    </row>
    <row r="38" spans="1:10" ht="18" x14ac:dyDescent="0.3">
      <c r="A38" s="78"/>
      <c r="B38" s="79"/>
      <c r="C38" s="79"/>
      <c r="D38" s="94"/>
      <c r="E38" s="89"/>
      <c r="F38" s="89"/>
      <c r="G38" s="92"/>
      <c r="H38" s="89"/>
      <c r="I38" s="93"/>
      <c r="J38" s="91">
        <f t="shared" si="1"/>
        <v>0</v>
      </c>
    </row>
    <row r="39" spans="1:10" ht="18" x14ac:dyDescent="0.3">
      <c r="A39" s="78"/>
      <c r="B39" s="79"/>
      <c r="C39" s="79"/>
      <c r="D39" s="94"/>
      <c r="E39" s="89"/>
      <c r="F39" s="89"/>
      <c r="G39" s="92"/>
      <c r="H39" s="89"/>
      <c r="I39" s="93"/>
      <c r="J39" s="91">
        <f t="shared" si="1"/>
        <v>0</v>
      </c>
    </row>
    <row r="40" spans="1:10" ht="18" x14ac:dyDescent="0.3">
      <c r="A40" s="78"/>
      <c r="B40" s="79"/>
      <c r="C40" s="79"/>
      <c r="D40" s="94"/>
      <c r="E40" s="89"/>
      <c r="F40" s="89"/>
      <c r="G40" s="92"/>
      <c r="H40" s="89"/>
      <c r="I40" s="93"/>
      <c r="J40" s="91"/>
    </row>
    <row r="41" spans="1:10" ht="18" x14ac:dyDescent="0.3">
      <c r="A41" s="78"/>
      <c r="B41" s="79"/>
      <c r="C41" s="79"/>
      <c r="D41" s="94"/>
      <c r="E41" s="89"/>
      <c r="F41" s="89"/>
      <c r="G41" s="92"/>
      <c r="H41" s="89"/>
      <c r="I41" s="93"/>
      <c r="J41" s="91"/>
    </row>
    <row r="42" spans="1:10" ht="18" x14ac:dyDescent="0.3">
      <c r="A42" s="78"/>
      <c r="B42" s="79"/>
      <c r="C42" s="79"/>
      <c r="D42" s="94"/>
      <c r="E42" s="89"/>
      <c r="F42" s="89"/>
      <c r="G42" s="92"/>
      <c r="H42" s="89"/>
      <c r="I42" s="93"/>
      <c r="J42" s="91"/>
    </row>
    <row r="43" spans="1:10" ht="18" x14ac:dyDescent="0.3">
      <c r="A43" s="78"/>
      <c r="B43" s="79"/>
      <c r="C43" s="79"/>
      <c r="D43" s="94"/>
      <c r="E43" s="89"/>
      <c r="F43" s="89"/>
      <c r="G43" s="92"/>
      <c r="H43" s="89"/>
      <c r="I43" s="93"/>
      <c r="J43" s="91"/>
    </row>
    <row r="44" spans="1:10" ht="18" x14ac:dyDescent="0.3">
      <c r="A44" s="78"/>
      <c r="B44" s="79"/>
      <c r="C44" s="79"/>
      <c r="D44" s="94"/>
      <c r="E44" s="89"/>
      <c r="F44" s="89"/>
      <c r="G44" s="92"/>
      <c r="H44" s="89"/>
      <c r="I44" s="93"/>
      <c r="J44" s="91"/>
    </row>
    <row r="45" spans="1:10" ht="18" x14ac:dyDescent="0.3">
      <c r="A45" s="78"/>
      <c r="B45" s="79"/>
      <c r="C45" s="79"/>
      <c r="D45" s="95"/>
      <c r="E45" s="89"/>
      <c r="F45" s="89"/>
      <c r="G45" s="92"/>
      <c r="H45" s="89"/>
      <c r="I45" s="93"/>
      <c r="J45" s="91">
        <f t="shared" si="1"/>
        <v>0</v>
      </c>
    </row>
    <row r="46" spans="1:10" ht="18.75" thickBot="1" x14ac:dyDescent="0.35">
      <c r="A46" s="78"/>
      <c r="B46" s="79"/>
      <c r="C46" s="79"/>
      <c r="D46" s="96"/>
      <c r="E46" s="97"/>
      <c r="F46" s="97"/>
      <c r="G46" s="98"/>
      <c r="H46" s="97"/>
      <c r="I46" s="99"/>
      <c r="J46" s="100">
        <f t="shared" si="1"/>
        <v>0</v>
      </c>
    </row>
    <row r="47" spans="1:10" ht="21" thickBot="1" x14ac:dyDescent="0.35">
      <c r="A47" s="78"/>
      <c r="B47" s="79"/>
      <c r="C47" s="79"/>
      <c r="D47" s="933" t="s">
        <v>10</v>
      </c>
      <c r="E47" s="934"/>
      <c r="F47" s="934"/>
      <c r="G47" s="934"/>
      <c r="H47" s="934"/>
      <c r="I47" s="935"/>
      <c r="J47" s="102">
        <f>ROUND(SUM(J8:J46),2)</f>
        <v>8091.81</v>
      </c>
    </row>
    <row r="48" spans="1:10" ht="21" thickBot="1" x14ac:dyDescent="0.35">
      <c r="A48" s="78"/>
      <c r="B48" s="79"/>
      <c r="C48" s="79"/>
      <c r="D48" s="933" t="s">
        <v>1127</v>
      </c>
      <c r="E48" s="934"/>
      <c r="F48" s="934"/>
      <c r="G48" s="934"/>
      <c r="H48" s="934"/>
      <c r="I48" s="935"/>
      <c r="J48" s="103"/>
    </row>
    <row r="49" spans="1:10" ht="21" thickBot="1" x14ac:dyDescent="0.35">
      <c r="A49" s="78"/>
      <c r="B49" s="79"/>
      <c r="C49" s="101"/>
      <c r="D49" s="933" t="s">
        <v>1128</v>
      </c>
      <c r="E49" s="934"/>
      <c r="F49" s="934"/>
      <c r="G49" s="934"/>
      <c r="H49" s="934"/>
      <c r="I49" s="935"/>
      <c r="J49" s="104">
        <f>+J47-J48</f>
        <v>8091.81</v>
      </c>
    </row>
    <row r="50" spans="1:10" ht="21" thickBot="1" x14ac:dyDescent="0.35">
      <c r="A50" s="936" t="s">
        <v>1129</v>
      </c>
      <c r="B50" s="937"/>
      <c r="C50" s="938"/>
      <c r="D50" s="939" t="s">
        <v>1130</v>
      </c>
      <c r="E50" s="940"/>
      <c r="F50" s="940"/>
      <c r="G50" s="940"/>
      <c r="H50" s="940"/>
      <c r="I50" s="940"/>
      <c r="J50" s="941"/>
    </row>
    <row r="51" spans="1:10" ht="38.25" customHeight="1" thickBot="1" x14ac:dyDescent="0.35">
      <c r="A51" s="942" t="str">
        <f>PPTO!G3</f>
        <v>JUNIO DE 2026</v>
      </c>
      <c r="B51" s="943"/>
      <c r="C51" s="944"/>
      <c r="D51" s="921"/>
      <c r="E51" s="922"/>
      <c r="F51" s="922"/>
      <c r="G51" s="922"/>
      <c r="H51" s="922"/>
      <c r="I51" s="922"/>
      <c r="J51" s="923"/>
    </row>
    <row r="52" spans="1:10" ht="19.5" thickBot="1" x14ac:dyDescent="0.35">
      <c r="A52" s="918"/>
      <c r="B52" s="919"/>
      <c r="C52" s="920"/>
      <c r="D52" s="921" t="s">
        <v>1131</v>
      </c>
      <c r="E52" s="922"/>
      <c r="F52" s="922"/>
      <c r="G52" s="922"/>
      <c r="H52" s="922"/>
      <c r="I52" s="922"/>
      <c r="J52" s="923"/>
    </row>
  </sheetData>
  <mergeCells count="19">
    <mergeCell ref="A51:C51"/>
    <mergeCell ref="D51:J51"/>
    <mergeCell ref="A52:C52"/>
    <mergeCell ref="D52:J52"/>
    <mergeCell ref="D47:I47"/>
    <mergeCell ref="D48:I48"/>
    <mergeCell ref="D49:I49"/>
    <mergeCell ref="A50:C50"/>
    <mergeCell ref="D50:J50"/>
    <mergeCell ref="D6:D7"/>
    <mergeCell ref="E6:G6"/>
    <mergeCell ref="I6:I7"/>
    <mergeCell ref="J6:J7"/>
    <mergeCell ref="A2:J2"/>
    <mergeCell ref="A3:J3"/>
    <mergeCell ref="A4:J4"/>
    <mergeCell ref="C5:D5"/>
    <mergeCell ref="G5:H5"/>
    <mergeCell ref="I5:J5"/>
  </mergeCells>
  <conditionalFormatting sqref="J8:J46">
    <cfRule type="cellIs" dxfId="54" priority="2" operator="equal">
      <formula>0</formula>
    </cfRule>
  </conditionalFormatting>
  <pageMargins left="0.7" right="0.7" top="0.75" bottom="0.75" header="0.3" footer="0.3"/>
  <pageSetup scale="50" orientation="landscape"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00EBB5-7D60-4307-9737-CFBA293E4D40}">
  <sheetPr>
    <tabColor rgb="FF92D050"/>
    <pageSetUpPr fitToPage="1"/>
  </sheetPr>
  <dimension ref="A1:M58"/>
  <sheetViews>
    <sheetView showOutlineSymbols="0" view="pageBreakPreview" topLeftCell="A5" zoomScale="60" zoomScaleNormal="70" workbookViewId="0">
      <selection activeCell="C45" sqref="C45"/>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05.75" customHeight="1" thickBot="1" x14ac:dyDescent="0.35">
      <c r="A5" s="72" t="s">
        <v>5</v>
      </c>
      <c r="B5" s="73">
        <f>PPTO!B31</f>
        <v>4.0999999999999996</v>
      </c>
      <c r="C5" s="913" t="str">
        <f>+VLOOKUP(B5,PPTO!B8:G94,2,FALSE)</f>
        <v>Construcción de mampostería en ladrillo a la vista, de 10x15x30cm. Espesor de 15 cm. Incluye el suministro y transporte del ladrillo, el mortero de pega 1:4 espesor max=0.01 m y todos los demás elementos necesarios para su correcta construcción y funcionamiento.</v>
      </c>
      <c r="D5" s="914"/>
      <c r="E5" s="72" t="s">
        <v>7</v>
      </c>
      <c r="F5" s="74" t="str">
        <f>+VLOOKUP(B5,PPTO!B8:G94,3,FALSE)</f>
        <v>M2</v>
      </c>
      <c r="G5" s="915" t="s">
        <v>1120</v>
      </c>
      <c r="H5" s="915"/>
      <c r="I5" s="916">
        <f>+VLOOKUP(B5,PPTO!B8:G94,5,FALSE)</f>
        <v>187443</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8" x14ac:dyDescent="0.3">
      <c r="A8" s="78"/>
      <c r="B8" s="79"/>
      <c r="C8" s="79"/>
      <c r="D8" s="88" t="s">
        <v>1148</v>
      </c>
      <c r="E8" s="89"/>
      <c r="F8" s="89">
        <v>9.58</v>
      </c>
      <c r="G8" s="89">
        <v>2.7</v>
      </c>
      <c r="H8" s="89"/>
      <c r="I8" s="106">
        <v>9</v>
      </c>
      <c r="J8" s="87">
        <f>+PRODUCT(E8:I8)</f>
        <v>232.79400000000004</v>
      </c>
    </row>
    <row r="9" spans="1:10" ht="18" x14ac:dyDescent="0.3">
      <c r="A9" s="78"/>
      <c r="B9" s="79"/>
      <c r="C9" s="79"/>
      <c r="D9" s="88" t="s">
        <v>1149</v>
      </c>
      <c r="E9" s="89"/>
      <c r="F9" s="89">
        <v>17.72</v>
      </c>
      <c r="G9" s="89">
        <v>2.7</v>
      </c>
      <c r="H9" s="89"/>
      <c r="I9" s="106">
        <v>2</v>
      </c>
      <c r="J9" s="91">
        <f t="shared" ref="J9:J52" si="0">+PRODUCT(E9:I9)</f>
        <v>95.688000000000002</v>
      </c>
    </row>
    <row r="10" spans="1:10" ht="18" x14ac:dyDescent="0.3">
      <c r="A10" s="78"/>
      <c r="B10" s="79"/>
      <c r="C10" s="79"/>
      <c r="D10" s="88" t="s">
        <v>1150</v>
      </c>
      <c r="E10" s="89"/>
      <c r="F10" s="89">
        <v>3.1</v>
      </c>
      <c r="G10" s="89">
        <v>2.7</v>
      </c>
      <c r="H10" s="89"/>
      <c r="I10" s="106">
        <v>1</v>
      </c>
      <c r="J10" s="91">
        <f t="shared" si="0"/>
        <v>8.370000000000001</v>
      </c>
    </row>
    <row r="11" spans="1:10" ht="18" x14ac:dyDescent="0.3">
      <c r="A11" s="78"/>
      <c r="B11" s="79"/>
      <c r="C11" s="79"/>
      <c r="D11" s="88" t="s">
        <v>1151</v>
      </c>
      <c r="E11" s="89"/>
      <c r="F11" s="89">
        <v>1.9</v>
      </c>
      <c r="G11" s="89">
        <v>2.7</v>
      </c>
      <c r="H11" s="89"/>
      <c r="I11" s="106">
        <v>1</v>
      </c>
      <c r="J11" s="91">
        <f t="shared" si="0"/>
        <v>5.13</v>
      </c>
    </row>
    <row r="12" spans="1:10" ht="18" x14ac:dyDescent="0.3">
      <c r="A12" s="78"/>
      <c r="B12" s="79"/>
      <c r="C12" s="79"/>
      <c r="D12" s="88" t="s">
        <v>1152</v>
      </c>
      <c r="E12" s="89"/>
      <c r="F12" s="89">
        <v>4.12</v>
      </c>
      <c r="G12" s="89">
        <v>2.7</v>
      </c>
      <c r="H12" s="89"/>
      <c r="I12" s="106">
        <v>1</v>
      </c>
      <c r="J12" s="91">
        <f t="shared" si="0"/>
        <v>11.124000000000001</v>
      </c>
    </row>
    <row r="13" spans="1:10" ht="18" x14ac:dyDescent="0.3">
      <c r="A13" s="78"/>
      <c r="B13" s="79"/>
      <c r="C13" s="79"/>
      <c r="D13" s="88" t="s">
        <v>1153</v>
      </c>
      <c r="E13" s="89"/>
      <c r="F13" s="89">
        <v>2.33</v>
      </c>
      <c r="G13" s="89">
        <v>2.7</v>
      </c>
      <c r="H13" s="89"/>
      <c r="I13" s="106">
        <v>1</v>
      </c>
      <c r="J13" s="91">
        <f t="shared" si="0"/>
        <v>6.2910000000000004</v>
      </c>
    </row>
    <row r="14" spans="1:10" ht="18" x14ac:dyDescent="0.3">
      <c r="A14" s="78"/>
      <c r="B14" s="79"/>
      <c r="C14" s="79"/>
      <c r="D14" s="88" t="s">
        <v>1154</v>
      </c>
      <c r="E14" s="89"/>
      <c r="F14" s="89">
        <v>0.45</v>
      </c>
      <c r="G14" s="89">
        <v>2.7</v>
      </c>
      <c r="H14" s="89"/>
      <c r="I14" s="106">
        <v>1</v>
      </c>
      <c r="J14" s="91">
        <f t="shared" si="0"/>
        <v>1.2150000000000001</v>
      </c>
    </row>
    <row r="15" spans="1:10" ht="18" x14ac:dyDescent="0.3">
      <c r="A15" s="78"/>
      <c r="B15" s="79"/>
      <c r="C15" s="79"/>
      <c r="D15" s="88" t="s">
        <v>1155</v>
      </c>
      <c r="E15" s="89"/>
      <c r="F15" s="89">
        <v>12.08</v>
      </c>
      <c r="G15" s="89">
        <v>2.7</v>
      </c>
      <c r="H15" s="89"/>
      <c r="I15" s="106">
        <v>2</v>
      </c>
      <c r="J15" s="91">
        <f t="shared" si="0"/>
        <v>65.231999999999999</v>
      </c>
    </row>
    <row r="16" spans="1:10" ht="18" x14ac:dyDescent="0.3">
      <c r="A16" s="78"/>
      <c r="B16" s="79"/>
      <c r="C16" s="79"/>
      <c r="D16" s="88" t="s">
        <v>1156</v>
      </c>
      <c r="E16" s="89"/>
      <c r="F16" s="89">
        <v>4.08</v>
      </c>
      <c r="G16" s="89">
        <v>2.7</v>
      </c>
      <c r="H16" s="89"/>
      <c r="I16" s="106">
        <v>1</v>
      </c>
      <c r="J16" s="91">
        <f t="shared" si="0"/>
        <v>11.016000000000002</v>
      </c>
    </row>
    <row r="17" spans="1:10" ht="18" x14ac:dyDescent="0.3">
      <c r="A17" s="78"/>
      <c r="B17" s="79"/>
      <c r="C17" s="79"/>
      <c r="D17" s="88" t="s">
        <v>1157</v>
      </c>
      <c r="E17" s="89"/>
      <c r="F17" s="89">
        <v>1.77</v>
      </c>
      <c r="G17" s="89">
        <v>2.7</v>
      </c>
      <c r="H17" s="89"/>
      <c r="I17" s="106">
        <v>1</v>
      </c>
      <c r="J17" s="91">
        <f t="shared" si="0"/>
        <v>4.7790000000000008</v>
      </c>
    </row>
    <row r="18" spans="1:10" ht="18" x14ac:dyDescent="0.3">
      <c r="A18" s="78"/>
      <c r="B18" s="79"/>
      <c r="C18" s="79"/>
      <c r="D18" s="88" t="s">
        <v>1158</v>
      </c>
      <c r="E18" s="89"/>
      <c r="F18" s="89">
        <v>3.12</v>
      </c>
      <c r="G18" s="89">
        <v>2.7</v>
      </c>
      <c r="H18" s="89"/>
      <c r="I18" s="106">
        <v>1</v>
      </c>
      <c r="J18" s="91">
        <f t="shared" si="0"/>
        <v>8.4240000000000013</v>
      </c>
    </row>
    <row r="19" spans="1:10" ht="18" x14ac:dyDescent="0.3">
      <c r="A19" s="78"/>
      <c r="B19" s="79"/>
      <c r="C19" s="79"/>
      <c r="D19" s="88" t="s">
        <v>1159</v>
      </c>
      <c r="E19" s="89"/>
      <c r="F19" s="89">
        <v>5.7</v>
      </c>
      <c r="G19" s="89">
        <v>2.7</v>
      </c>
      <c r="H19" s="89"/>
      <c r="I19" s="106">
        <v>1</v>
      </c>
      <c r="J19" s="91">
        <f t="shared" si="0"/>
        <v>15.390000000000002</v>
      </c>
    </row>
    <row r="20" spans="1:10" ht="18" x14ac:dyDescent="0.3">
      <c r="A20" s="78"/>
      <c r="B20" s="79"/>
      <c r="C20" s="79"/>
      <c r="D20" s="88" t="s">
        <v>1160</v>
      </c>
      <c r="E20" s="89"/>
      <c r="F20" s="89">
        <v>2.4300000000000002</v>
      </c>
      <c r="G20" s="89">
        <v>2.7</v>
      </c>
      <c r="H20" s="89"/>
      <c r="I20" s="106">
        <v>1</v>
      </c>
      <c r="J20" s="91">
        <f t="shared" si="0"/>
        <v>6.5610000000000008</v>
      </c>
    </row>
    <row r="21" spans="1:10" ht="18" x14ac:dyDescent="0.3">
      <c r="A21" s="78"/>
      <c r="B21" s="79"/>
      <c r="C21" s="79"/>
      <c r="D21" s="88" t="s">
        <v>1161</v>
      </c>
      <c r="E21" s="89"/>
      <c r="F21" s="89">
        <v>1.0900000000000001</v>
      </c>
      <c r="G21" s="89">
        <v>2.7</v>
      </c>
      <c r="H21" s="89"/>
      <c r="I21" s="106">
        <v>1</v>
      </c>
      <c r="J21" s="91">
        <f t="shared" si="0"/>
        <v>2.9430000000000005</v>
      </c>
    </row>
    <row r="22" spans="1:10" ht="18" x14ac:dyDescent="0.3">
      <c r="A22" s="78"/>
      <c r="B22" s="79"/>
      <c r="C22" s="79"/>
      <c r="D22" s="88" t="s">
        <v>1162</v>
      </c>
      <c r="E22" s="89"/>
      <c r="F22" s="89">
        <v>3.89</v>
      </c>
      <c r="G22" s="89">
        <v>2.7</v>
      </c>
      <c r="H22" s="89"/>
      <c r="I22" s="106">
        <v>1</v>
      </c>
      <c r="J22" s="91">
        <f t="shared" si="0"/>
        <v>10.503000000000002</v>
      </c>
    </row>
    <row r="23" spans="1:10" ht="18" x14ac:dyDescent="0.3">
      <c r="A23" s="78"/>
      <c r="B23" s="79"/>
      <c r="C23" s="79"/>
      <c r="D23" s="88"/>
      <c r="E23" s="89"/>
      <c r="F23" s="89"/>
      <c r="G23" s="89"/>
      <c r="H23" s="89"/>
      <c r="I23" s="90"/>
      <c r="J23" s="91"/>
    </row>
    <row r="24" spans="1:10" ht="18" x14ac:dyDescent="0.3">
      <c r="A24" s="78"/>
      <c r="B24" s="79"/>
      <c r="C24" s="79"/>
      <c r="D24" s="88"/>
      <c r="E24" s="89"/>
      <c r="F24" s="89"/>
      <c r="G24" s="89"/>
      <c r="H24" s="89"/>
      <c r="I24" s="90"/>
      <c r="J24" s="91"/>
    </row>
    <row r="25" spans="1:10" ht="18" x14ac:dyDescent="0.3">
      <c r="A25" s="78"/>
      <c r="B25" s="79"/>
      <c r="C25" s="79"/>
      <c r="D25" s="88"/>
      <c r="E25" s="89"/>
      <c r="F25" s="89"/>
      <c r="G25" s="89"/>
      <c r="H25" s="89"/>
      <c r="I25" s="90"/>
      <c r="J25" s="91"/>
    </row>
    <row r="26" spans="1:10" ht="18" x14ac:dyDescent="0.3">
      <c r="A26" s="78"/>
      <c r="B26" s="79"/>
      <c r="C26" s="79"/>
      <c r="D26" s="88"/>
      <c r="E26" s="89"/>
      <c r="F26" s="89"/>
      <c r="G26" s="89"/>
      <c r="H26" s="89"/>
      <c r="I26" s="90"/>
      <c r="J26" s="91"/>
    </row>
    <row r="27" spans="1:10" ht="18" x14ac:dyDescent="0.3">
      <c r="A27" s="78"/>
      <c r="B27" s="79"/>
      <c r="C27" s="79"/>
      <c r="D27" s="88"/>
      <c r="E27" s="89"/>
      <c r="F27" s="89"/>
      <c r="G27" s="89"/>
      <c r="H27" s="89"/>
      <c r="I27" s="90"/>
      <c r="J27" s="91"/>
    </row>
    <row r="28" spans="1:10" ht="18" x14ac:dyDescent="0.3">
      <c r="A28" s="78"/>
      <c r="B28" s="79"/>
      <c r="C28" s="79"/>
      <c r="D28" s="88"/>
      <c r="E28" s="89"/>
      <c r="F28" s="89"/>
      <c r="G28" s="92"/>
      <c r="H28" s="92"/>
      <c r="I28" s="93"/>
      <c r="J28" s="91"/>
    </row>
    <row r="29" spans="1:10" ht="18" x14ac:dyDescent="0.3">
      <c r="A29" s="78"/>
      <c r="B29" s="79"/>
      <c r="C29" s="79"/>
      <c r="D29" s="88"/>
      <c r="E29" s="89"/>
      <c r="F29" s="89"/>
      <c r="G29" s="89"/>
      <c r="H29" s="89"/>
      <c r="I29" s="90"/>
      <c r="J29" s="91"/>
    </row>
    <row r="30" spans="1:10" ht="18" x14ac:dyDescent="0.3">
      <c r="A30" s="78"/>
      <c r="B30" s="79"/>
      <c r="C30" s="79"/>
      <c r="D30" s="88"/>
      <c r="E30" s="89"/>
      <c r="F30" s="89"/>
      <c r="G30" s="89"/>
      <c r="H30" s="89"/>
      <c r="I30" s="90"/>
      <c r="J30" s="91"/>
    </row>
    <row r="31" spans="1:10" ht="18" x14ac:dyDescent="0.3">
      <c r="A31" s="78"/>
      <c r="B31" s="79"/>
      <c r="C31" s="79"/>
      <c r="D31" s="88"/>
      <c r="E31" s="89"/>
      <c r="F31" s="89"/>
      <c r="G31" s="89"/>
      <c r="H31" s="89"/>
      <c r="I31" s="90"/>
      <c r="J31" s="91"/>
    </row>
    <row r="32" spans="1:10" ht="18" x14ac:dyDescent="0.3">
      <c r="A32" s="78"/>
      <c r="B32" s="79"/>
      <c r="C32" s="79"/>
      <c r="D32" s="94"/>
      <c r="E32" s="89"/>
      <c r="F32" s="89"/>
      <c r="G32" s="89"/>
      <c r="H32" s="89"/>
      <c r="I32" s="93"/>
      <c r="J32" s="91"/>
    </row>
    <row r="33" spans="1:10" ht="18" x14ac:dyDescent="0.3">
      <c r="A33" s="78"/>
      <c r="B33" s="79"/>
      <c r="C33" s="79"/>
      <c r="D33" s="94"/>
      <c r="E33" s="89"/>
      <c r="F33" s="89"/>
      <c r="G33" s="89"/>
      <c r="H33" s="89"/>
      <c r="I33" s="93"/>
      <c r="J33" s="91"/>
    </row>
    <row r="34" spans="1:10" ht="18" x14ac:dyDescent="0.3">
      <c r="A34" s="78"/>
      <c r="B34" s="79"/>
      <c r="C34" s="79"/>
      <c r="D34" s="94"/>
      <c r="E34" s="89"/>
      <c r="F34" s="89"/>
      <c r="G34" s="89"/>
      <c r="H34" s="89"/>
      <c r="I34" s="93"/>
      <c r="J34" s="91"/>
    </row>
    <row r="35" spans="1:10" ht="18" x14ac:dyDescent="0.3">
      <c r="A35" s="78"/>
      <c r="B35" s="79"/>
      <c r="C35" s="79"/>
      <c r="D35" s="94"/>
      <c r="E35" s="89"/>
      <c r="F35" s="89"/>
      <c r="G35" s="89"/>
      <c r="H35" s="89"/>
      <c r="I35" s="93"/>
      <c r="J35" s="91"/>
    </row>
    <row r="36" spans="1:10" ht="18" x14ac:dyDescent="0.3">
      <c r="A36" s="78"/>
      <c r="B36" s="79"/>
      <c r="C36" s="79"/>
      <c r="D36" s="94"/>
      <c r="E36" s="89"/>
      <c r="F36" s="89"/>
      <c r="G36" s="89"/>
      <c r="H36" s="89"/>
      <c r="I36" s="93"/>
      <c r="J36" s="91"/>
    </row>
    <row r="37" spans="1:10" ht="18" x14ac:dyDescent="0.3">
      <c r="A37" s="78"/>
      <c r="B37" s="79"/>
      <c r="C37" s="79"/>
      <c r="D37" s="94"/>
      <c r="E37" s="89"/>
      <c r="F37" s="89"/>
      <c r="G37" s="89"/>
      <c r="H37" s="89"/>
      <c r="I37" s="93"/>
      <c r="J37" s="91"/>
    </row>
    <row r="38" spans="1:10" ht="18" x14ac:dyDescent="0.3">
      <c r="A38" s="78"/>
      <c r="B38" s="79"/>
      <c r="C38" s="79"/>
      <c r="D38" s="94"/>
      <c r="E38" s="89"/>
      <c r="F38" s="89"/>
      <c r="G38" s="89"/>
      <c r="H38" s="89"/>
      <c r="I38" s="93"/>
      <c r="J38" s="91"/>
    </row>
    <row r="39" spans="1:10" ht="18" x14ac:dyDescent="0.3">
      <c r="A39" s="78"/>
      <c r="B39" s="79"/>
      <c r="C39" s="79"/>
      <c r="D39" s="94"/>
      <c r="E39" s="89"/>
      <c r="F39" s="89"/>
      <c r="G39" s="89"/>
      <c r="H39" s="89"/>
      <c r="I39" s="93"/>
      <c r="J39" s="91"/>
    </row>
    <row r="40" spans="1:10" ht="18" x14ac:dyDescent="0.3">
      <c r="A40" s="78"/>
      <c r="B40" s="79"/>
      <c r="C40" s="79"/>
      <c r="D40" s="94"/>
      <c r="E40" s="89"/>
      <c r="F40" s="89"/>
      <c r="G40" s="89"/>
      <c r="H40" s="89"/>
      <c r="I40" s="93"/>
      <c r="J40" s="91"/>
    </row>
    <row r="41" spans="1:10" ht="18" x14ac:dyDescent="0.3">
      <c r="A41" s="78"/>
      <c r="B41" s="79"/>
      <c r="C41" s="79"/>
      <c r="D41" s="94"/>
      <c r="E41" s="89"/>
      <c r="F41" s="89"/>
      <c r="G41" s="89"/>
      <c r="H41" s="89"/>
      <c r="I41" s="93"/>
      <c r="J41" s="91"/>
    </row>
    <row r="42" spans="1:10" ht="18" x14ac:dyDescent="0.3">
      <c r="A42" s="78"/>
      <c r="B42" s="79"/>
      <c r="C42" s="79"/>
      <c r="D42" s="94"/>
      <c r="E42" s="89"/>
      <c r="F42" s="89"/>
      <c r="G42" s="89"/>
      <c r="H42" s="89"/>
      <c r="I42" s="93"/>
      <c r="J42" s="91"/>
    </row>
    <row r="43" spans="1:10" ht="18" x14ac:dyDescent="0.3">
      <c r="A43" s="78"/>
      <c r="B43" s="79"/>
      <c r="C43" s="79"/>
      <c r="D43" s="94"/>
      <c r="E43" s="89"/>
      <c r="F43" s="89"/>
      <c r="G43" s="89"/>
      <c r="H43" s="89"/>
      <c r="I43" s="93"/>
      <c r="J43" s="91"/>
    </row>
    <row r="44" spans="1:10" ht="18" x14ac:dyDescent="0.3">
      <c r="A44" s="78"/>
      <c r="B44" s="79"/>
      <c r="C44" s="79"/>
      <c r="D44" s="94"/>
      <c r="E44" s="89"/>
      <c r="F44" s="89"/>
      <c r="G44" s="89"/>
      <c r="H44" s="89"/>
      <c r="I44" s="93"/>
      <c r="J44" s="91"/>
    </row>
    <row r="45" spans="1:10" ht="18" x14ac:dyDescent="0.3">
      <c r="A45" s="78"/>
      <c r="B45" s="79"/>
      <c r="C45" s="79"/>
      <c r="D45" s="94"/>
      <c r="E45" s="89"/>
      <c r="F45" s="89"/>
      <c r="G45" s="89"/>
      <c r="H45" s="89"/>
      <c r="I45" s="93"/>
      <c r="J45" s="91"/>
    </row>
    <row r="46" spans="1:10" ht="18" x14ac:dyDescent="0.3">
      <c r="A46" s="78"/>
      <c r="B46" s="79"/>
      <c r="C46" s="79"/>
      <c r="D46" s="94"/>
      <c r="E46" s="89"/>
      <c r="F46" s="89"/>
      <c r="G46" s="89"/>
      <c r="H46" s="89"/>
      <c r="I46" s="93"/>
      <c r="J46" s="91"/>
    </row>
    <row r="47" spans="1:10" ht="18" x14ac:dyDescent="0.3">
      <c r="A47" s="78"/>
      <c r="B47" s="79"/>
      <c r="C47" s="79"/>
      <c r="D47" s="94"/>
      <c r="E47" s="89"/>
      <c r="F47" s="89"/>
      <c r="G47" s="89"/>
      <c r="H47" s="89"/>
      <c r="I47" s="93"/>
      <c r="J47" s="91"/>
    </row>
    <row r="48" spans="1:10" ht="18" x14ac:dyDescent="0.3">
      <c r="A48" s="78"/>
      <c r="B48" s="79"/>
      <c r="C48" s="79"/>
      <c r="D48" s="94"/>
      <c r="E48" s="89"/>
      <c r="F48" s="89"/>
      <c r="G48" s="89"/>
      <c r="H48" s="89"/>
      <c r="I48" s="93"/>
      <c r="J48" s="91"/>
    </row>
    <row r="49" spans="1:13" ht="18" x14ac:dyDescent="0.3">
      <c r="A49" s="78"/>
      <c r="B49" s="79"/>
      <c r="C49" s="79"/>
      <c r="D49" s="94"/>
      <c r="E49" s="89"/>
      <c r="F49" s="89"/>
      <c r="G49" s="89"/>
      <c r="H49" s="89"/>
      <c r="I49" s="93"/>
      <c r="J49" s="91"/>
    </row>
    <row r="50" spans="1:13" ht="18" x14ac:dyDescent="0.3">
      <c r="A50" s="78"/>
      <c r="B50" s="79"/>
      <c r="C50" s="79"/>
      <c r="D50" s="94"/>
      <c r="E50" s="89"/>
      <c r="F50" s="89"/>
      <c r="G50" s="89"/>
      <c r="H50" s="89"/>
      <c r="I50" s="93"/>
      <c r="J50" s="91"/>
    </row>
    <row r="51" spans="1:13" ht="18" x14ac:dyDescent="0.3">
      <c r="A51" s="78"/>
      <c r="B51" s="79"/>
      <c r="C51" s="79"/>
      <c r="D51" s="95"/>
      <c r="E51" s="89"/>
      <c r="F51" s="89"/>
      <c r="G51" s="89"/>
      <c r="H51" s="89"/>
      <c r="I51" s="93"/>
      <c r="J51" s="91"/>
    </row>
    <row r="52" spans="1:13" ht="18.75" thickBot="1" x14ac:dyDescent="0.35">
      <c r="A52" s="78"/>
      <c r="B52" s="79"/>
      <c r="C52" s="79"/>
      <c r="D52" s="96"/>
      <c r="E52" s="97"/>
      <c r="F52" s="97"/>
      <c r="G52" s="97"/>
      <c r="H52" s="97"/>
      <c r="I52" s="99"/>
      <c r="J52" s="91">
        <f t="shared" si="0"/>
        <v>0</v>
      </c>
      <c r="M52" s="105"/>
    </row>
    <row r="53" spans="1:13" ht="21" thickBot="1" x14ac:dyDescent="0.35">
      <c r="A53" s="78"/>
      <c r="B53" s="79"/>
      <c r="C53" s="79"/>
      <c r="D53" s="933" t="s">
        <v>10</v>
      </c>
      <c r="E53" s="934"/>
      <c r="F53" s="934"/>
      <c r="G53" s="934"/>
      <c r="H53" s="934"/>
      <c r="I53" s="935"/>
      <c r="J53" s="102">
        <f>ROUND(SUM(J8:J52),2)</f>
        <v>485.46</v>
      </c>
    </row>
    <row r="54" spans="1:13" ht="21" thickBot="1" x14ac:dyDescent="0.35">
      <c r="A54" s="78"/>
      <c r="B54" s="79"/>
      <c r="C54" s="79"/>
      <c r="D54" s="933" t="s">
        <v>1127</v>
      </c>
      <c r="E54" s="934"/>
      <c r="F54" s="934"/>
      <c r="G54" s="934"/>
      <c r="H54" s="934"/>
      <c r="I54" s="935"/>
      <c r="J54" s="103"/>
    </row>
    <row r="55" spans="1:13" ht="21" thickBot="1" x14ac:dyDescent="0.35">
      <c r="A55" s="78"/>
      <c r="B55" s="79"/>
      <c r="C55" s="101"/>
      <c r="D55" s="933" t="s">
        <v>1128</v>
      </c>
      <c r="E55" s="934"/>
      <c r="F55" s="934"/>
      <c r="G55" s="934"/>
      <c r="H55" s="934"/>
      <c r="I55" s="935"/>
      <c r="J55" s="104">
        <f>+J53-J54</f>
        <v>485.46</v>
      </c>
    </row>
    <row r="56" spans="1:13" ht="21" thickBot="1" x14ac:dyDescent="0.35">
      <c r="A56" s="936" t="s">
        <v>1129</v>
      </c>
      <c r="B56" s="937"/>
      <c r="C56" s="938"/>
      <c r="D56" s="939" t="s">
        <v>1130</v>
      </c>
      <c r="E56" s="940"/>
      <c r="F56" s="940"/>
      <c r="G56" s="940"/>
      <c r="H56" s="940"/>
      <c r="I56" s="940"/>
      <c r="J56" s="941"/>
    </row>
    <row r="57" spans="1:13" ht="38.25" customHeight="1" thickBot="1" x14ac:dyDescent="0.35">
      <c r="A57" s="942" t="str">
        <f>PPTO!G3</f>
        <v>JUNIO DE 2026</v>
      </c>
      <c r="B57" s="943"/>
      <c r="C57" s="944"/>
      <c r="D57" s="921"/>
      <c r="E57" s="922"/>
      <c r="F57" s="922"/>
      <c r="G57" s="922"/>
      <c r="H57" s="922"/>
      <c r="I57" s="922"/>
      <c r="J57" s="923"/>
    </row>
    <row r="58" spans="1:13" ht="19.5" thickBot="1" x14ac:dyDescent="0.35">
      <c r="A58" s="918"/>
      <c r="B58" s="919"/>
      <c r="C58" s="920"/>
      <c r="D58" s="921" t="s">
        <v>1131</v>
      </c>
      <c r="E58" s="922"/>
      <c r="F58" s="922"/>
      <c r="G58" s="922"/>
      <c r="H58" s="922"/>
      <c r="I58" s="922"/>
      <c r="J58" s="923"/>
    </row>
  </sheetData>
  <mergeCells count="19">
    <mergeCell ref="A58:C58"/>
    <mergeCell ref="D58:J58"/>
    <mergeCell ref="D6:D7"/>
    <mergeCell ref="E6:G6"/>
    <mergeCell ref="I6:I7"/>
    <mergeCell ref="J6:J7"/>
    <mergeCell ref="D53:I53"/>
    <mergeCell ref="D54:I54"/>
    <mergeCell ref="D55:I55"/>
    <mergeCell ref="A56:C56"/>
    <mergeCell ref="D56:J56"/>
    <mergeCell ref="A57:C57"/>
    <mergeCell ref="D57:J57"/>
    <mergeCell ref="A2:J2"/>
    <mergeCell ref="A3:J3"/>
    <mergeCell ref="A4:J4"/>
    <mergeCell ref="C5:D5"/>
    <mergeCell ref="G5:H5"/>
    <mergeCell ref="I5:J5"/>
  </mergeCells>
  <conditionalFormatting sqref="J8:J52">
    <cfRule type="cellIs" dxfId="53" priority="1" operator="equal">
      <formula>0</formula>
    </cfRule>
  </conditionalFormatting>
  <pageMargins left="0.7" right="0.7" top="0.75" bottom="0.75" header="0.3" footer="0.3"/>
  <pageSetup scale="46" orientation="landscape"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64814B-E08A-4C7B-BE23-B65F49C6DF16}">
  <sheetPr>
    <tabColor rgb="FF92D050"/>
    <pageSetUpPr fitToPage="1"/>
  </sheetPr>
  <dimension ref="A1:J58"/>
  <sheetViews>
    <sheetView showOutlineSymbols="0" view="pageBreakPreview" zoomScale="60" zoomScaleNormal="70" workbookViewId="0">
      <selection activeCell="L8" sqref="L8:L22"/>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05.75" customHeight="1" thickBot="1" x14ac:dyDescent="0.35">
      <c r="A5" s="72" t="s">
        <v>5</v>
      </c>
      <c r="B5" s="73">
        <f>PPTO!B32</f>
        <v>4.2</v>
      </c>
      <c r="C5" s="913" t="str">
        <f>+VLOOKUP(B5,PPTO!B8:G94,2,FALSE)</f>
        <v>Impermeabilización Sobrecimientos en bloque por medio de  IGOL denso plus o similar. Incluye mortero 1:4 espesor 2cm para revoque, pendientes, emulsión asfáltica, mediacaña, regata y todo lo necesario para su correcta construcción.. PRIMER NIVEL 80 cm</v>
      </c>
      <c r="D5" s="914"/>
      <c r="E5" s="72" t="s">
        <v>7</v>
      </c>
      <c r="F5" s="74" t="str">
        <f>+VLOOKUP(B5,PPTO!B8:G94,3,FALSE)</f>
        <v>M2</v>
      </c>
      <c r="G5" s="915" t="s">
        <v>1120</v>
      </c>
      <c r="H5" s="915"/>
      <c r="I5" s="916">
        <f>+VLOOKUP(B5,PPTO!B8:G94,5,FALSE)</f>
        <v>59120</v>
      </c>
      <c r="J5" s="917"/>
    </row>
    <row r="6" spans="1:10" ht="18" x14ac:dyDescent="0.3">
      <c r="A6" s="75"/>
      <c r="B6" s="76"/>
      <c r="C6" s="76"/>
      <c r="D6" s="924" t="s">
        <v>958</v>
      </c>
      <c r="E6" s="926" t="s">
        <v>1121</v>
      </c>
      <c r="F6" s="927"/>
      <c r="G6" s="928"/>
      <c r="H6" s="951" t="s">
        <v>1182</v>
      </c>
      <c r="I6" s="929" t="s">
        <v>959</v>
      </c>
      <c r="J6" s="931" t="s">
        <v>287</v>
      </c>
    </row>
    <row r="7" spans="1:10" ht="18.75" thickBot="1" x14ac:dyDescent="0.35">
      <c r="A7" s="78"/>
      <c r="B7" s="79"/>
      <c r="C7" s="79"/>
      <c r="D7" s="925"/>
      <c r="E7" s="80" t="s">
        <v>1123</v>
      </c>
      <c r="F7" s="81" t="s">
        <v>1124</v>
      </c>
      <c r="G7" s="82" t="s">
        <v>1125</v>
      </c>
      <c r="H7" s="952"/>
      <c r="I7" s="930"/>
      <c r="J7" s="932"/>
    </row>
    <row r="8" spans="1:10" ht="18" x14ac:dyDescent="0.3">
      <c r="A8" s="78"/>
      <c r="B8" s="79"/>
      <c r="C8" s="79"/>
      <c r="D8" s="88" t="s">
        <v>1148</v>
      </c>
      <c r="E8" s="89"/>
      <c r="F8" s="89">
        <v>9.58</v>
      </c>
      <c r="G8" s="89">
        <v>0.8</v>
      </c>
      <c r="H8" s="89">
        <v>2</v>
      </c>
      <c r="I8" s="106">
        <v>9</v>
      </c>
      <c r="J8" s="87">
        <f>+PRODUCT(E8:I8)</f>
        <v>137.952</v>
      </c>
    </row>
    <row r="9" spans="1:10" ht="18" x14ac:dyDescent="0.3">
      <c r="A9" s="78"/>
      <c r="B9" s="79"/>
      <c r="C9" s="79"/>
      <c r="D9" s="88" t="s">
        <v>1149</v>
      </c>
      <c r="E9" s="89"/>
      <c r="F9" s="89">
        <v>17.72</v>
      </c>
      <c r="G9" s="89">
        <v>0.8</v>
      </c>
      <c r="H9" s="89">
        <v>2</v>
      </c>
      <c r="I9" s="106">
        <v>2</v>
      </c>
      <c r="J9" s="91">
        <f t="shared" ref="J9:J22" si="0">+PRODUCT(E9:I9)</f>
        <v>56.704000000000001</v>
      </c>
    </row>
    <row r="10" spans="1:10" ht="18" x14ac:dyDescent="0.3">
      <c r="A10" s="78"/>
      <c r="B10" s="79"/>
      <c r="C10" s="79"/>
      <c r="D10" s="88" t="s">
        <v>1150</v>
      </c>
      <c r="E10" s="89"/>
      <c r="F10" s="89">
        <v>3.1</v>
      </c>
      <c r="G10" s="89">
        <v>0.8</v>
      </c>
      <c r="H10" s="89">
        <v>2</v>
      </c>
      <c r="I10" s="106">
        <v>1</v>
      </c>
      <c r="J10" s="91">
        <f t="shared" si="0"/>
        <v>4.9600000000000009</v>
      </c>
    </row>
    <row r="11" spans="1:10" ht="18" x14ac:dyDescent="0.3">
      <c r="A11" s="78"/>
      <c r="B11" s="79"/>
      <c r="C11" s="79"/>
      <c r="D11" s="88" t="s">
        <v>1151</v>
      </c>
      <c r="E11" s="89"/>
      <c r="F11" s="89">
        <v>1.9</v>
      </c>
      <c r="G11" s="89">
        <v>0.8</v>
      </c>
      <c r="H11" s="89">
        <v>2</v>
      </c>
      <c r="I11" s="106">
        <v>1</v>
      </c>
      <c r="J11" s="91">
        <f t="shared" si="0"/>
        <v>3.04</v>
      </c>
    </row>
    <row r="12" spans="1:10" ht="18" x14ac:dyDescent="0.3">
      <c r="A12" s="78"/>
      <c r="B12" s="79"/>
      <c r="C12" s="79"/>
      <c r="D12" s="88" t="s">
        <v>1152</v>
      </c>
      <c r="E12" s="89"/>
      <c r="F12" s="89">
        <v>4.12</v>
      </c>
      <c r="G12" s="89">
        <v>0.8</v>
      </c>
      <c r="H12" s="89">
        <v>2</v>
      </c>
      <c r="I12" s="106">
        <v>1</v>
      </c>
      <c r="J12" s="91">
        <f t="shared" si="0"/>
        <v>6.5920000000000005</v>
      </c>
    </row>
    <row r="13" spans="1:10" ht="18" x14ac:dyDescent="0.3">
      <c r="A13" s="78"/>
      <c r="B13" s="79"/>
      <c r="C13" s="79"/>
      <c r="D13" s="88" t="s">
        <v>1153</v>
      </c>
      <c r="E13" s="89"/>
      <c r="F13" s="89">
        <v>2.33</v>
      </c>
      <c r="G13" s="89">
        <v>0.8</v>
      </c>
      <c r="H13" s="89">
        <v>2</v>
      </c>
      <c r="I13" s="106">
        <v>1</v>
      </c>
      <c r="J13" s="91">
        <f t="shared" si="0"/>
        <v>3.7280000000000002</v>
      </c>
    </row>
    <row r="14" spans="1:10" ht="18" x14ac:dyDescent="0.3">
      <c r="A14" s="78"/>
      <c r="B14" s="79"/>
      <c r="C14" s="79"/>
      <c r="D14" s="88" t="s">
        <v>1154</v>
      </c>
      <c r="E14" s="89"/>
      <c r="F14" s="89">
        <v>0.45</v>
      </c>
      <c r="G14" s="89">
        <v>0.8</v>
      </c>
      <c r="H14" s="89">
        <v>2</v>
      </c>
      <c r="I14" s="106">
        <v>1</v>
      </c>
      <c r="J14" s="91">
        <f t="shared" si="0"/>
        <v>0.72000000000000008</v>
      </c>
    </row>
    <row r="15" spans="1:10" ht="18" x14ac:dyDescent="0.3">
      <c r="A15" s="78"/>
      <c r="B15" s="79"/>
      <c r="C15" s="79"/>
      <c r="D15" s="88" t="s">
        <v>1155</v>
      </c>
      <c r="E15" s="89"/>
      <c r="F15" s="89">
        <v>12.08</v>
      </c>
      <c r="G15" s="89">
        <v>0.8</v>
      </c>
      <c r="H15" s="89">
        <v>2</v>
      </c>
      <c r="I15" s="106">
        <v>2</v>
      </c>
      <c r="J15" s="91">
        <f t="shared" si="0"/>
        <v>38.656000000000006</v>
      </c>
    </row>
    <row r="16" spans="1:10" ht="18" x14ac:dyDescent="0.3">
      <c r="A16" s="78"/>
      <c r="B16" s="79"/>
      <c r="C16" s="79"/>
      <c r="D16" s="88" t="s">
        <v>1156</v>
      </c>
      <c r="E16" s="89"/>
      <c r="F16" s="89">
        <v>4.08</v>
      </c>
      <c r="G16" s="89">
        <v>0.8</v>
      </c>
      <c r="H16" s="89">
        <v>2</v>
      </c>
      <c r="I16" s="106">
        <v>1</v>
      </c>
      <c r="J16" s="91">
        <f t="shared" si="0"/>
        <v>6.5280000000000005</v>
      </c>
    </row>
    <row r="17" spans="1:10" ht="18" x14ac:dyDescent="0.3">
      <c r="A17" s="78"/>
      <c r="B17" s="79"/>
      <c r="C17" s="79"/>
      <c r="D17" s="88" t="s">
        <v>1157</v>
      </c>
      <c r="E17" s="89"/>
      <c r="F17" s="89">
        <v>1.77</v>
      </c>
      <c r="G17" s="89">
        <v>0.8</v>
      </c>
      <c r="H17" s="89">
        <v>2</v>
      </c>
      <c r="I17" s="106">
        <v>1</v>
      </c>
      <c r="J17" s="91">
        <f t="shared" si="0"/>
        <v>2.8320000000000003</v>
      </c>
    </row>
    <row r="18" spans="1:10" ht="18" x14ac:dyDescent="0.3">
      <c r="A18" s="78"/>
      <c r="B18" s="79"/>
      <c r="C18" s="79"/>
      <c r="D18" s="88" t="s">
        <v>1158</v>
      </c>
      <c r="E18" s="89"/>
      <c r="F18" s="89">
        <v>3.12</v>
      </c>
      <c r="G18" s="89">
        <v>0.8</v>
      </c>
      <c r="H18" s="89">
        <v>2</v>
      </c>
      <c r="I18" s="106">
        <v>1</v>
      </c>
      <c r="J18" s="91">
        <f t="shared" si="0"/>
        <v>4.9920000000000009</v>
      </c>
    </row>
    <row r="19" spans="1:10" ht="18" x14ac:dyDescent="0.3">
      <c r="A19" s="78"/>
      <c r="B19" s="79"/>
      <c r="C19" s="79"/>
      <c r="D19" s="88" t="s">
        <v>1159</v>
      </c>
      <c r="E19" s="89"/>
      <c r="F19" s="89">
        <v>5.7</v>
      </c>
      <c r="G19" s="89">
        <v>0.8</v>
      </c>
      <c r="H19" s="89">
        <v>2</v>
      </c>
      <c r="I19" s="106">
        <v>1</v>
      </c>
      <c r="J19" s="91">
        <f t="shared" si="0"/>
        <v>9.120000000000001</v>
      </c>
    </row>
    <row r="20" spans="1:10" ht="18" x14ac:dyDescent="0.3">
      <c r="A20" s="78"/>
      <c r="B20" s="79"/>
      <c r="C20" s="79"/>
      <c r="D20" s="88" t="s">
        <v>1160</v>
      </c>
      <c r="E20" s="89"/>
      <c r="F20" s="89">
        <v>2.4300000000000002</v>
      </c>
      <c r="G20" s="89">
        <v>0.8</v>
      </c>
      <c r="H20" s="89">
        <v>2</v>
      </c>
      <c r="I20" s="106">
        <v>1</v>
      </c>
      <c r="J20" s="91">
        <f t="shared" si="0"/>
        <v>3.8880000000000003</v>
      </c>
    </row>
    <row r="21" spans="1:10" ht="18" x14ac:dyDescent="0.3">
      <c r="A21" s="78"/>
      <c r="B21" s="79"/>
      <c r="C21" s="79"/>
      <c r="D21" s="88" t="s">
        <v>1161</v>
      </c>
      <c r="E21" s="89"/>
      <c r="F21" s="89">
        <v>1.0900000000000001</v>
      </c>
      <c r="G21" s="89">
        <v>0.8</v>
      </c>
      <c r="H21" s="89">
        <v>2</v>
      </c>
      <c r="I21" s="106">
        <v>1</v>
      </c>
      <c r="J21" s="91">
        <f t="shared" si="0"/>
        <v>1.7440000000000002</v>
      </c>
    </row>
    <row r="22" spans="1:10" ht="18" x14ac:dyDescent="0.3">
      <c r="A22" s="78"/>
      <c r="B22" s="79"/>
      <c r="C22" s="79"/>
      <c r="D22" s="88" t="s">
        <v>1162</v>
      </c>
      <c r="E22" s="89"/>
      <c r="F22" s="89">
        <v>3.89</v>
      </c>
      <c r="G22" s="89">
        <v>0.8</v>
      </c>
      <c r="H22" s="89">
        <v>2</v>
      </c>
      <c r="I22" s="106">
        <v>1</v>
      </c>
      <c r="J22" s="91">
        <f t="shared" si="0"/>
        <v>6.2240000000000002</v>
      </c>
    </row>
    <row r="23" spans="1:10" ht="18" x14ac:dyDescent="0.3">
      <c r="A23" s="78"/>
      <c r="B23" s="79"/>
      <c r="C23" s="79"/>
      <c r="D23" s="88"/>
      <c r="E23" s="89"/>
      <c r="F23" s="89"/>
      <c r="G23" s="89"/>
      <c r="H23" s="89"/>
      <c r="I23" s="90"/>
      <c r="J23" s="91"/>
    </row>
    <row r="24" spans="1:10" ht="18" x14ac:dyDescent="0.3">
      <c r="A24" s="78"/>
      <c r="B24" s="79"/>
      <c r="C24" s="79"/>
      <c r="D24" s="88"/>
      <c r="E24" s="89"/>
      <c r="F24" s="89"/>
      <c r="G24" s="89"/>
      <c r="H24" s="89"/>
      <c r="I24" s="90"/>
      <c r="J24" s="91"/>
    </row>
    <row r="25" spans="1:10" ht="18" x14ac:dyDescent="0.3">
      <c r="A25" s="78"/>
      <c r="B25" s="79"/>
      <c r="C25" s="79"/>
      <c r="D25" s="88"/>
      <c r="E25" s="89"/>
      <c r="F25" s="89"/>
      <c r="G25" s="89"/>
      <c r="H25" s="89"/>
      <c r="I25" s="90"/>
      <c r="J25" s="91"/>
    </row>
    <row r="26" spans="1:10" ht="18" x14ac:dyDescent="0.3">
      <c r="A26" s="78"/>
      <c r="B26" s="79"/>
      <c r="C26" s="79"/>
      <c r="D26" s="88"/>
      <c r="E26" s="89"/>
      <c r="F26" s="89"/>
      <c r="G26" s="89"/>
      <c r="H26" s="89"/>
      <c r="I26" s="90"/>
      <c r="J26" s="91"/>
    </row>
    <row r="27" spans="1:10" ht="18" x14ac:dyDescent="0.3">
      <c r="A27" s="78"/>
      <c r="B27" s="79"/>
      <c r="C27" s="79"/>
      <c r="D27" s="88"/>
      <c r="E27" s="89"/>
      <c r="F27" s="89"/>
      <c r="G27" s="89"/>
      <c r="H27" s="89"/>
      <c r="I27" s="90"/>
      <c r="J27" s="91"/>
    </row>
    <row r="28" spans="1:10" ht="18" x14ac:dyDescent="0.3">
      <c r="A28" s="78"/>
      <c r="B28" s="79"/>
      <c r="C28" s="79"/>
      <c r="D28" s="88"/>
      <c r="E28" s="89"/>
      <c r="F28" s="89"/>
      <c r="G28" s="89"/>
      <c r="H28" s="92"/>
      <c r="I28" s="93"/>
      <c r="J28" s="91"/>
    </row>
    <row r="29" spans="1:10" ht="18" x14ac:dyDescent="0.3">
      <c r="A29" s="78"/>
      <c r="B29" s="79"/>
      <c r="C29" s="79"/>
      <c r="D29" s="88"/>
      <c r="E29" s="89"/>
      <c r="F29" s="89"/>
      <c r="G29" s="89"/>
      <c r="H29" s="89"/>
      <c r="I29" s="90"/>
      <c r="J29" s="91"/>
    </row>
    <row r="30" spans="1:10" ht="18" x14ac:dyDescent="0.3">
      <c r="A30" s="78"/>
      <c r="B30" s="79"/>
      <c r="C30" s="79"/>
      <c r="D30" s="88"/>
      <c r="E30" s="89"/>
      <c r="F30" s="89"/>
      <c r="G30" s="89"/>
      <c r="H30" s="89"/>
      <c r="I30" s="90"/>
      <c r="J30" s="91"/>
    </row>
    <row r="31" spans="1:10" ht="18" x14ac:dyDescent="0.3">
      <c r="A31" s="78"/>
      <c r="B31" s="79"/>
      <c r="C31" s="79"/>
      <c r="D31" s="88"/>
      <c r="E31" s="89"/>
      <c r="F31" s="89"/>
      <c r="G31" s="89"/>
      <c r="H31" s="89"/>
      <c r="I31" s="90"/>
      <c r="J31" s="91"/>
    </row>
    <row r="32" spans="1:10" ht="18" x14ac:dyDescent="0.3">
      <c r="A32" s="78"/>
      <c r="B32" s="79"/>
      <c r="C32" s="79"/>
      <c r="D32" s="94"/>
      <c r="E32" s="89"/>
      <c r="F32" s="89"/>
      <c r="G32" s="89"/>
      <c r="H32" s="89"/>
      <c r="I32" s="93"/>
      <c r="J32" s="91"/>
    </row>
    <row r="33" spans="1:10" ht="18" x14ac:dyDescent="0.3">
      <c r="A33" s="78"/>
      <c r="B33" s="79"/>
      <c r="C33" s="79"/>
      <c r="D33" s="94"/>
      <c r="E33" s="89"/>
      <c r="F33" s="89"/>
      <c r="G33" s="89"/>
      <c r="H33" s="89"/>
      <c r="I33" s="93"/>
      <c r="J33" s="91"/>
    </row>
    <row r="34" spans="1:10" ht="18" x14ac:dyDescent="0.3">
      <c r="A34" s="78"/>
      <c r="B34" s="79"/>
      <c r="C34" s="79"/>
      <c r="D34" s="94"/>
      <c r="E34" s="89"/>
      <c r="F34" s="89"/>
      <c r="G34" s="89"/>
      <c r="H34" s="89"/>
      <c r="I34" s="93"/>
      <c r="J34" s="91"/>
    </row>
    <row r="35" spans="1:10" ht="18" x14ac:dyDescent="0.3">
      <c r="A35" s="78"/>
      <c r="B35" s="79"/>
      <c r="C35" s="79"/>
      <c r="D35" s="94"/>
      <c r="E35" s="89"/>
      <c r="F35" s="89"/>
      <c r="G35" s="89"/>
      <c r="H35" s="89"/>
      <c r="I35" s="93"/>
      <c r="J35" s="91"/>
    </row>
    <row r="36" spans="1:10" ht="18" x14ac:dyDescent="0.3">
      <c r="A36" s="78"/>
      <c r="B36" s="79"/>
      <c r="C36" s="79"/>
      <c r="D36" s="94"/>
      <c r="E36" s="89"/>
      <c r="F36" s="89"/>
      <c r="G36" s="89"/>
      <c r="H36" s="89"/>
      <c r="I36" s="93"/>
      <c r="J36" s="91"/>
    </row>
    <row r="37" spans="1:10" ht="18" x14ac:dyDescent="0.3">
      <c r="A37" s="78"/>
      <c r="B37" s="79"/>
      <c r="C37" s="79"/>
      <c r="D37" s="94"/>
      <c r="E37" s="89"/>
      <c r="F37" s="89"/>
      <c r="G37" s="89"/>
      <c r="H37" s="89"/>
      <c r="I37" s="93"/>
      <c r="J37" s="91"/>
    </row>
    <row r="38" spans="1:10" ht="18" x14ac:dyDescent="0.3">
      <c r="A38" s="78"/>
      <c r="B38" s="79"/>
      <c r="C38" s="79"/>
      <c r="D38" s="94"/>
      <c r="E38" s="89"/>
      <c r="F38" s="89"/>
      <c r="G38" s="89"/>
      <c r="H38" s="89"/>
      <c r="I38" s="93"/>
      <c r="J38" s="91"/>
    </row>
    <row r="39" spans="1:10" ht="18" x14ac:dyDescent="0.3">
      <c r="A39" s="78"/>
      <c r="B39" s="79"/>
      <c r="C39" s="79"/>
      <c r="D39" s="94"/>
      <c r="E39" s="89"/>
      <c r="F39" s="89"/>
      <c r="G39" s="89"/>
      <c r="H39" s="89"/>
      <c r="I39" s="93"/>
      <c r="J39" s="91"/>
    </row>
    <row r="40" spans="1:10" ht="18" x14ac:dyDescent="0.3">
      <c r="A40" s="78"/>
      <c r="B40" s="79"/>
      <c r="C40" s="79"/>
      <c r="D40" s="94"/>
      <c r="E40" s="89"/>
      <c r="F40" s="89"/>
      <c r="G40" s="89"/>
      <c r="H40" s="89"/>
      <c r="I40" s="93"/>
      <c r="J40" s="91"/>
    </row>
    <row r="41" spans="1:10" ht="18" x14ac:dyDescent="0.3">
      <c r="A41" s="78"/>
      <c r="B41" s="79"/>
      <c r="C41" s="79"/>
      <c r="D41" s="94"/>
      <c r="E41" s="89"/>
      <c r="F41" s="89"/>
      <c r="G41" s="89"/>
      <c r="H41" s="89"/>
      <c r="I41" s="93"/>
      <c r="J41" s="91"/>
    </row>
    <row r="42" spans="1:10" ht="18" x14ac:dyDescent="0.3">
      <c r="A42" s="78"/>
      <c r="B42" s="79"/>
      <c r="C42" s="79"/>
      <c r="D42" s="94"/>
      <c r="E42" s="89"/>
      <c r="F42" s="89"/>
      <c r="G42" s="89"/>
      <c r="H42" s="89"/>
      <c r="I42" s="93"/>
      <c r="J42" s="91"/>
    </row>
    <row r="43" spans="1:10" ht="18" x14ac:dyDescent="0.3">
      <c r="A43" s="78"/>
      <c r="B43" s="79"/>
      <c r="C43" s="79"/>
      <c r="D43" s="94"/>
      <c r="E43" s="89"/>
      <c r="F43" s="89"/>
      <c r="G43" s="89"/>
      <c r="H43" s="89"/>
      <c r="I43" s="93"/>
      <c r="J43" s="91"/>
    </row>
    <row r="44" spans="1:10" ht="18" x14ac:dyDescent="0.3">
      <c r="A44" s="78"/>
      <c r="B44" s="79"/>
      <c r="C44" s="79"/>
      <c r="D44" s="94"/>
      <c r="E44" s="89"/>
      <c r="F44" s="89"/>
      <c r="G44" s="89"/>
      <c r="H44" s="89"/>
      <c r="I44" s="93"/>
      <c r="J44" s="91"/>
    </row>
    <row r="45" spans="1:10" ht="18" x14ac:dyDescent="0.3">
      <c r="A45" s="78"/>
      <c r="B45" s="79"/>
      <c r="C45" s="79"/>
      <c r="D45" s="94"/>
      <c r="E45" s="89"/>
      <c r="F45" s="89"/>
      <c r="G45" s="89"/>
      <c r="H45" s="89"/>
      <c r="I45" s="93"/>
      <c r="J45" s="91"/>
    </row>
    <row r="46" spans="1:10" ht="18" x14ac:dyDescent="0.3">
      <c r="A46" s="78"/>
      <c r="B46" s="79"/>
      <c r="C46" s="79"/>
      <c r="D46" s="94"/>
      <c r="E46" s="89"/>
      <c r="F46" s="89"/>
      <c r="G46" s="89"/>
      <c r="H46" s="89"/>
      <c r="I46" s="93"/>
      <c r="J46" s="91"/>
    </row>
    <row r="47" spans="1:10" ht="18" x14ac:dyDescent="0.3">
      <c r="A47" s="78"/>
      <c r="B47" s="79"/>
      <c r="C47" s="79"/>
      <c r="D47" s="94"/>
      <c r="E47" s="89"/>
      <c r="F47" s="89"/>
      <c r="G47" s="89"/>
      <c r="H47" s="89"/>
      <c r="I47" s="93"/>
      <c r="J47" s="91"/>
    </row>
    <row r="48" spans="1:10" ht="18" x14ac:dyDescent="0.3">
      <c r="A48" s="78"/>
      <c r="B48" s="79"/>
      <c r="C48" s="79"/>
      <c r="D48" s="94"/>
      <c r="E48" s="89"/>
      <c r="F48" s="89"/>
      <c r="G48" s="89"/>
      <c r="H48" s="89"/>
      <c r="I48" s="93"/>
      <c r="J48" s="91"/>
    </row>
    <row r="49" spans="1:10" ht="18" x14ac:dyDescent="0.3">
      <c r="A49" s="78"/>
      <c r="B49" s="79"/>
      <c r="C49" s="79"/>
      <c r="D49" s="94"/>
      <c r="E49" s="89"/>
      <c r="F49" s="89"/>
      <c r="G49" s="89"/>
      <c r="H49" s="89"/>
      <c r="I49" s="93"/>
      <c r="J49" s="91"/>
    </row>
    <row r="50" spans="1:10" ht="18" x14ac:dyDescent="0.3">
      <c r="A50" s="78"/>
      <c r="B50" s="79"/>
      <c r="C50" s="79"/>
      <c r="D50" s="94"/>
      <c r="E50" s="89"/>
      <c r="F50" s="89"/>
      <c r="G50" s="89"/>
      <c r="H50" s="89"/>
      <c r="I50" s="93"/>
      <c r="J50" s="91"/>
    </row>
    <row r="51" spans="1:10" ht="18" x14ac:dyDescent="0.3">
      <c r="A51" s="78"/>
      <c r="B51" s="79"/>
      <c r="C51" s="79"/>
      <c r="D51" s="95"/>
      <c r="E51" s="89"/>
      <c r="F51" s="89"/>
      <c r="G51" s="89"/>
      <c r="H51" s="89"/>
      <c r="I51" s="93"/>
      <c r="J51" s="91"/>
    </row>
    <row r="52" spans="1:10" ht="18.75" thickBot="1" x14ac:dyDescent="0.35">
      <c r="A52" s="78"/>
      <c r="B52" s="79"/>
      <c r="C52" s="79"/>
      <c r="D52" s="94"/>
      <c r="E52" s="89"/>
      <c r="F52" s="89"/>
      <c r="G52" s="89"/>
      <c r="H52" s="89"/>
      <c r="I52" s="93"/>
      <c r="J52" s="91">
        <f t="shared" ref="J52" si="1">+PRODUCT(E52:I52)</f>
        <v>0</v>
      </c>
    </row>
    <row r="53" spans="1:10" ht="21" thickBot="1" x14ac:dyDescent="0.35">
      <c r="A53" s="78"/>
      <c r="B53" s="79"/>
      <c r="C53" s="79"/>
      <c r="D53" s="933" t="s">
        <v>10</v>
      </c>
      <c r="E53" s="934"/>
      <c r="F53" s="934"/>
      <c r="G53" s="934"/>
      <c r="H53" s="934"/>
      <c r="I53" s="935"/>
      <c r="J53" s="102">
        <f>ROUND(SUM(J8:J52),2)</f>
        <v>287.68</v>
      </c>
    </row>
    <row r="54" spans="1:10" ht="21" thickBot="1" x14ac:dyDescent="0.35">
      <c r="A54" s="78"/>
      <c r="B54" s="79"/>
      <c r="C54" s="79"/>
      <c r="D54" s="933" t="s">
        <v>1127</v>
      </c>
      <c r="E54" s="934"/>
      <c r="F54" s="934"/>
      <c r="G54" s="934"/>
      <c r="H54" s="934"/>
      <c r="I54" s="935"/>
      <c r="J54" s="103"/>
    </row>
    <row r="55" spans="1:10" ht="21" thickBot="1" x14ac:dyDescent="0.35">
      <c r="A55" s="78"/>
      <c r="B55" s="79"/>
      <c r="C55" s="101"/>
      <c r="D55" s="933" t="s">
        <v>1128</v>
      </c>
      <c r="E55" s="934"/>
      <c r="F55" s="934"/>
      <c r="G55" s="934"/>
      <c r="H55" s="934"/>
      <c r="I55" s="935"/>
      <c r="J55" s="104">
        <f>+J53-J54</f>
        <v>287.68</v>
      </c>
    </row>
    <row r="56" spans="1:10" ht="21" thickBot="1" x14ac:dyDescent="0.35">
      <c r="A56" s="936" t="s">
        <v>1129</v>
      </c>
      <c r="B56" s="937"/>
      <c r="C56" s="938"/>
      <c r="D56" s="939" t="s">
        <v>1130</v>
      </c>
      <c r="E56" s="940"/>
      <c r="F56" s="940"/>
      <c r="G56" s="940"/>
      <c r="H56" s="940"/>
      <c r="I56" s="940"/>
      <c r="J56" s="941"/>
    </row>
    <row r="57" spans="1:10" ht="38.25" customHeight="1" thickBot="1" x14ac:dyDescent="0.35">
      <c r="A57" s="942" t="str">
        <f>PPTO!G3</f>
        <v>JUNIO DE 2026</v>
      </c>
      <c r="B57" s="943"/>
      <c r="C57" s="944"/>
      <c r="D57" s="921"/>
      <c r="E57" s="922"/>
      <c r="F57" s="922"/>
      <c r="G57" s="922"/>
      <c r="H57" s="922"/>
      <c r="I57" s="922"/>
      <c r="J57" s="923"/>
    </row>
    <row r="58" spans="1:10" ht="19.5" thickBot="1" x14ac:dyDescent="0.35">
      <c r="A58" s="918"/>
      <c r="B58" s="919"/>
      <c r="C58" s="920"/>
      <c r="D58" s="921" t="s">
        <v>1131</v>
      </c>
      <c r="E58" s="922"/>
      <c r="F58" s="922"/>
      <c r="G58" s="922"/>
      <c r="H58" s="922"/>
      <c r="I58" s="922"/>
      <c r="J58" s="923"/>
    </row>
  </sheetData>
  <mergeCells count="20">
    <mergeCell ref="A58:C58"/>
    <mergeCell ref="D58:J58"/>
    <mergeCell ref="D6:D7"/>
    <mergeCell ref="E6:G6"/>
    <mergeCell ref="I6:I7"/>
    <mergeCell ref="J6:J7"/>
    <mergeCell ref="D53:I53"/>
    <mergeCell ref="D54:I54"/>
    <mergeCell ref="H6:H7"/>
    <mergeCell ref="D55:I55"/>
    <mergeCell ref="A56:C56"/>
    <mergeCell ref="D56:J56"/>
    <mergeCell ref="A57:C57"/>
    <mergeCell ref="D57:J57"/>
    <mergeCell ref="A2:J2"/>
    <mergeCell ref="A3:J3"/>
    <mergeCell ref="A4:J4"/>
    <mergeCell ref="C5:D5"/>
    <mergeCell ref="G5:H5"/>
    <mergeCell ref="I5:J5"/>
  </mergeCells>
  <conditionalFormatting sqref="J8:J52">
    <cfRule type="cellIs" dxfId="52" priority="1" operator="equal">
      <formula>0</formula>
    </cfRule>
  </conditionalFormatting>
  <pageMargins left="0.7" right="0.7" top="0.75" bottom="0.75" header="0.3" footer="0.3"/>
  <pageSetup scale="46" orientation="landscape"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04CD32-A705-4D3B-9C25-AF78DAF59CD5}">
  <sheetPr>
    <tabColor rgb="FF92D050"/>
    <pageSetUpPr fitToPage="1"/>
  </sheetPr>
  <dimension ref="A1:J58"/>
  <sheetViews>
    <sheetView showOutlineSymbols="0" view="pageBreakPreview" topLeftCell="A4" zoomScale="60" zoomScaleNormal="70" workbookViewId="0">
      <selection activeCell="D8" sqref="D8:J22"/>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05.75" customHeight="1" thickBot="1" x14ac:dyDescent="0.35">
      <c r="A5" s="72" t="s">
        <v>5</v>
      </c>
      <c r="B5" s="73">
        <f>PPTO!B33</f>
        <v>4.3</v>
      </c>
      <c r="C5" s="913" t="str">
        <f>+VLOOKUP(B5,PPTO!B8:G94,2,FALSE)</f>
        <v>Colocación de revoque con mortero 1:4 impermeabilizado con sika 1 o equivalente en muros. Incluye suministro y transporte de materiales, fajas, ranuras, filetes y todos los demas elementos para su correcta construcció.</v>
      </c>
      <c r="D5" s="914"/>
      <c r="E5" s="72" t="s">
        <v>7</v>
      </c>
      <c r="F5" s="74" t="str">
        <f>+VLOOKUP(B5,PPTO!B8:G94,3,FALSE)</f>
        <v>M2</v>
      </c>
      <c r="G5" s="915" t="s">
        <v>1120</v>
      </c>
      <c r="H5" s="915"/>
      <c r="I5" s="916">
        <f>+VLOOKUP(B5,PPTO!B8:G94,5,FALSE)</f>
        <v>31990</v>
      </c>
      <c r="J5" s="917"/>
    </row>
    <row r="6" spans="1:10" ht="18" x14ac:dyDescent="0.3">
      <c r="A6" s="75"/>
      <c r="B6" s="76"/>
      <c r="C6" s="76"/>
      <c r="D6" s="924" t="s">
        <v>958</v>
      </c>
      <c r="E6" s="926" t="s">
        <v>1121</v>
      </c>
      <c r="F6" s="927"/>
      <c r="G6" s="928"/>
      <c r="H6" s="77" t="s">
        <v>1183</v>
      </c>
      <c r="I6" s="929" t="s">
        <v>959</v>
      </c>
      <c r="J6" s="931" t="s">
        <v>287</v>
      </c>
    </row>
    <row r="7" spans="1:10" ht="18.75" thickBot="1" x14ac:dyDescent="0.35">
      <c r="A7" s="78"/>
      <c r="B7" s="79"/>
      <c r="C7" s="79"/>
      <c r="D7" s="945"/>
      <c r="E7" s="109" t="s">
        <v>1123</v>
      </c>
      <c r="F7" s="110" t="s">
        <v>1124</v>
      </c>
      <c r="G7" s="111" t="s">
        <v>1125</v>
      </c>
      <c r="H7" s="112"/>
      <c r="I7" s="946"/>
      <c r="J7" s="947"/>
    </row>
    <row r="8" spans="1:10" ht="18" x14ac:dyDescent="0.3">
      <c r="A8" s="78"/>
      <c r="B8" s="79"/>
      <c r="C8" s="79"/>
      <c r="D8" s="84" t="s">
        <v>1148</v>
      </c>
      <c r="E8" s="453"/>
      <c r="F8" s="453">
        <v>9.58</v>
      </c>
      <c r="G8" s="453">
        <v>2.7</v>
      </c>
      <c r="H8" s="454">
        <v>14</v>
      </c>
      <c r="I8" s="454"/>
      <c r="J8" s="87">
        <f>+PRODUCT(F8:I8)</f>
        <v>362.12400000000002</v>
      </c>
    </row>
    <row r="9" spans="1:10" ht="18" x14ac:dyDescent="0.3">
      <c r="A9" s="78"/>
      <c r="B9" s="79"/>
      <c r="C9" s="79"/>
      <c r="D9" s="88" t="s">
        <v>1149</v>
      </c>
      <c r="E9" s="89"/>
      <c r="F9" s="89">
        <v>17.72</v>
      </c>
      <c r="G9" s="89">
        <v>2.7</v>
      </c>
      <c r="H9" s="106">
        <v>2</v>
      </c>
      <c r="I9" s="106"/>
      <c r="J9" s="91">
        <f t="shared" ref="J9:J22" si="0">+PRODUCT(F9:I9)</f>
        <v>95.688000000000002</v>
      </c>
    </row>
    <row r="10" spans="1:10" ht="18" x14ac:dyDescent="0.3">
      <c r="A10" s="78"/>
      <c r="B10" s="79"/>
      <c r="C10" s="79"/>
      <c r="D10" s="88" t="s">
        <v>1150</v>
      </c>
      <c r="E10" s="89"/>
      <c r="F10" s="89">
        <v>3.1</v>
      </c>
      <c r="G10" s="89">
        <v>2.7</v>
      </c>
      <c r="H10" s="106">
        <v>2</v>
      </c>
      <c r="I10" s="106"/>
      <c r="J10" s="91">
        <f t="shared" si="0"/>
        <v>16.740000000000002</v>
      </c>
    </row>
    <row r="11" spans="1:10" ht="18" x14ac:dyDescent="0.3">
      <c r="A11" s="78"/>
      <c r="B11" s="79"/>
      <c r="C11" s="79"/>
      <c r="D11" s="88" t="s">
        <v>1151</v>
      </c>
      <c r="E11" s="89"/>
      <c r="F11" s="89">
        <v>1.9</v>
      </c>
      <c r="G11" s="89">
        <v>2.7</v>
      </c>
      <c r="H11" s="106">
        <v>2</v>
      </c>
      <c r="I11" s="106"/>
      <c r="J11" s="91">
        <f t="shared" si="0"/>
        <v>10.26</v>
      </c>
    </row>
    <row r="12" spans="1:10" ht="18" x14ac:dyDescent="0.3">
      <c r="A12" s="78"/>
      <c r="B12" s="79"/>
      <c r="C12" s="79"/>
      <c r="D12" s="88" t="s">
        <v>1152</v>
      </c>
      <c r="E12" s="89"/>
      <c r="F12" s="89">
        <v>4.12</v>
      </c>
      <c r="G12" s="89">
        <v>2.7</v>
      </c>
      <c r="H12" s="106">
        <v>2</v>
      </c>
      <c r="I12" s="106"/>
      <c r="J12" s="91">
        <f t="shared" si="0"/>
        <v>22.248000000000001</v>
      </c>
    </row>
    <row r="13" spans="1:10" ht="18" x14ac:dyDescent="0.3">
      <c r="A13" s="78"/>
      <c r="B13" s="79"/>
      <c r="C13" s="79"/>
      <c r="D13" s="88" t="s">
        <v>1153</v>
      </c>
      <c r="E13" s="89"/>
      <c r="F13" s="89">
        <v>2.33</v>
      </c>
      <c r="G13" s="89">
        <v>2.7</v>
      </c>
      <c r="H13" s="106">
        <v>2</v>
      </c>
      <c r="I13" s="106"/>
      <c r="J13" s="91">
        <f t="shared" si="0"/>
        <v>12.582000000000001</v>
      </c>
    </row>
    <row r="14" spans="1:10" ht="18" x14ac:dyDescent="0.3">
      <c r="A14" s="78"/>
      <c r="B14" s="79"/>
      <c r="C14" s="79"/>
      <c r="D14" s="88" t="s">
        <v>1154</v>
      </c>
      <c r="E14" s="89"/>
      <c r="F14" s="89">
        <v>0.45</v>
      </c>
      <c r="G14" s="89">
        <v>2.7</v>
      </c>
      <c r="H14" s="106">
        <v>2</v>
      </c>
      <c r="I14" s="106"/>
      <c r="J14" s="91">
        <f t="shared" si="0"/>
        <v>2.4300000000000002</v>
      </c>
    </row>
    <row r="15" spans="1:10" ht="18" x14ac:dyDescent="0.3">
      <c r="A15" s="78"/>
      <c r="B15" s="79"/>
      <c r="C15" s="79"/>
      <c r="D15" s="88" t="s">
        <v>1155</v>
      </c>
      <c r="E15" s="89"/>
      <c r="F15" s="89">
        <v>12.08</v>
      </c>
      <c r="G15" s="89">
        <v>2.7</v>
      </c>
      <c r="H15" s="106">
        <v>2</v>
      </c>
      <c r="I15" s="106"/>
      <c r="J15" s="91">
        <f t="shared" si="0"/>
        <v>65.231999999999999</v>
      </c>
    </row>
    <row r="16" spans="1:10" ht="18" x14ac:dyDescent="0.3">
      <c r="A16" s="78"/>
      <c r="B16" s="79"/>
      <c r="C16" s="79"/>
      <c r="D16" s="88" t="s">
        <v>1156</v>
      </c>
      <c r="E16" s="89"/>
      <c r="F16" s="89">
        <v>4.08</v>
      </c>
      <c r="G16" s="89">
        <v>2.7</v>
      </c>
      <c r="H16" s="106">
        <v>2</v>
      </c>
      <c r="I16" s="106"/>
      <c r="J16" s="91">
        <f t="shared" si="0"/>
        <v>22.032000000000004</v>
      </c>
    </row>
    <row r="17" spans="1:10" ht="18" x14ac:dyDescent="0.3">
      <c r="A17" s="78"/>
      <c r="B17" s="79"/>
      <c r="C17" s="79"/>
      <c r="D17" s="88" t="s">
        <v>1157</v>
      </c>
      <c r="E17" s="89"/>
      <c r="F17" s="89">
        <v>1.77</v>
      </c>
      <c r="G17" s="89">
        <v>2.7</v>
      </c>
      <c r="H17" s="106">
        <v>2</v>
      </c>
      <c r="I17" s="106"/>
      <c r="J17" s="91">
        <f t="shared" si="0"/>
        <v>9.5580000000000016</v>
      </c>
    </row>
    <row r="18" spans="1:10" ht="18" x14ac:dyDescent="0.3">
      <c r="A18" s="78"/>
      <c r="B18" s="79"/>
      <c r="C18" s="79"/>
      <c r="D18" s="88" t="s">
        <v>1158</v>
      </c>
      <c r="E18" s="89"/>
      <c r="F18" s="89">
        <v>3.12</v>
      </c>
      <c r="G18" s="89">
        <v>2.7</v>
      </c>
      <c r="H18" s="106">
        <v>2</v>
      </c>
      <c r="I18" s="106"/>
      <c r="J18" s="91">
        <f t="shared" si="0"/>
        <v>16.848000000000003</v>
      </c>
    </row>
    <row r="19" spans="1:10" ht="18" x14ac:dyDescent="0.3">
      <c r="A19" s="78"/>
      <c r="B19" s="79"/>
      <c r="C19" s="79"/>
      <c r="D19" s="88" t="s">
        <v>1159</v>
      </c>
      <c r="E19" s="89"/>
      <c r="F19" s="89">
        <v>5.7</v>
      </c>
      <c r="G19" s="89">
        <v>2.7</v>
      </c>
      <c r="H19" s="106">
        <v>2</v>
      </c>
      <c r="I19" s="106"/>
      <c r="J19" s="91">
        <f t="shared" si="0"/>
        <v>30.780000000000005</v>
      </c>
    </row>
    <row r="20" spans="1:10" ht="18" x14ac:dyDescent="0.3">
      <c r="A20" s="78"/>
      <c r="B20" s="79"/>
      <c r="C20" s="79"/>
      <c r="D20" s="88" t="s">
        <v>1160</v>
      </c>
      <c r="E20" s="89"/>
      <c r="F20" s="89">
        <v>2.4300000000000002</v>
      </c>
      <c r="G20" s="89">
        <v>2.7</v>
      </c>
      <c r="H20" s="106">
        <v>2</v>
      </c>
      <c r="I20" s="106"/>
      <c r="J20" s="91">
        <f t="shared" si="0"/>
        <v>13.122000000000002</v>
      </c>
    </row>
    <row r="21" spans="1:10" ht="18" x14ac:dyDescent="0.3">
      <c r="A21" s="78"/>
      <c r="B21" s="79"/>
      <c r="C21" s="79"/>
      <c r="D21" s="88" t="s">
        <v>1161</v>
      </c>
      <c r="E21" s="89"/>
      <c r="F21" s="89">
        <v>1.0900000000000001</v>
      </c>
      <c r="G21" s="89">
        <v>2.7</v>
      </c>
      <c r="H21" s="106">
        <v>2</v>
      </c>
      <c r="I21" s="106"/>
      <c r="J21" s="91">
        <f t="shared" si="0"/>
        <v>5.886000000000001</v>
      </c>
    </row>
    <row r="22" spans="1:10" ht="18" x14ac:dyDescent="0.3">
      <c r="A22" s="78"/>
      <c r="B22" s="79"/>
      <c r="C22" s="79"/>
      <c r="D22" s="88" t="s">
        <v>1162</v>
      </c>
      <c r="E22" s="89"/>
      <c r="F22" s="89">
        <v>3.89</v>
      </c>
      <c r="G22" s="89">
        <v>2.7</v>
      </c>
      <c r="H22" s="106">
        <v>2</v>
      </c>
      <c r="I22" s="106"/>
      <c r="J22" s="91">
        <f t="shared" si="0"/>
        <v>21.006000000000004</v>
      </c>
    </row>
    <row r="23" spans="1:10" ht="18" x14ac:dyDescent="0.3">
      <c r="A23" s="78"/>
      <c r="B23" s="79"/>
      <c r="C23" s="79"/>
      <c r="D23" s="88"/>
      <c r="E23" s="89"/>
      <c r="F23" s="89"/>
      <c r="G23" s="89"/>
      <c r="H23" s="89"/>
      <c r="I23" s="90"/>
      <c r="J23" s="91"/>
    </row>
    <row r="24" spans="1:10" ht="18" x14ac:dyDescent="0.3">
      <c r="A24" s="78"/>
      <c r="B24" s="79"/>
      <c r="C24" s="79"/>
      <c r="D24" s="88"/>
      <c r="E24" s="89"/>
      <c r="F24" s="89"/>
      <c r="G24" s="89"/>
      <c r="H24" s="89"/>
      <c r="I24" s="90"/>
      <c r="J24" s="91"/>
    </row>
    <row r="25" spans="1:10" ht="18" x14ac:dyDescent="0.3">
      <c r="A25" s="78"/>
      <c r="B25" s="79"/>
      <c r="C25" s="79"/>
      <c r="D25" s="88"/>
      <c r="E25" s="89"/>
      <c r="F25" s="89"/>
      <c r="G25" s="89"/>
      <c r="H25" s="89"/>
      <c r="I25" s="90"/>
      <c r="J25" s="91"/>
    </row>
    <row r="26" spans="1:10" ht="18" x14ac:dyDescent="0.3">
      <c r="A26" s="78"/>
      <c r="B26" s="79"/>
      <c r="C26" s="79"/>
      <c r="D26" s="88"/>
      <c r="E26" s="89"/>
      <c r="F26" s="89"/>
      <c r="G26" s="89"/>
      <c r="H26" s="89"/>
      <c r="I26" s="90"/>
      <c r="J26" s="91"/>
    </row>
    <row r="27" spans="1:10" ht="18" x14ac:dyDescent="0.3">
      <c r="A27" s="78"/>
      <c r="B27" s="79"/>
      <c r="C27" s="79"/>
      <c r="D27" s="88"/>
      <c r="E27" s="89"/>
      <c r="F27" s="89"/>
      <c r="G27" s="89"/>
      <c r="H27" s="89"/>
      <c r="I27" s="90"/>
      <c r="J27" s="91"/>
    </row>
    <row r="28" spans="1:10" ht="18" x14ac:dyDescent="0.3">
      <c r="A28" s="78"/>
      <c r="B28" s="79"/>
      <c r="C28" s="79"/>
      <c r="D28" s="88"/>
      <c r="E28" s="89"/>
      <c r="F28" s="89"/>
      <c r="G28" s="92"/>
      <c r="H28" s="92"/>
      <c r="I28" s="93"/>
      <c r="J28" s="91"/>
    </row>
    <row r="29" spans="1:10" ht="18" x14ac:dyDescent="0.3">
      <c r="A29" s="78"/>
      <c r="B29" s="79"/>
      <c r="C29" s="79"/>
      <c r="D29" s="88"/>
      <c r="E29" s="89"/>
      <c r="F29" s="89"/>
      <c r="G29" s="89"/>
      <c r="H29" s="89"/>
      <c r="I29" s="90"/>
      <c r="J29" s="91"/>
    </row>
    <row r="30" spans="1:10" ht="18" x14ac:dyDescent="0.3">
      <c r="A30" s="78"/>
      <c r="B30" s="79"/>
      <c r="C30" s="79"/>
      <c r="D30" s="88"/>
      <c r="E30" s="89"/>
      <c r="F30" s="89"/>
      <c r="G30" s="89"/>
      <c r="H30" s="89"/>
      <c r="I30" s="90"/>
      <c r="J30" s="91"/>
    </row>
    <row r="31" spans="1:10" ht="18" x14ac:dyDescent="0.3">
      <c r="A31" s="78"/>
      <c r="B31" s="79"/>
      <c r="C31" s="79"/>
      <c r="D31" s="88"/>
      <c r="E31" s="89"/>
      <c r="F31" s="89"/>
      <c r="G31" s="89"/>
      <c r="H31" s="89"/>
      <c r="I31" s="90"/>
      <c r="J31" s="91"/>
    </row>
    <row r="32" spans="1:10" ht="18" x14ac:dyDescent="0.3">
      <c r="A32" s="78"/>
      <c r="B32" s="79"/>
      <c r="C32" s="79"/>
      <c r="D32" s="94"/>
      <c r="E32" s="89"/>
      <c r="F32" s="89"/>
      <c r="G32" s="89"/>
      <c r="H32" s="89"/>
      <c r="I32" s="93"/>
      <c r="J32" s="91"/>
    </row>
    <row r="33" spans="1:10" ht="18" x14ac:dyDescent="0.3">
      <c r="A33" s="78"/>
      <c r="B33" s="79"/>
      <c r="C33" s="79"/>
      <c r="D33" s="94"/>
      <c r="E33" s="89"/>
      <c r="F33" s="89"/>
      <c r="G33" s="89"/>
      <c r="H33" s="89"/>
      <c r="I33" s="93"/>
      <c r="J33" s="91"/>
    </row>
    <row r="34" spans="1:10" ht="18" x14ac:dyDescent="0.3">
      <c r="A34" s="78"/>
      <c r="B34" s="79"/>
      <c r="C34" s="79"/>
      <c r="D34" s="94"/>
      <c r="E34" s="89"/>
      <c r="F34" s="89"/>
      <c r="G34" s="89"/>
      <c r="H34" s="89"/>
      <c r="I34" s="93"/>
      <c r="J34" s="91"/>
    </row>
    <row r="35" spans="1:10" ht="18" x14ac:dyDescent="0.3">
      <c r="A35" s="78"/>
      <c r="B35" s="79"/>
      <c r="C35" s="79"/>
      <c r="D35" s="94"/>
      <c r="E35" s="89"/>
      <c r="F35" s="89"/>
      <c r="G35" s="89"/>
      <c r="H35" s="89"/>
      <c r="I35" s="93"/>
      <c r="J35" s="91"/>
    </row>
    <row r="36" spans="1:10" ht="18" x14ac:dyDescent="0.3">
      <c r="A36" s="78"/>
      <c r="B36" s="79"/>
      <c r="C36" s="79"/>
      <c r="D36" s="94"/>
      <c r="E36" s="89"/>
      <c r="F36" s="89"/>
      <c r="G36" s="89"/>
      <c r="H36" s="89"/>
      <c r="I36" s="93"/>
      <c r="J36" s="91"/>
    </row>
    <row r="37" spans="1:10" ht="18" x14ac:dyDescent="0.3">
      <c r="A37" s="78"/>
      <c r="B37" s="79"/>
      <c r="C37" s="79"/>
      <c r="D37" s="94"/>
      <c r="E37" s="89"/>
      <c r="F37" s="89"/>
      <c r="G37" s="89"/>
      <c r="H37" s="89"/>
      <c r="I37" s="93"/>
      <c r="J37" s="91"/>
    </row>
    <row r="38" spans="1:10" ht="18" x14ac:dyDescent="0.3">
      <c r="A38" s="78"/>
      <c r="B38" s="79"/>
      <c r="C38" s="79"/>
      <c r="D38" s="94"/>
      <c r="E38" s="89"/>
      <c r="F38" s="89"/>
      <c r="G38" s="89"/>
      <c r="H38" s="89"/>
      <c r="I38" s="93"/>
      <c r="J38" s="91"/>
    </row>
    <row r="39" spans="1:10" ht="18" x14ac:dyDescent="0.3">
      <c r="A39" s="78"/>
      <c r="B39" s="79"/>
      <c r="C39" s="79"/>
      <c r="D39" s="94"/>
      <c r="E39" s="89"/>
      <c r="F39" s="89"/>
      <c r="G39" s="89"/>
      <c r="H39" s="89"/>
      <c r="I39" s="93"/>
      <c r="J39" s="91"/>
    </row>
    <row r="40" spans="1:10" ht="18" x14ac:dyDescent="0.3">
      <c r="A40" s="78"/>
      <c r="B40" s="79"/>
      <c r="C40" s="79"/>
      <c r="D40" s="94"/>
      <c r="E40" s="89"/>
      <c r="F40" s="89"/>
      <c r="G40" s="89"/>
      <c r="H40" s="89"/>
      <c r="I40" s="93"/>
      <c r="J40" s="91"/>
    </row>
    <row r="41" spans="1:10" ht="18" x14ac:dyDescent="0.3">
      <c r="A41" s="78"/>
      <c r="B41" s="79"/>
      <c r="C41" s="79"/>
      <c r="D41" s="94"/>
      <c r="E41" s="89"/>
      <c r="F41" s="89"/>
      <c r="G41" s="89"/>
      <c r="H41" s="89"/>
      <c r="I41" s="93"/>
      <c r="J41" s="91"/>
    </row>
    <row r="42" spans="1:10" ht="18" x14ac:dyDescent="0.3">
      <c r="A42" s="78"/>
      <c r="B42" s="79"/>
      <c r="C42" s="79"/>
      <c r="D42" s="94"/>
      <c r="E42" s="89"/>
      <c r="F42" s="89"/>
      <c r="G42" s="89"/>
      <c r="H42" s="89"/>
      <c r="I42" s="93"/>
      <c r="J42" s="91"/>
    </row>
    <row r="43" spans="1:10" ht="18" x14ac:dyDescent="0.3">
      <c r="A43" s="78"/>
      <c r="B43" s="79"/>
      <c r="C43" s="79"/>
      <c r="D43" s="94"/>
      <c r="E43" s="89"/>
      <c r="F43" s="89"/>
      <c r="G43" s="89"/>
      <c r="H43" s="89"/>
      <c r="I43" s="93"/>
      <c r="J43" s="91"/>
    </row>
    <row r="44" spans="1:10" ht="18" x14ac:dyDescent="0.3">
      <c r="A44" s="78"/>
      <c r="B44" s="79"/>
      <c r="C44" s="79"/>
      <c r="D44" s="94"/>
      <c r="E44" s="89"/>
      <c r="F44" s="89"/>
      <c r="G44" s="89"/>
      <c r="H44" s="89"/>
      <c r="I44" s="93"/>
      <c r="J44" s="91"/>
    </row>
    <row r="45" spans="1:10" ht="18" x14ac:dyDescent="0.3">
      <c r="A45" s="78"/>
      <c r="B45" s="79"/>
      <c r="C45" s="79"/>
      <c r="D45" s="94"/>
      <c r="E45" s="89"/>
      <c r="F45" s="89"/>
      <c r="G45" s="89"/>
      <c r="H45" s="89"/>
      <c r="I45" s="93"/>
      <c r="J45" s="91"/>
    </row>
    <row r="46" spans="1:10" ht="18" x14ac:dyDescent="0.3">
      <c r="A46" s="78"/>
      <c r="B46" s="79"/>
      <c r="C46" s="79"/>
      <c r="D46" s="94"/>
      <c r="E46" s="89"/>
      <c r="F46" s="89"/>
      <c r="G46" s="89"/>
      <c r="H46" s="89"/>
      <c r="I46" s="93"/>
      <c r="J46" s="91"/>
    </row>
    <row r="47" spans="1:10" ht="18" x14ac:dyDescent="0.3">
      <c r="A47" s="78"/>
      <c r="B47" s="79"/>
      <c r="C47" s="79"/>
      <c r="D47" s="94"/>
      <c r="E47" s="89"/>
      <c r="F47" s="89"/>
      <c r="G47" s="89"/>
      <c r="H47" s="89"/>
      <c r="I47" s="93"/>
      <c r="J47" s="91"/>
    </row>
    <row r="48" spans="1:10" ht="18" x14ac:dyDescent="0.3">
      <c r="A48" s="78"/>
      <c r="B48" s="79"/>
      <c r="C48" s="79"/>
      <c r="D48" s="94"/>
      <c r="E48" s="89"/>
      <c r="F48" s="89"/>
      <c r="G48" s="89"/>
      <c r="H48" s="89"/>
      <c r="I48" s="93"/>
      <c r="J48" s="91"/>
    </row>
    <row r="49" spans="1:10" ht="18" x14ac:dyDescent="0.3">
      <c r="A49" s="78"/>
      <c r="B49" s="79"/>
      <c r="C49" s="79"/>
      <c r="D49" s="94"/>
      <c r="E49" s="89"/>
      <c r="F49" s="89"/>
      <c r="G49" s="89"/>
      <c r="H49" s="89"/>
      <c r="I49" s="93"/>
      <c r="J49" s="91"/>
    </row>
    <row r="50" spans="1:10" ht="18" x14ac:dyDescent="0.3">
      <c r="A50" s="78"/>
      <c r="B50" s="79"/>
      <c r="C50" s="79"/>
      <c r="D50" s="94"/>
      <c r="E50" s="89"/>
      <c r="F50" s="89"/>
      <c r="G50" s="89"/>
      <c r="H50" s="89"/>
      <c r="I50" s="93"/>
      <c r="J50" s="91"/>
    </row>
    <row r="51" spans="1:10" ht="18" x14ac:dyDescent="0.3">
      <c r="A51" s="78"/>
      <c r="B51" s="79"/>
      <c r="C51" s="79"/>
      <c r="D51" s="95"/>
      <c r="E51" s="89"/>
      <c r="F51" s="89"/>
      <c r="G51" s="89"/>
      <c r="H51" s="89"/>
      <c r="I51" s="93"/>
      <c r="J51" s="91"/>
    </row>
    <row r="52" spans="1:10" ht="18.75" thickBot="1" x14ac:dyDescent="0.35">
      <c r="A52" s="78"/>
      <c r="B52" s="79"/>
      <c r="C52" s="79"/>
      <c r="D52" s="96"/>
      <c r="E52" s="97"/>
      <c r="F52" s="97"/>
      <c r="G52" s="97"/>
      <c r="H52" s="97"/>
      <c r="I52" s="99"/>
      <c r="J52" s="100">
        <f t="shared" ref="J52" si="1">+PRODUCT(E52:I52)</f>
        <v>0</v>
      </c>
    </row>
    <row r="53" spans="1:10" ht="21" thickBot="1" x14ac:dyDescent="0.35">
      <c r="A53" s="78"/>
      <c r="B53" s="79"/>
      <c r="C53" s="79"/>
      <c r="D53" s="933" t="s">
        <v>10</v>
      </c>
      <c r="E53" s="934"/>
      <c r="F53" s="934"/>
      <c r="G53" s="934"/>
      <c r="H53" s="934"/>
      <c r="I53" s="935"/>
      <c r="J53" s="102">
        <f>ROUND(SUM(J8:J52),2)</f>
        <v>706.54</v>
      </c>
    </row>
    <row r="54" spans="1:10" ht="21" thickBot="1" x14ac:dyDescent="0.35">
      <c r="A54" s="78"/>
      <c r="B54" s="79"/>
      <c r="C54" s="79"/>
      <c r="D54" s="933" t="s">
        <v>1127</v>
      </c>
      <c r="E54" s="934"/>
      <c r="F54" s="934"/>
      <c r="G54" s="934"/>
      <c r="H54" s="934"/>
      <c r="I54" s="935"/>
      <c r="J54" s="103"/>
    </row>
    <row r="55" spans="1:10" ht="21" thickBot="1" x14ac:dyDescent="0.35">
      <c r="A55" s="78"/>
      <c r="B55" s="79"/>
      <c r="C55" s="101"/>
      <c r="D55" s="933" t="s">
        <v>1128</v>
      </c>
      <c r="E55" s="934"/>
      <c r="F55" s="934"/>
      <c r="G55" s="934"/>
      <c r="H55" s="934"/>
      <c r="I55" s="935"/>
      <c r="J55" s="104">
        <f>+J53-J54</f>
        <v>706.54</v>
      </c>
    </row>
    <row r="56" spans="1:10" ht="21" thickBot="1" x14ac:dyDescent="0.35">
      <c r="A56" s="936" t="s">
        <v>1129</v>
      </c>
      <c r="B56" s="937"/>
      <c r="C56" s="938"/>
      <c r="D56" s="939" t="s">
        <v>1130</v>
      </c>
      <c r="E56" s="940"/>
      <c r="F56" s="940"/>
      <c r="G56" s="940"/>
      <c r="H56" s="940"/>
      <c r="I56" s="940"/>
      <c r="J56" s="941"/>
    </row>
    <row r="57" spans="1:10" ht="38.25" customHeight="1" thickBot="1" x14ac:dyDescent="0.35">
      <c r="A57" s="942" t="str">
        <f>PPTO!G3</f>
        <v>JUNIO DE 2026</v>
      </c>
      <c r="B57" s="943"/>
      <c r="C57" s="944"/>
      <c r="D57" s="921"/>
      <c r="E57" s="922"/>
      <c r="F57" s="922"/>
      <c r="G57" s="922"/>
      <c r="H57" s="922"/>
      <c r="I57" s="922"/>
      <c r="J57" s="923"/>
    </row>
    <row r="58" spans="1:10" ht="19.5" thickBot="1" x14ac:dyDescent="0.35">
      <c r="A58" s="918"/>
      <c r="B58" s="919"/>
      <c r="C58" s="920"/>
      <c r="D58" s="921" t="s">
        <v>1131</v>
      </c>
      <c r="E58" s="922"/>
      <c r="F58" s="922"/>
      <c r="G58" s="922"/>
      <c r="H58" s="922"/>
      <c r="I58" s="922"/>
      <c r="J58" s="923"/>
    </row>
  </sheetData>
  <mergeCells count="19">
    <mergeCell ref="A2:J2"/>
    <mergeCell ref="A3:J3"/>
    <mergeCell ref="A4:J4"/>
    <mergeCell ref="C5:D5"/>
    <mergeCell ref="G5:H5"/>
    <mergeCell ref="I5:J5"/>
    <mergeCell ref="A58:C58"/>
    <mergeCell ref="D58:J58"/>
    <mergeCell ref="D6:D7"/>
    <mergeCell ref="E6:G6"/>
    <mergeCell ref="I6:I7"/>
    <mergeCell ref="J6:J7"/>
    <mergeCell ref="D53:I53"/>
    <mergeCell ref="D54:I54"/>
    <mergeCell ref="D55:I55"/>
    <mergeCell ref="A56:C56"/>
    <mergeCell ref="D56:J56"/>
    <mergeCell ref="A57:C57"/>
    <mergeCell ref="D57:J57"/>
  </mergeCells>
  <conditionalFormatting sqref="J8:J52">
    <cfRule type="cellIs" dxfId="51" priority="1" operator="equal">
      <formula>0</formula>
    </cfRule>
  </conditionalFormatting>
  <pageMargins left="0.7" right="0.7" top="0.75" bottom="0.75" header="0.3" footer="0.3"/>
  <pageSetup scale="46" orientation="landscape"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D259D3-0DD8-4529-955C-417114392AA5}">
  <sheetPr>
    <tabColor rgb="FF92D050"/>
    <pageSetUpPr fitToPage="1"/>
  </sheetPr>
  <dimension ref="A1:J58"/>
  <sheetViews>
    <sheetView showOutlineSymbols="0" view="pageBreakPreview" zoomScale="60" zoomScaleNormal="70" workbookViewId="0">
      <selection activeCell="B24" sqref="B24"/>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05.75" customHeight="1" thickBot="1" x14ac:dyDescent="0.35">
      <c r="A5" s="72" t="s">
        <v>5</v>
      </c>
      <c r="B5" s="73">
        <f>PPTO!B34</f>
        <v>4.4000000000000004</v>
      </c>
      <c r="C5" s="913" t="str">
        <f>+VLOOKUP(B5,PPTO!B8:G94,2,FALSE)</f>
        <v>Suministro, transporte y aplicación de hidrófugo impermeabilizante del tipo siliconite (Sika transparente o equivalente) o equivalente para mampostería de fachadas, con todos los elementos necesarios para su correcta instalación y funcionamiento, incluye a su vez lavado con  aplicación de ácido nítrico e hidrosolve proporción 1:1:5 para lavada de muros interiores</v>
      </c>
      <c r="D5" s="914"/>
      <c r="E5" s="72" t="s">
        <v>7</v>
      </c>
      <c r="F5" s="74" t="str">
        <f>+VLOOKUP(B5,PPTO!B8:G94,3,FALSE)</f>
        <v>M2</v>
      </c>
      <c r="G5" s="915" t="s">
        <v>1120</v>
      </c>
      <c r="H5" s="915"/>
      <c r="I5" s="916">
        <f>+VLOOKUP(B5,PPTO!B8:G94,5,FALSE)</f>
        <v>24661</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8" x14ac:dyDescent="0.3">
      <c r="A8" s="78"/>
      <c r="B8" s="79"/>
      <c r="C8" s="79"/>
      <c r="D8" s="88" t="s">
        <v>1148</v>
      </c>
      <c r="E8" s="89"/>
      <c r="F8" s="89">
        <v>9.58</v>
      </c>
      <c r="G8" s="89">
        <v>2.7</v>
      </c>
      <c r="H8" s="89"/>
      <c r="I8" s="106">
        <v>4</v>
      </c>
      <c r="J8" s="87">
        <f>+PRODUCT(E8:I8)</f>
        <v>103.46400000000001</v>
      </c>
    </row>
    <row r="9" spans="1:10" ht="18" x14ac:dyDescent="0.3">
      <c r="A9" s="78"/>
      <c r="B9" s="79"/>
      <c r="C9" s="79"/>
      <c r="D9" s="88" t="s">
        <v>1149</v>
      </c>
      <c r="E9" s="89"/>
      <c r="F9" s="89">
        <v>17.72</v>
      </c>
      <c r="G9" s="89">
        <v>2.7</v>
      </c>
      <c r="H9" s="89"/>
      <c r="I9" s="106">
        <v>2</v>
      </c>
      <c r="J9" s="91">
        <f t="shared" ref="J9:J52" si="0">+PRODUCT(E9:I9)</f>
        <v>95.688000000000002</v>
      </c>
    </row>
    <row r="10" spans="1:10" ht="18" x14ac:dyDescent="0.3">
      <c r="A10" s="78"/>
      <c r="B10" s="79"/>
      <c r="C10" s="79"/>
      <c r="D10" s="88" t="s">
        <v>1150</v>
      </c>
      <c r="E10" s="89"/>
      <c r="F10" s="89">
        <v>3.1</v>
      </c>
      <c r="G10" s="89">
        <v>2.7</v>
      </c>
      <c r="H10" s="89"/>
      <c r="I10" s="106">
        <v>0</v>
      </c>
      <c r="J10" s="91">
        <f t="shared" si="0"/>
        <v>0</v>
      </c>
    </row>
    <row r="11" spans="1:10" ht="18" x14ac:dyDescent="0.3">
      <c r="A11" s="78"/>
      <c r="B11" s="79"/>
      <c r="C11" s="79"/>
      <c r="D11" s="88" t="s">
        <v>1151</v>
      </c>
      <c r="E11" s="89"/>
      <c r="F11" s="89">
        <v>1.9</v>
      </c>
      <c r="G11" s="89">
        <v>2.7</v>
      </c>
      <c r="H11" s="89"/>
      <c r="I11" s="106">
        <v>0</v>
      </c>
      <c r="J11" s="91">
        <f t="shared" si="0"/>
        <v>0</v>
      </c>
    </row>
    <row r="12" spans="1:10" ht="18" x14ac:dyDescent="0.3">
      <c r="A12" s="78"/>
      <c r="B12" s="79"/>
      <c r="C12" s="79"/>
      <c r="D12" s="88" t="s">
        <v>1152</v>
      </c>
      <c r="E12" s="89"/>
      <c r="F12" s="89">
        <v>4.12</v>
      </c>
      <c r="G12" s="89">
        <v>2.7</v>
      </c>
      <c r="H12" s="89"/>
      <c r="I12" s="106">
        <v>0</v>
      </c>
      <c r="J12" s="91">
        <f t="shared" si="0"/>
        <v>0</v>
      </c>
    </row>
    <row r="13" spans="1:10" ht="18" x14ac:dyDescent="0.3">
      <c r="A13" s="78"/>
      <c r="B13" s="79"/>
      <c r="C13" s="79"/>
      <c r="D13" s="88" t="s">
        <v>1153</v>
      </c>
      <c r="E13" s="89"/>
      <c r="F13" s="89">
        <v>2.33</v>
      </c>
      <c r="G13" s="89">
        <v>2.7</v>
      </c>
      <c r="H13" s="89"/>
      <c r="I13" s="106">
        <v>0</v>
      </c>
      <c r="J13" s="91">
        <f t="shared" si="0"/>
        <v>0</v>
      </c>
    </row>
    <row r="14" spans="1:10" ht="18" x14ac:dyDescent="0.3">
      <c r="A14" s="78"/>
      <c r="B14" s="79"/>
      <c r="C14" s="79"/>
      <c r="D14" s="88" t="s">
        <v>1154</v>
      </c>
      <c r="E14" s="89"/>
      <c r="F14" s="89">
        <v>0.45</v>
      </c>
      <c r="G14" s="89">
        <v>2.7</v>
      </c>
      <c r="H14" s="89"/>
      <c r="I14" s="106">
        <v>0</v>
      </c>
      <c r="J14" s="91">
        <f t="shared" si="0"/>
        <v>0</v>
      </c>
    </row>
    <row r="15" spans="1:10" ht="18" x14ac:dyDescent="0.3">
      <c r="A15" s="78"/>
      <c r="B15" s="79"/>
      <c r="C15" s="79"/>
      <c r="D15" s="88" t="s">
        <v>1155</v>
      </c>
      <c r="E15" s="89"/>
      <c r="F15" s="89">
        <v>12.08</v>
      </c>
      <c r="G15" s="89">
        <v>2.7</v>
      </c>
      <c r="H15" s="89"/>
      <c r="I15" s="106">
        <v>2</v>
      </c>
      <c r="J15" s="91">
        <f t="shared" si="0"/>
        <v>65.231999999999999</v>
      </c>
    </row>
    <row r="16" spans="1:10" ht="18" x14ac:dyDescent="0.3">
      <c r="A16" s="78"/>
      <c r="B16" s="79"/>
      <c r="C16" s="79"/>
      <c r="D16" s="88" t="s">
        <v>1156</v>
      </c>
      <c r="E16" s="89"/>
      <c r="F16" s="89">
        <v>4.08</v>
      </c>
      <c r="G16" s="89">
        <v>2.7</v>
      </c>
      <c r="H16" s="89"/>
      <c r="I16" s="106">
        <v>0</v>
      </c>
      <c r="J16" s="91">
        <f t="shared" si="0"/>
        <v>0</v>
      </c>
    </row>
    <row r="17" spans="1:10" ht="18" x14ac:dyDescent="0.3">
      <c r="A17" s="78"/>
      <c r="B17" s="79"/>
      <c r="C17" s="79"/>
      <c r="D17" s="88" t="s">
        <v>1157</v>
      </c>
      <c r="E17" s="89"/>
      <c r="F17" s="89">
        <v>1.77</v>
      </c>
      <c r="G17" s="89">
        <v>2.7</v>
      </c>
      <c r="H17" s="89"/>
      <c r="I17" s="106">
        <v>0</v>
      </c>
      <c r="J17" s="91">
        <f t="shared" si="0"/>
        <v>0</v>
      </c>
    </row>
    <row r="18" spans="1:10" ht="18" x14ac:dyDescent="0.3">
      <c r="A18" s="78"/>
      <c r="B18" s="79"/>
      <c r="C18" s="79"/>
      <c r="D18" s="88" t="s">
        <v>1158</v>
      </c>
      <c r="E18" s="89"/>
      <c r="F18" s="89">
        <v>3.12</v>
      </c>
      <c r="G18" s="89">
        <v>2.7</v>
      </c>
      <c r="H18" s="89"/>
      <c r="I18" s="106">
        <v>0</v>
      </c>
      <c r="J18" s="91">
        <f t="shared" si="0"/>
        <v>0</v>
      </c>
    </row>
    <row r="19" spans="1:10" ht="18" x14ac:dyDescent="0.3">
      <c r="A19" s="78"/>
      <c r="B19" s="79"/>
      <c r="C19" s="79"/>
      <c r="D19" s="88" t="s">
        <v>1159</v>
      </c>
      <c r="E19" s="89"/>
      <c r="F19" s="89">
        <v>5.7</v>
      </c>
      <c r="G19" s="89">
        <v>2.7</v>
      </c>
      <c r="H19" s="89"/>
      <c r="I19" s="106">
        <v>0</v>
      </c>
      <c r="J19" s="91">
        <f t="shared" si="0"/>
        <v>0</v>
      </c>
    </row>
    <row r="20" spans="1:10" ht="18" x14ac:dyDescent="0.3">
      <c r="A20" s="78"/>
      <c r="B20" s="79"/>
      <c r="C20" s="79"/>
      <c r="D20" s="88" t="s">
        <v>1160</v>
      </c>
      <c r="E20" s="89"/>
      <c r="F20" s="89">
        <v>2.4300000000000002</v>
      </c>
      <c r="G20" s="89">
        <v>2.7</v>
      </c>
      <c r="H20" s="89"/>
      <c r="I20" s="106">
        <v>0</v>
      </c>
      <c r="J20" s="91">
        <f t="shared" si="0"/>
        <v>0</v>
      </c>
    </row>
    <row r="21" spans="1:10" ht="18" x14ac:dyDescent="0.3">
      <c r="A21" s="78"/>
      <c r="B21" s="79"/>
      <c r="C21" s="79"/>
      <c r="D21" s="88" t="s">
        <v>1161</v>
      </c>
      <c r="E21" s="89"/>
      <c r="F21" s="89">
        <v>1.0900000000000001</v>
      </c>
      <c r="G21" s="89">
        <v>2.7</v>
      </c>
      <c r="H21" s="89"/>
      <c r="I21" s="106">
        <v>0</v>
      </c>
      <c r="J21" s="91">
        <f t="shared" si="0"/>
        <v>0</v>
      </c>
    </row>
    <row r="22" spans="1:10" ht="18" x14ac:dyDescent="0.3">
      <c r="A22" s="78"/>
      <c r="B22" s="79"/>
      <c r="C22" s="79"/>
      <c r="D22" s="88" t="s">
        <v>1162</v>
      </c>
      <c r="E22" s="89"/>
      <c r="F22" s="89">
        <v>3.89</v>
      </c>
      <c r="G22" s="89">
        <v>2.7</v>
      </c>
      <c r="H22" s="89"/>
      <c r="I22" s="106">
        <v>0</v>
      </c>
      <c r="J22" s="91">
        <f t="shared" si="0"/>
        <v>0</v>
      </c>
    </row>
    <row r="23" spans="1:10" ht="18" x14ac:dyDescent="0.3">
      <c r="A23" s="78"/>
      <c r="B23" s="79" t="s">
        <v>1184</v>
      </c>
      <c r="C23" s="79"/>
      <c r="D23" s="88"/>
      <c r="E23" s="89"/>
      <c r="F23" s="89"/>
      <c r="G23" s="89"/>
      <c r="H23" s="89"/>
      <c r="I23" s="90"/>
      <c r="J23" s="91"/>
    </row>
    <row r="24" spans="1:10" ht="18" x14ac:dyDescent="0.3">
      <c r="A24" s="78"/>
      <c r="B24" s="79"/>
      <c r="C24" s="79"/>
      <c r="D24" s="88"/>
      <c r="E24" s="89"/>
      <c r="F24" s="89"/>
      <c r="G24" s="89"/>
      <c r="H24" s="89"/>
      <c r="I24" s="90"/>
      <c r="J24" s="91"/>
    </row>
    <row r="25" spans="1:10" ht="18" x14ac:dyDescent="0.3">
      <c r="A25" s="78"/>
      <c r="B25" s="79"/>
      <c r="C25" s="79"/>
      <c r="D25" s="88"/>
      <c r="E25" s="89"/>
      <c r="F25" s="89"/>
      <c r="G25" s="89"/>
      <c r="H25" s="89"/>
      <c r="I25" s="90"/>
      <c r="J25" s="91"/>
    </row>
    <row r="26" spans="1:10" ht="18" x14ac:dyDescent="0.3">
      <c r="A26" s="78"/>
      <c r="B26" s="79"/>
      <c r="C26" s="79"/>
      <c r="D26" s="88"/>
      <c r="E26" s="89"/>
      <c r="F26" s="89"/>
      <c r="G26" s="89"/>
      <c r="H26" s="89"/>
      <c r="I26" s="90"/>
      <c r="J26" s="91"/>
    </row>
    <row r="27" spans="1:10" ht="18" x14ac:dyDescent="0.3">
      <c r="A27" s="78"/>
      <c r="B27" s="79"/>
      <c r="C27" s="79"/>
      <c r="D27" s="88"/>
      <c r="E27" s="89"/>
      <c r="F27" s="89"/>
      <c r="G27" s="89"/>
      <c r="H27" s="89"/>
      <c r="I27" s="90"/>
      <c r="J27" s="91"/>
    </row>
    <row r="28" spans="1:10" ht="18" x14ac:dyDescent="0.3">
      <c r="A28" s="78"/>
      <c r="B28" s="79"/>
      <c r="C28" s="79"/>
      <c r="D28" s="88"/>
      <c r="E28" s="89"/>
      <c r="F28" s="89"/>
      <c r="G28" s="92"/>
      <c r="H28" s="92"/>
      <c r="I28" s="93"/>
      <c r="J28" s="91"/>
    </row>
    <row r="29" spans="1:10" ht="18" x14ac:dyDescent="0.3">
      <c r="A29" s="78"/>
      <c r="B29" s="79"/>
      <c r="C29" s="79"/>
      <c r="D29" s="88"/>
      <c r="E29" s="89"/>
      <c r="F29" s="89"/>
      <c r="G29" s="89"/>
      <c r="H29" s="89"/>
      <c r="I29" s="90"/>
      <c r="J29" s="91"/>
    </row>
    <row r="30" spans="1:10" ht="18" x14ac:dyDescent="0.3">
      <c r="A30" s="78"/>
      <c r="B30" s="79"/>
      <c r="C30" s="79"/>
      <c r="D30" s="88"/>
      <c r="E30" s="89"/>
      <c r="F30" s="89"/>
      <c r="G30" s="89"/>
      <c r="H30" s="89"/>
      <c r="I30" s="90"/>
      <c r="J30" s="91"/>
    </row>
    <row r="31" spans="1:10" ht="18" x14ac:dyDescent="0.3">
      <c r="A31" s="78"/>
      <c r="B31" s="79"/>
      <c r="C31" s="79"/>
      <c r="D31" s="88"/>
      <c r="E31" s="89"/>
      <c r="F31" s="89"/>
      <c r="G31" s="89"/>
      <c r="H31" s="89"/>
      <c r="I31" s="90"/>
      <c r="J31" s="91"/>
    </row>
    <row r="32" spans="1:10" ht="18" x14ac:dyDescent="0.3">
      <c r="A32" s="78"/>
      <c r="B32" s="79"/>
      <c r="C32" s="79"/>
      <c r="D32" s="94"/>
      <c r="E32" s="89"/>
      <c r="F32" s="89"/>
      <c r="G32" s="89"/>
      <c r="H32" s="89"/>
      <c r="I32" s="93"/>
      <c r="J32" s="91"/>
    </row>
    <row r="33" spans="1:10" ht="18" x14ac:dyDescent="0.3">
      <c r="A33" s="78"/>
      <c r="B33" s="79"/>
      <c r="C33" s="79"/>
      <c r="D33" s="94"/>
      <c r="E33" s="89"/>
      <c r="F33" s="89"/>
      <c r="G33" s="89"/>
      <c r="H33" s="89"/>
      <c r="I33" s="93"/>
      <c r="J33" s="91"/>
    </row>
    <row r="34" spans="1:10" ht="18" x14ac:dyDescent="0.3">
      <c r="A34" s="78"/>
      <c r="B34" s="79"/>
      <c r="C34" s="79"/>
      <c r="D34" s="94"/>
      <c r="E34" s="89"/>
      <c r="F34" s="89"/>
      <c r="G34" s="89"/>
      <c r="H34" s="89"/>
      <c r="I34" s="93"/>
      <c r="J34" s="91"/>
    </row>
    <row r="35" spans="1:10" ht="18" x14ac:dyDescent="0.3">
      <c r="A35" s="78"/>
      <c r="B35" s="79"/>
      <c r="C35" s="79"/>
      <c r="D35" s="94"/>
      <c r="E35" s="89"/>
      <c r="F35" s="89"/>
      <c r="G35" s="89"/>
      <c r="H35" s="89"/>
      <c r="I35" s="93"/>
      <c r="J35" s="91"/>
    </row>
    <row r="36" spans="1:10" ht="18" x14ac:dyDescent="0.3">
      <c r="A36" s="78"/>
      <c r="B36" s="79"/>
      <c r="C36" s="79"/>
      <c r="D36" s="94"/>
      <c r="E36" s="89"/>
      <c r="F36" s="89"/>
      <c r="G36" s="89"/>
      <c r="H36" s="89"/>
      <c r="I36" s="93"/>
      <c r="J36" s="91"/>
    </row>
    <row r="37" spans="1:10" ht="18" x14ac:dyDescent="0.3">
      <c r="A37" s="78"/>
      <c r="B37" s="79"/>
      <c r="C37" s="79"/>
      <c r="D37" s="94"/>
      <c r="E37" s="89"/>
      <c r="F37" s="89"/>
      <c r="G37" s="89"/>
      <c r="H37" s="89"/>
      <c r="I37" s="93"/>
      <c r="J37" s="91"/>
    </row>
    <row r="38" spans="1:10" ht="18" x14ac:dyDescent="0.3">
      <c r="A38" s="78"/>
      <c r="B38" s="79"/>
      <c r="C38" s="79"/>
      <c r="D38" s="94"/>
      <c r="E38" s="89"/>
      <c r="F38" s="89"/>
      <c r="G38" s="89"/>
      <c r="H38" s="89"/>
      <c r="I38" s="93"/>
      <c r="J38" s="91"/>
    </row>
    <row r="39" spans="1:10" ht="18" x14ac:dyDescent="0.3">
      <c r="A39" s="78"/>
      <c r="B39" s="79"/>
      <c r="C39" s="79"/>
      <c r="D39" s="94"/>
      <c r="E39" s="89"/>
      <c r="F39" s="89"/>
      <c r="G39" s="89"/>
      <c r="H39" s="89"/>
      <c r="I39" s="93"/>
      <c r="J39" s="91"/>
    </row>
    <row r="40" spans="1:10" ht="18" x14ac:dyDescent="0.3">
      <c r="A40" s="78"/>
      <c r="B40" s="79"/>
      <c r="C40" s="79"/>
      <c r="D40" s="94"/>
      <c r="E40" s="89"/>
      <c r="F40" s="89"/>
      <c r="G40" s="89"/>
      <c r="H40" s="89"/>
      <c r="I40" s="93"/>
      <c r="J40" s="91"/>
    </row>
    <row r="41" spans="1:10" ht="18" x14ac:dyDescent="0.3">
      <c r="A41" s="78"/>
      <c r="B41" s="79"/>
      <c r="C41" s="79"/>
      <c r="D41" s="94"/>
      <c r="E41" s="89"/>
      <c r="F41" s="89"/>
      <c r="G41" s="89"/>
      <c r="H41" s="89"/>
      <c r="I41" s="93"/>
      <c r="J41" s="91"/>
    </row>
    <row r="42" spans="1:10" ht="18" x14ac:dyDescent="0.3">
      <c r="A42" s="78"/>
      <c r="B42" s="79"/>
      <c r="C42" s="79"/>
      <c r="D42" s="94"/>
      <c r="E42" s="89"/>
      <c r="F42" s="89"/>
      <c r="G42" s="89"/>
      <c r="H42" s="89"/>
      <c r="I42" s="93"/>
      <c r="J42" s="91"/>
    </row>
    <row r="43" spans="1:10" ht="18" x14ac:dyDescent="0.3">
      <c r="A43" s="78"/>
      <c r="B43" s="79"/>
      <c r="C43" s="79"/>
      <c r="D43" s="94"/>
      <c r="E43" s="89"/>
      <c r="F43" s="89"/>
      <c r="G43" s="89"/>
      <c r="H43" s="89"/>
      <c r="I43" s="93"/>
      <c r="J43" s="91"/>
    </row>
    <row r="44" spans="1:10" ht="18" x14ac:dyDescent="0.3">
      <c r="A44" s="78"/>
      <c r="B44" s="79"/>
      <c r="C44" s="79"/>
      <c r="D44" s="94"/>
      <c r="E44" s="89"/>
      <c r="F44" s="89"/>
      <c r="G44" s="89"/>
      <c r="H44" s="89"/>
      <c r="I44" s="93"/>
      <c r="J44" s="91"/>
    </row>
    <row r="45" spans="1:10" ht="18" x14ac:dyDescent="0.3">
      <c r="A45" s="78"/>
      <c r="B45" s="79"/>
      <c r="C45" s="79"/>
      <c r="D45" s="94"/>
      <c r="E45" s="89"/>
      <c r="F45" s="89"/>
      <c r="G45" s="89"/>
      <c r="H45" s="89"/>
      <c r="I45" s="93"/>
      <c r="J45" s="91"/>
    </row>
    <row r="46" spans="1:10" ht="18" x14ac:dyDescent="0.3">
      <c r="A46" s="78"/>
      <c r="B46" s="79"/>
      <c r="C46" s="79"/>
      <c r="D46" s="94"/>
      <c r="E46" s="89"/>
      <c r="F46" s="89"/>
      <c r="G46" s="89"/>
      <c r="H46" s="89"/>
      <c r="I46" s="93"/>
      <c r="J46" s="91"/>
    </row>
    <row r="47" spans="1:10" ht="18" x14ac:dyDescent="0.3">
      <c r="A47" s="78"/>
      <c r="B47" s="79"/>
      <c r="C47" s="79"/>
      <c r="D47" s="94"/>
      <c r="E47" s="89"/>
      <c r="F47" s="89"/>
      <c r="G47" s="89"/>
      <c r="H47" s="89"/>
      <c r="I47" s="93"/>
      <c r="J47" s="91"/>
    </row>
    <row r="48" spans="1:10" ht="18" x14ac:dyDescent="0.3">
      <c r="A48" s="78"/>
      <c r="B48" s="79"/>
      <c r="C48" s="79"/>
      <c r="D48" s="94"/>
      <c r="E48" s="89"/>
      <c r="F48" s="89"/>
      <c r="G48" s="89"/>
      <c r="H48" s="89"/>
      <c r="I48" s="93"/>
      <c r="J48" s="91"/>
    </row>
    <row r="49" spans="1:10" ht="18" x14ac:dyDescent="0.3">
      <c r="A49" s="78"/>
      <c r="B49" s="79"/>
      <c r="C49" s="79"/>
      <c r="D49" s="94"/>
      <c r="E49" s="89"/>
      <c r="F49" s="89"/>
      <c r="G49" s="89"/>
      <c r="H49" s="89"/>
      <c r="I49" s="93"/>
      <c r="J49" s="91"/>
    </row>
    <row r="50" spans="1:10" ht="18" x14ac:dyDescent="0.3">
      <c r="A50" s="78"/>
      <c r="B50" s="79"/>
      <c r="C50" s="79"/>
      <c r="D50" s="94"/>
      <c r="E50" s="89"/>
      <c r="F50" s="89"/>
      <c r="G50" s="89"/>
      <c r="H50" s="89"/>
      <c r="I50" s="93"/>
      <c r="J50" s="91"/>
    </row>
    <row r="51" spans="1:10" ht="18" x14ac:dyDescent="0.3">
      <c r="A51" s="78"/>
      <c r="B51" s="79"/>
      <c r="C51" s="79"/>
      <c r="D51" s="95"/>
      <c r="E51" s="89"/>
      <c r="F51" s="89"/>
      <c r="G51" s="89"/>
      <c r="H51" s="89"/>
      <c r="I51" s="93"/>
      <c r="J51" s="91"/>
    </row>
    <row r="52" spans="1:10" ht="18.75" thickBot="1" x14ac:dyDescent="0.35">
      <c r="A52" s="78"/>
      <c r="B52" s="79"/>
      <c r="C52" s="79"/>
      <c r="D52" s="96"/>
      <c r="E52" s="97"/>
      <c r="F52" s="97"/>
      <c r="G52" s="97"/>
      <c r="H52" s="97"/>
      <c r="I52" s="99"/>
      <c r="J52" s="91">
        <f t="shared" si="0"/>
        <v>0</v>
      </c>
    </row>
    <row r="53" spans="1:10" ht="21" thickBot="1" x14ac:dyDescent="0.35">
      <c r="A53" s="78"/>
      <c r="B53" s="79"/>
      <c r="C53" s="79"/>
      <c r="D53" s="933" t="s">
        <v>10</v>
      </c>
      <c r="E53" s="934"/>
      <c r="F53" s="934"/>
      <c r="G53" s="934"/>
      <c r="H53" s="934"/>
      <c r="I53" s="935"/>
      <c r="J53" s="102">
        <f>ROUND(SUM(J8:J52),2)</f>
        <v>264.38</v>
      </c>
    </row>
    <row r="54" spans="1:10" ht="21" thickBot="1" x14ac:dyDescent="0.35">
      <c r="A54" s="78"/>
      <c r="B54" s="79"/>
      <c r="C54" s="79"/>
      <c r="D54" s="933" t="s">
        <v>1127</v>
      </c>
      <c r="E54" s="934"/>
      <c r="F54" s="934"/>
      <c r="G54" s="934"/>
      <c r="H54" s="934"/>
      <c r="I54" s="935"/>
      <c r="J54" s="103"/>
    </row>
    <row r="55" spans="1:10" ht="21" thickBot="1" x14ac:dyDescent="0.35">
      <c r="A55" s="78"/>
      <c r="B55" s="79"/>
      <c r="C55" s="101"/>
      <c r="D55" s="933" t="s">
        <v>1128</v>
      </c>
      <c r="E55" s="934"/>
      <c r="F55" s="934"/>
      <c r="G55" s="934"/>
      <c r="H55" s="934"/>
      <c r="I55" s="935"/>
      <c r="J55" s="104">
        <f>+J53-J54</f>
        <v>264.38</v>
      </c>
    </row>
    <row r="56" spans="1:10" ht="21" thickBot="1" x14ac:dyDescent="0.35">
      <c r="A56" s="936" t="s">
        <v>1129</v>
      </c>
      <c r="B56" s="937"/>
      <c r="C56" s="938"/>
      <c r="D56" s="939" t="s">
        <v>1130</v>
      </c>
      <c r="E56" s="940"/>
      <c r="F56" s="940"/>
      <c r="G56" s="940"/>
      <c r="H56" s="940"/>
      <c r="I56" s="940"/>
      <c r="J56" s="941"/>
    </row>
    <row r="57" spans="1:10" ht="38.25" customHeight="1" thickBot="1" x14ac:dyDescent="0.35">
      <c r="A57" s="942" t="str">
        <f>PPTO!G3</f>
        <v>JUNIO DE 2026</v>
      </c>
      <c r="B57" s="943"/>
      <c r="C57" s="944"/>
      <c r="D57" s="921"/>
      <c r="E57" s="922"/>
      <c r="F57" s="922"/>
      <c r="G57" s="922"/>
      <c r="H57" s="922"/>
      <c r="I57" s="922"/>
      <c r="J57" s="923"/>
    </row>
    <row r="58" spans="1:10" ht="19.5" thickBot="1" x14ac:dyDescent="0.35">
      <c r="A58" s="918"/>
      <c r="B58" s="919"/>
      <c r="C58" s="920"/>
      <c r="D58" s="921" t="s">
        <v>1131</v>
      </c>
      <c r="E58" s="922"/>
      <c r="F58" s="922"/>
      <c r="G58" s="922"/>
      <c r="H58" s="922"/>
      <c r="I58" s="922"/>
      <c r="J58" s="923"/>
    </row>
  </sheetData>
  <mergeCells count="19">
    <mergeCell ref="A58:C58"/>
    <mergeCell ref="D58:J58"/>
    <mergeCell ref="D6:D7"/>
    <mergeCell ref="E6:G6"/>
    <mergeCell ref="I6:I7"/>
    <mergeCell ref="J6:J7"/>
    <mergeCell ref="D53:I53"/>
    <mergeCell ref="D54:I54"/>
    <mergeCell ref="D55:I55"/>
    <mergeCell ref="A56:C56"/>
    <mergeCell ref="D56:J56"/>
    <mergeCell ref="A57:C57"/>
    <mergeCell ref="D57:J57"/>
    <mergeCell ref="A2:J2"/>
    <mergeCell ref="A3:J3"/>
    <mergeCell ref="A4:J4"/>
    <mergeCell ref="C5:D5"/>
    <mergeCell ref="G5:H5"/>
    <mergeCell ref="I5:J5"/>
  </mergeCells>
  <conditionalFormatting sqref="J8:J52">
    <cfRule type="cellIs" dxfId="50" priority="1" operator="equal">
      <formula>0</formula>
    </cfRule>
  </conditionalFormatting>
  <pageMargins left="0.7" right="0.7" top="0.75" bottom="0.75" header="0.3" footer="0.3"/>
  <pageSetup scale="46" orientation="landscape"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B927AA-E00F-4742-8935-6D239687D059}">
  <sheetPr>
    <tabColor rgb="FF92D050"/>
    <pageSetUpPr fitToPage="1"/>
  </sheetPr>
  <dimension ref="A1:M58"/>
  <sheetViews>
    <sheetView showOutlineSymbols="0" view="pageBreakPreview" zoomScale="60" zoomScaleNormal="70" workbookViewId="0">
      <selection activeCell="B6" sqref="B6"/>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05.75" customHeight="1" thickBot="1" x14ac:dyDescent="0.35">
      <c r="A5" s="72" t="s">
        <v>5</v>
      </c>
      <c r="B5" s="73">
        <f>PPTO!B35</f>
        <v>4.5</v>
      </c>
      <c r="C5" s="913" t="str">
        <f>+VLOOKUP(B5,PPTO!B8:G94,2,FALSE)</f>
        <v>Suministro, transporte y colocación de estuco en muros. Incluye fajas, ranuras, filetes, y todos los demás elementos necesarios para su correcta construcción.</v>
      </c>
      <c r="D5" s="914"/>
      <c r="E5" s="72" t="s">
        <v>7</v>
      </c>
      <c r="F5" s="74" t="str">
        <f>+VLOOKUP(B5,PPTO!B8:G94,3,FALSE)</f>
        <v>M2</v>
      </c>
      <c r="G5" s="915" t="s">
        <v>1120</v>
      </c>
      <c r="H5" s="915"/>
      <c r="I5" s="916">
        <f>+VLOOKUP(B5,PPTO!B8:G94,5,FALSE)</f>
        <v>29511</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8" x14ac:dyDescent="0.3">
      <c r="A8" s="78"/>
      <c r="B8" s="79"/>
      <c r="C8" s="79"/>
      <c r="D8" s="84" t="s">
        <v>1148</v>
      </c>
      <c r="E8" s="453"/>
      <c r="F8" s="453">
        <v>9.58</v>
      </c>
      <c r="G8" s="453">
        <v>2.7</v>
      </c>
      <c r="H8" s="454">
        <v>14</v>
      </c>
      <c r="I8" s="454"/>
      <c r="J8" s="87">
        <f>+PRODUCT(F8:I8)</f>
        <v>362.12400000000002</v>
      </c>
    </row>
    <row r="9" spans="1:10" ht="18" x14ac:dyDescent="0.3">
      <c r="A9" s="78"/>
      <c r="B9" s="79"/>
      <c r="C9" s="79"/>
      <c r="D9" s="88" t="s">
        <v>1149</v>
      </c>
      <c r="E9" s="89"/>
      <c r="F9" s="89">
        <v>17.72</v>
      </c>
      <c r="G9" s="89">
        <v>2.7</v>
      </c>
      <c r="H9" s="106">
        <v>2</v>
      </c>
      <c r="I9" s="106"/>
      <c r="J9" s="91">
        <f t="shared" ref="J9:J22" si="0">+PRODUCT(F9:I9)</f>
        <v>95.688000000000002</v>
      </c>
    </row>
    <row r="10" spans="1:10" ht="18" x14ac:dyDescent="0.3">
      <c r="A10" s="78"/>
      <c r="B10" s="79"/>
      <c r="C10" s="79"/>
      <c r="D10" s="88" t="s">
        <v>1150</v>
      </c>
      <c r="E10" s="89"/>
      <c r="F10" s="89">
        <v>3.1</v>
      </c>
      <c r="G10" s="89">
        <v>2.7</v>
      </c>
      <c r="H10" s="106">
        <v>2</v>
      </c>
      <c r="I10" s="106"/>
      <c r="J10" s="91">
        <f t="shared" si="0"/>
        <v>16.740000000000002</v>
      </c>
    </row>
    <row r="11" spans="1:10" ht="18" x14ac:dyDescent="0.3">
      <c r="A11" s="78"/>
      <c r="B11" s="79"/>
      <c r="C11" s="79"/>
      <c r="D11" s="88" t="s">
        <v>1151</v>
      </c>
      <c r="E11" s="89"/>
      <c r="F11" s="89">
        <v>1.9</v>
      </c>
      <c r="G11" s="89">
        <v>2.7</v>
      </c>
      <c r="H11" s="106">
        <v>2</v>
      </c>
      <c r="I11" s="106"/>
      <c r="J11" s="91">
        <f t="shared" si="0"/>
        <v>10.26</v>
      </c>
    </row>
    <row r="12" spans="1:10" ht="18" x14ac:dyDescent="0.3">
      <c r="A12" s="78"/>
      <c r="B12" s="79"/>
      <c r="C12" s="79"/>
      <c r="D12" s="88" t="s">
        <v>1152</v>
      </c>
      <c r="E12" s="89"/>
      <c r="F12" s="89">
        <v>4.12</v>
      </c>
      <c r="G12" s="89">
        <v>2.7</v>
      </c>
      <c r="H12" s="106">
        <v>2</v>
      </c>
      <c r="I12" s="106"/>
      <c r="J12" s="91">
        <f t="shared" si="0"/>
        <v>22.248000000000001</v>
      </c>
    </row>
    <row r="13" spans="1:10" ht="18" x14ac:dyDescent="0.3">
      <c r="A13" s="78"/>
      <c r="B13" s="79"/>
      <c r="C13" s="79"/>
      <c r="D13" s="88" t="s">
        <v>1153</v>
      </c>
      <c r="E13" s="89"/>
      <c r="F13" s="89">
        <v>2.33</v>
      </c>
      <c r="G13" s="89">
        <v>2.7</v>
      </c>
      <c r="H13" s="106">
        <v>2</v>
      </c>
      <c r="I13" s="106"/>
      <c r="J13" s="91">
        <f t="shared" si="0"/>
        <v>12.582000000000001</v>
      </c>
    </row>
    <row r="14" spans="1:10" ht="18" x14ac:dyDescent="0.3">
      <c r="A14" s="78"/>
      <c r="B14" s="79"/>
      <c r="C14" s="79"/>
      <c r="D14" s="88" t="s">
        <v>1154</v>
      </c>
      <c r="E14" s="89"/>
      <c r="F14" s="89">
        <v>0.45</v>
      </c>
      <c r="G14" s="89">
        <v>2.7</v>
      </c>
      <c r="H14" s="106">
        <v>2</v>
      </c>
      <c r="I14" s="106"/>
      <c r="J14" s="91">
        <f t="shared" si="0"/>
        <v>2.4300000000000002</v>
      </c>
    </row>
    <row r="15" spans="1:10" ht="18" x14ac:dyDescent="0.3">
      <c r="A15" s="78"/>
      <c r="B15" s="79"/>
      <c r="C15" s="79"/>
      <c r="D15" s="88" t="s">
        <v>1155</v>
      </c>
      <c r="E15" s="89"/>
      <c r="F15" s="89">
        <v>12.08</v>
      </c>
      <c r="G15" s="89">
        <v>2.7</v>
      </c>
      <c r="H15" s="106">
        <v>2</v>
      </c>
      <c r="I15" s="106"/>
      <c r="J15" s="91">
        <f t="shared" si="0"/>
        <v>65.231999999999999</v>
      </c>
    </row>
    <row r="16" spans="1:10" ht="18" x14ac:dyDescent="0.3">
      <c r="A16" s="78"/>
      <c r="B16" s="79"/>
      <c r="C16" s="79"/>
      <c r="D16" s="88" t="s">
        <v>1156</v>
      </c>
      <c r="E16" s="89"/>
      <c r="F16" s="89">
        <v>4.08</v>
      </c>
      <c r="G16" s="89">
        <v>2.7</v>
      </c>
      <c r="H16" s="106">
        <v>2</v>
      </c>
      <c r="I16" s="106"/>
      <c r="J16" s="91">
        <f t="shared" si="0"/>
        <v>22.032000000000004</v>
      </c>
    </row>
    <row r="17" spans="1:10" ht="18" x14ac:dyDescent="0.3">
      <c r="A17" s="78"/>
      <c r="B17" s="79"/>
      <c r="C17" s="79"/>
      <c r="D17" s="88" t="s">
        <v>1157</v>
      </c>
      <c r="E17" s="89"/>
      <c r="F17" s="89">
        <v>1.77</v>
      </c>
      <c r="G17" s="89">
        <v>2.7</v>
      </c>
      <c r="H17" s="106">
        <v>2</v>
      </c>
      <c r="I17" s="106"/>
      <c r="J17" s="91">
        <f t="shared" si="0"/>
        <v>9.5580000000000016</v>
      </c>
    </row>
    <row r="18" spans="1:10" ht="18" x14ac:dyDescent="0.3">
      <c r="A18" s="78"/>
      <c r="B18" s="79"/>
      <c r="C18" s="79"/>
      <c r="D18" s="88" t="s">
        <v>1158</v>
      </c>
      <c r="E18" s="89"/>
      <c r="F18" s="89">
        <v>3.12</v>
      </c>
      <c r="G18" s="89">
        <v>2.7</v>
      </c>
      <c r="H18" s="106">
        <v>2</v>
      </c>
      <c r="I18" s="106"/>
      <c r="J18" s="91">
        <f t="shared" si="0"/>
        <v>16.848000000000003</v>
      </c>
    </row>
    <row r="19" spans="1:10" ht="18" x14ac:dyDescent="0.3">
      <c r="A19" s="78"/>
      <c r="B19" s="79"/>
      <c r="C19" s="79"/>
      <c r="D19" s="88" t="s">
        <v>1159</v>
      </c>
      <c r="E19" s="89"/>
      <c r="F19" s="89">
        <v>5.7</v>
      </c>
      <c r="G19" s="89">
        <v>2.7</v>
      </c>
      <c r="H19" s="106">
        <v>2</v>
      </c>
      <c r="I19" s="106"/>
      <c r="J19" s="91">
        <f t="shared" si="0"/>
        <v>30.780000000000005</v>
      </c>
    </row>
    <row r="20" spans="1:10" ht="18" x14ac:dyDescent="0.3">
      <c r="A20" s="78"/>
      <c r="B20" s="79"/>
      <c r="C20" s="79"/>
      <c r="D20" s="88" t="s">
        <v>1160</v>
      </c>
      <c r="E20" s="89"/>
      <c r="F20" s="89">
        <v>2.4300000000000002</v>
      </c>
      <c r="G20" s="89">
        <v>2.7</v>
      </c>
      <c r="H20" s="106">
        <v>2</v>
      </c>
      <c r="I20" s="106"/>
      <c r="J20" s="91">
        <f t="shared" si="0"/>
        <v>13.122000000000002</v>
      </c>
    </row>
    <row r="21" spans="1:10" ht="18" x14ac:dyDescent="0.3">
      <c r="A21" s="78"/>
      <c r="B21" s="79"/>
      <c r="C21" s="79"/>
      <c r="D21" s="88" t="s">
        <v>1161</v>
      </c>
      <c r="E21" s="89"/>
      <c r="F21" s="89">
        <v>1.0900000000000001</v>
      </c>
      <c r="G21" s="89">
        <v>2.7</v>
      </c>
      <c r="H21" s="106">
        <v>2</v>
      </c>
      <c r="I21" s="106"/>
      <c r="J21" s="91">
        <f t="shared" si="0"/>
        <v>5.886000000000001</v>
      </c>
    </row>
    <row r="22" spans="1:10" ht="18" x14ac:dyDescent="0.3">
      <c r="A22" s="78"/>
      <c r="B22" s="79"/>
      <c r="C22" s="79"/>
      <c r="D22" s="88" t="s">
        <v>1162</v>
      </c>
      <c r="E22" s="89"/>
      <c r="F22" s="89">
        <v>3.89</v>
      </c>
      <c r="G22" s="89">
        <v>2.7</v>
      </c>
      <c r="H22" s="106">
        <v>2</v>
      </c>
      <c r="I22" s="106"/>
      <c r="J22" s="91">
        <f t="shared" si="0"/>
        <v>21.006000000000004</v>
      </c>
    </row>
    <row r="23" spans="1:10" ht="18" x14ac:dyDescent="0.3">
      <c r="A23" s="78"/>
      <c r="B23" s="79"/>
      <c r="C23" s="79"/>
      <c r="D23" s="88"/>
      <c r="E23" s="89"/>
      <c r="F23" s="89"/>
      <c r="G23" s="89"/>
      <c r="H23" s="89"/>
      <c r="I23" s="90"/>
      <c r="J23" s="91"/>
    </row>
    <row r="24" spans="1:10" ht="18" x14ac:dyDescent="0.3">
      <c r="A24" s="78"/>
      <c r="B24" s="79"/>
      <c r="C24" s="79"/>
      <c r="D24" s="88"/>
      <c r="E24" s="89"/>
      <c r="F24" s="89"/>
      <c r="G24" s="89"/>
      <c r="H24" s="89"/>
      <c r="I24" s="90"/>
      <c r="J24" s="91"/>
    </row>
    <row r="25" spans="1:10" ht="18" x14ac:dyDescent="0.3">
      <c r="A25" s="78"/>
      <c r="B25" s="79"/>
      <c r="C25" s="79"/>
      <c r="D25" s="88"/>
      <c r="E25" s="89"/>
      <c r="F25" s="89"/>
      <c r="G25" s="89"/>
      <c r="H25" s="89"/>
      <c r="I25" s="90"/>
      <c r="J25" s="91"/>
    </row>
    <row r="26" spans="1:10" ht="18" x14ac:dyDescent="0.3">
      <c r="A26" s="78"/>
      <c r="B26" s="79"/>
      <c r="C26" s="79"/>
      <c r="D26" s="88"/>
      <c r="E26" s="89"/>
      <c r="F26" s="89"/>
      <c r="G26" s="89"/>
      <c r="H26" s="89"/>
      <c r="I26" s="90"/>
      <c r="J26" s="91"/>
    </row>
    <row r="27" spans="1:10" ht="18" x14ac:dyDescent="0.3">
      <c r="A27" s="78"/>
      <c r="B27" s="79"/>
      <c r="C27" s="79"/>
      <c r="D27" s="88"/>
      <c r="E27" s="89"/>
      <c r="F27" s="89"/>
      <c r="G27" s="89"/>
      <c r="H27" s="89"/>
      <c r="I27" s="90"/>
      <c r="J27" s="91"/>
    </row>
    <row r="28" spans="1:10" ht="18" x14ac:dyDescent="0.3">
      <c r="A28" s="78"/>
      <c r="B28" s="79"/>
      <c r="C28" s="79"/>
      <c r="D28" s="88"/>
      <c r="E28" s="89"/>
      <c r="F28" s="89"/>
      <c r="G28" s="92"/>
      <c r="H28" s="92"/>
      <c r="I28" s="93"/>
      <c r="J28" s="91"/>
    </row>
    <row r="29" spans="1:10" ht="18" x14ac:dyDescent="0.3">
      <c r="A29" s="78"/>
      <c r="B29" s="79"/>
      <c r="C29" s="79"/>
      <c r="D29" s="88"/>
      <c r="E29" s="89"/>
      <c r="F29" s="89"/>
      <c r="G29" s="89"/>
      <c r="H29" s="89"/>
      <c r="I29" s="90"/>
      <c r="J29" s="91"/>
    </row>
    <row r="30" spans="1:10" ht="18" x14ac:dyDescent="0.3">
      <c r="A30" s="78"/>
      <c r="B30" s="79"/>
      <c r="C30" s="79"/>
      <c r="D30" s="88"/>
      <c r="E30" s="89"/>
      <c r="F30" s="89"/>
      <c r="G30" s="89"/>
      <c r="H30" s="89"/>
      <c r="I30" s="90"/>
      <c r="J30" s="91"/>
    </row>
    <row r="31" spans="1:10" ht="18" x14ac:dyDescent="0.3">
      <c r="A31" s="78"/>
      <c r="B31" s="79"/>
      <c r="C31" s="79"/>
      <c r="D31" s="88"/>
      <c r="E31" s="89"/>
      <c r="F31" s="89"/>
      <c r="G31" s="89"/>
      <c r="H31" s="89"/>
      <c r="I31" s="90"/>
      <c r="J31" s="91"/>
    </row>
    <row r="32" spans="1:10" ht="18" x14ac:dyDescent="0.3">
      <c r="A32" s="78"/>
      <c r="B32" s="79"/>
      <c r="C32" s="79"/>
      <c r="D32" s="94"/>
      <c r="E32" s="89"/>
      <c r="F32" s="89"/>
      <c r="G32" s="89"/>
      <c r="H32" s="89"/>
      <c r="I32" s="93"/>
      <c r="J32" s="91"/>
    </row>
    <row r="33" spans="1:10" ht="18" x14ac:dyDescent="0.3">
      <c r="A33" s="78"/>
      <c r="B33" s="79"/>
      <c r="C33" s="79"/>
      <c r="D33" s="94"/>
      <c r="E33" s="89"/>
      <c r="F33" s="89"/>
      <c r="G33" s="89"/>
      <c r="H33" s="89"/>
      <c r="I33" s="93"/>
      <c r="J33" s="91"/>
    </row>
    <row r="34" spans="1:10" ht="18" x14ac:dyDescent="0.3">
      <c r="A34" s="78"/>
      <c r="B34" s="79"/>
      <c r="C34" s="79"/>
      <c r="D34" s="94"/>
      <c r="E34" s="89"/>
      <c r="F34" s="89"/>
      <c r="G34" s="89"/>
      <c r="H34" s="89"/>
      <c r="I34" s="93"/>
      <c r="J34" s="91"/>
    </row>
    <row r="35" spans="1:10" ht="18" x14ac:dyDescent="0.3">
      <c r="A35" s="78"/>
      <c r="B35" s="79"/>
      <c r="C35" s="79"/>
      <c r="D35" s="94"/>
      <c r="E35" s="89"/>
      <c r="F35" s="89"/>
      <c r="G35" s="89"/>
      <c r="H35" s="89"/>
      <c r="I35" s="93"/>
      <c r="J35" s="91"/>
    </row>
    <row r="36" spans="1:10" ht="18" x14ac:dyDescent="0.3">
      <c r="A36" s="78"/>
      <c r="B36" s="79"/>
      <c r="C36" s="79"/>
      <c r="D36" s="94"/>
      <c r="E36" s="89"/>
      <c r="F36" s="89"/>
      <c r="G36" s="89"/>
      <c r="H36" s="89"/>
      <c r="I36" s="93"/>
      <c r="J36" s="91"/>
    </row>
    <row r="37" spans="1:10" ht="18" x14ac:dyDescent="0.3">
      <c r="A37" s="78"/>
      <c r="B37" s="79"/>
      <c r="C37" s="79"/>
      <c r="D37" s="94"/>
      <c r="E37" s="89"/>
      <c r="F37" s="89"/>
      <c r="G37" s="89"/>
      <c r="H37" s="89"/>
      <c r="I37" s="93"/>
      <c r="J37" s="91"/>
    </row>
    <row r="38" spans="1:10" ht="18" x14ac:dyDescent="0.3">
      <c r="A38" s="78"/>
      <c r="B38" s="79"/>
      <c r="C38" s="79"/>
      <c r="D38" s="94"/>
      <c r="E38" s="89"/>
      <c r="F38" s="89"/>
      <c r="G38" s="89"/>
      <c r="H38" s="89"/>
      <c r="I38" s="93"/>
      <c r="J38" s="91"/>
    </row>
    <row r="39" spans="1:10" ht="18" x14ac:dyDescent="0.3">
      <c r="A39" s="78"/>
      <c r="B39" s="79"/>
      <c r="C39" s="79"/>
      <c r="D39" s="94"/>
      <c r="E39" s="89"/>
      <c r="F39" s="89"/>
      <c r="G39" s="89"/>
      <c r="H39" s="89"/>
      <c r="I39" s="93"/>
      <c r="J39" s="91"/>
    </row>
    <row r="40" spans="1:10" ht="18" x14ac:dyDescent="0.3">
      <c r="A40" s="78"/>
      <c r="B40" s="79"/>
      <c r="C40" s="79"/>
      <c r="D40" s="94"/>
      <c r="E40" s="89"/>
      <c r="F40" s="89"/>
      <c r="G40" s="89"/>
      <c r="H40" s="89"/>
      <c r="I40" s="93"/>
      <c r="J40" s="91"/>
    </row>
    <row r="41" spans="1:10" ht="18" x14ac:dyDescent="0.3">
      <c r="A41" s="78"/>
      <c r="B41" s="79"/>
      <c r="C41" s="79"/>
      <c r="D41" s="94"/>
      <c r="E41" s="89"/>
      <c r="F41" s="89"/>
      <c r="G41" s="89"/>
      <c r="H41" s="89"/>
      <c r="I41" s="93"/>
      <c r="J41" s="91"/>
    </row>
    <row r="42" spans="1:10" ht="18" x14ac:dyDescent="0.3">
      <c r="A42" s="78"/>
      <c r="B42" s="79"/>
      <c r="C42" s="79"/>
      <c r="D42" s="94"/>
      <c r="E42" s="89"/>
      <c r="F42" s="89"/>
      <c r="G42" s="89"/>
      <c r="H42" s="89"/>
      <c r="I42" s="93"/>
      <c r="J42" s="91"/>
    </row>
    <row r="43" spans="1:10" ht="18" x14ac:dyDescent="0.3">
      <c r="A43" s="78"/>
      <c r="B43" s="79"/>
      <c r="C43" s="79"/>
      <c r="D43" s="94"/>
      <c r="E43" s="89"/>
      <c r="F43" s="89"/>
      <c r="G43" s="89"/>
      <c r="H43" s="89"/>
      <c r="I43" s="93"/>
      <c r="J43" s="91"/>
    </row>
    <row r="44" spans="1:10" ht="18" x14ac:dyDescent="0.3">
      <c r="A44" s="78"/>
      <c r="B44" s="79"/>
      <c r="C44" s="79"/>
      <c r="D44" s="94"/>
      <c r="E44" s="89"/>
      <c r="F44" s="89"/>
      <c r="G44" s="89"/>
      <c r="H44" s="89"/>
      <c r="I44" s="93"/>
      <c r="J44" s="91"/>
    </row>
    <row r="45" spans="1:10" ht="18" x14ac:dyDescent="0.3">
      <c r="A45" s="78"/>
      <c r="B45" s="79"/>
      <c r="C45" s="79"/>
      <c r="D45" s="94"/>
      <c r="E45" s="89"/>
      <c r="F45" s="89"/>
      <c r="G45" s="89"/>
      <c r="H45" s="89"/>
      <c r="I45" s="93"/>
      <c r="J45" s="91"/>
    </row>
    <row r="46" spans="1:10" ht="18" x14ac:dyDescent="0.3">
      <c r="A46" s="78"/>
      <c r="B46" s="79"/>
      <c r="C46" s="79"/>
      <c r="D46" s="94"/>
      <c r="E46" s="89"/>
      <c r="F46" s="89"/>
      <c r="G46" s="89"/>
      <c r="H46" s="89"/>
      <c r="I46" s="93"/>
      <c r="J46" s="91"/>
    </row>
    <row r="47" spans="1:10" ht="18" x14ac:dyDescent="0.3">
      <c r="A47" s="78"/>
      <c r="B47" s="79"/>
      <c r="C47" s="79"/>
      <c r="D47" s="94"/>
      <c r="E47" s="89"/>
      <c r="F47" s="89"/>
      <c r="G47" s="89"/>
      <c r="H47" s="89"/>
      <c r="I47" s="93"/>
      <c r="J47" s="91"/>
    </row>
    <row r="48" spans="1:10" ht="18" x14ac:dyDescent="0.3">
      <c r="A48" s="78"/>
      <c r="B48" s="79"/>
      <c r="C48" s="79"/>
      <c r="D48" s="94"/>
      <c r="E48" s="89"/>
      <c r="F48" s="89"/>
      <c r="G48" s="89"/>
      <c r="H48" s="89"/>
      <c r="I48" s="93"/>
      <c r="J48" s="91"/>
    </row>
    <row r="49" spans="1:13" ht="18" x14ac:dyDescent="0.3">
      <c r="A49" s="78"/>
      <c r="B49" s="79"/>
      <c r="C49" s="79"/>
      <c r="D49" s="94"/>
      <c r="E49" s="89"/>
      <c r="F49" s="89"/>
      <c r="G49" s="89"/>
      <c r="H49" s="89"/>
      <c r="I49" s="93"/>
      <c r="J49" s="91"/>
    </row>
    <row r="50" spans="1:13" ht="18" x14ac:dyDescent="0.3">
      <c r="A50" s="78"/>
      <c r="B50" s="79"/>
      <c r="C50" s="79"/>
      <c r="D50" s="94"/>
      <c r="E50" s="89"/>
      <c r="F50" s="89"/>
      <c r="G50" s="89"/>
      <c r="H50" s="89"/>
      <c r="I50" s="93"/>
      <c r="J50" s="91"/>
    </row>
    <row r="51" spans="1:13" ht="18" x14ac:dyDescent="0.3">
      <c r="A51" s="78"/>
      <c r="B51" s="79"/>
      <c r="C51" s="79"/>
      <c r="D51" s="95"/>
      <c r="E51" s="89"/>
      <c r="F51" s="89"/>
      <c r="G51" s="89"/>
      <c r="H51" s="89"/>
      <c r="I51" s="93"/>
      <c r="J51" s="91"/>
    </row>
    <row r="52" spans="1:13" ht="18.75" thickBot="1" x14ac:dyDescent="0.35">
      <c r="A52" s="78"/>
      <c r="B52" s="79"/>
      <c r="C52" s="79"/>
      <c r="D52" s="96"/>
      <c r="E52" s="97"/>
      <c r="F52" s="97"/>
      <c r="G52" s="97"/>
      <c r="H52" s="97"/>
      <c r="I52" s="99"/>
      <c r="J52" s="91">
        <f t="shared" ref="J52" si="1">+PRODUCT(E52:I52)</f>
        <v>0</v>
      </c>
      <c r="M52" s="105"/>
    </row>
    <row r="53" spans="1:13" ht="21" thickBot="1" x14ac:dyDescent="0.35">
      <c r="A53" s="78"/>
      <c r="B53" s="79"/>
      <c r="C53" s="79"/>
      <c r="D53" s="933" t="s">
        <v>10</v>
      </c>
      <c r="E53" s="934"/>
      <c r="F53" s="934"/>
      <c r="G53" s="934"/>
      <c r="H53" s="934"/>
      <c r="I53" s="935"/>
      <c r="J53" s="102">
        <f>ROUND(SUM(J8:J52),2)</f>
        <v>706.54</v>
      </c>
    </row>
    <row r="54" spans="1:13" ht="21" thickBot="1" x14ac:dyDescent="0.35">
      <c r="A54" s="78"/>
      <c r="B54" s="79"/>
      <c r="C54" s="79"/>
      <c r="D54" s="933" t="s">
        <v>1127</v>
      </c>
      <c r="E54" s="934"/>
      <c r="F54" s="934"/>
      <c r="G54" s="934"/>
      <c r="H54" s="934"/>
      <c r="I54" s="935"/>
      <c r="J54" s="103"/>
    </row>
    <row r="55" spans="1:13" ht="21" thickBot="1" x14ac:dyDescent="0.35">
      <c r="A55" s="78"/>
      <c r="B55" s="79"/>
      <c r="C55" s="101"/>
      <c r="D55" s="933" t="s">
        <v>1128</v>
      </c>
      <c r="E55" s="934"/>
      <c r="F55" s="934"/>
      <c r="G55" s="934"/>
      <c r="H55" s="934"/>
      <c r="I55" s="935"/>
      <c r="J55" s="104">
        <f>+J53-J54</f>
        <v>706.54</v>
      </c>
    </row>
    <row r="56" spans="1:13" ht="21" thickBot="1" x14ac:dyDescent="0.35">
      <c r="A56" s="936" t="s">
        <v>1129</v>
      </c>
      <c r="B56" s="937"/>
      <c r="C56" s="938"/>
      <c r="D56" s="939" t="s">
        <v>1130</v>
      </c>
      <c r="E56" s="940"/>
      <c r="F56" s="940"/>
      <c r="G56" s="940"/>
      <c r="H56" s="940"/>
      <c r="I56" s="940"/>
      <c r="J56" s="941"/>
    </row>
    <row r="57" spans="1:13" ht="38.25" customHeight="1" thickBot="1" x14ac:dyDescent="0.35">
      <c r="A57" s="942" t="str">
        <f>PPTO!G3</f>
        <v>JUNIO DE 2026</v>
      </c>
      <c r="B57" s="943"/>
      <c r="C57" s="944"/>
      <c r="D57" s="921"/>
      <c r="E57" s="922"/>
      <c r="F57" s="922"/>
      <c r="G57" s="922"/>
      <c r="H57" s="922"/>
      <c r="I57" s="922"/>
      <c r="J57" s="923"/>
    </row>
    <row r="58" spans="1:13" ht="19.5" thickBot="1" x14ac:dyDescent="0.35">
      <c r="A58" s="918"/>
      <c r="B58" s="919"/>
      <c r="C58" s="920"/>
      <c r="D58" s="921" t="s">
        <v>1131</v>
      </c>
      <c r="E58" s="922"/>
      <c r="F58" s="922"/>
      <c r="G58" s="922"/>
      <c r="H58" s="922"/>
      <c r="I58" s="922"/>
      <c r="J58" s="923"/>
    </row>
  </sheetData>
  <mergeCells count="19">
    <mergeCell ref="A2:J2"/>
    <mergeCell ref="A3:J3"/>
    <mergeCell ref="A4:J4"/>
    <mergeCell ref="C5:D5"/>
    <mergeCell ref="G5:H5"/>
    <mergeCell ref="I5:J5"/>
    <mergeCell ref="A58:C58"/>
    <mergeCell ref="D58:J58"/>
    <mergeCell ref="D6:D7"/>
    <mergeCell ref="E6:G6"/>
    <mergeCell ref="I6:I7"/>
    <mergeCell ref="J6:J7"/>
    <mergeCell ref="D53:I53"/>
    <mergeCell ref="D54:I54"/>
    <mergeCell ref="D55:I55"/>
    <mergeCell ref="A56:C56"/>
    <mergeCell ref="D56:J56"/>
    <mergeCell ref="A57:C57"/>
    <mergeCell ref="D57:J57"/>
  </mergeCells>
  <conditionalFormatting sqref="J8:J52">
    <cfRule type="cellIs" dxfId="49" priority="1" operator="equal">
      <formula>0</formula>
    </cfRule>
  </conditionalFormatting>
  <pageMargins left="0.7" right="0.7" top="0.75" bottom="0.75" header="0.3" footer="0.3"/>
  <pageSetup scale="46" orientation="landscape"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58337F-6308-44DB-8FCF-16CD2F94D20C}">
  <sheetPr>
    <tabColor rgb="FF92D050"/>
    <pageSetUpPr fitToPage="1"/>
  </sheetPr>
  <dimension ref="A1:M58"/>
  <sheetViews>
    <sheetView showOutlineSymbols="0" view="pageBreakPreview" zoomScale="60" zoomScaleNormal="70" workbookViewId="0">
      <selection activeCell="L27" sqref="L27:L28"/>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05.75" customHeight="1" thickBot="1" x14ac:dyDescent="0.35">
      <c r="A5" s="72" t="s">
        <v>5</v>
      </c>
      <c r="B5" s="73">
        <f>PPTO!B36</f>
        <v>4.5999999999999996</v>
      </c>
      <c r="C5" s="913" t="str">
        <f>+VLOOKUP(B5,PPTO!B8:G94,2,FALSE)</f>
        <v xml:space="preserve">Suministro y aplicación de pintura tipo 1, tres manos, incluye la preparación de la superficie y todos los insumos necesarios para el desarrollo de la actividad. </v>
      </c>
      <c r="D5" s="914"/>
      <c r="E5" s="72" t="s">
        <v>7</v>
      </c>
      <c r="F5" s="74" t="str">
        <f>+VLOOKUP(B5,PPTO!B8:G94,3,FALSE)</f>
        <v>M2</v>
      </c>
      <c r="G5" s="915" t="s">
        <v>1120</v>
      </c>
      <c r="H5" s="915"/>
      <c r="I5" s="916">
        <f>+VLOOKUP(B5,PPTO!B8:G94,5,FALSE)</f>
        <v>31431</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8" x14ac:dyDescent="0.3">
      <c r="A8" s="78"/>
      <c r="B8" s="79"/>
      <c r="C8" s="79"/>
      <c r="D8" s="84" t="s">
        <v>1148</v>
      </c>
      <c r="E8" s="453"/>
      <c r="F8" s="453">
        <v>9.58</v>
      </c>
      <c r="G8" s="453">
        <v>2.7</v>
      </c>
      <c r="H8" s="454">
        <v>14</v>
      </c>
      <c r="I8" s="454"/>
      <c r="J8" s="87">
        <f>+PRODUCT(F8:I8)</f>
        <v>362.12400000000002</v>
      </c>
    </row>
    <row r="9" spans="1:10" ht="18" x14ac:dyDescent="0.3">
      <c r="A9" s="78"/>
      <c r="B9" s="79"/>
      <c r="C9" s="79"/>
      <c r="D9" s="88" t="s">
        <v>1149</v>
      </c>
      <c r="E9" s="89"/>
      <c r="F9" s="89">
        <v>17.72</v>
      </c>
      <c r="G9" s="89">
        <v>2.7</v>
      </c>
      <c r="H9" s="106">
        <v>2</v>
      </c>
      <c r="I9" s="106"/>
      <c r="J9" s="91">
        <f t="shared" ref="J9:J22" si="0">+PRODUCT(F9:I9)</f>
        <v>95.688000000000002</v>
      </c>
    </row>
    <row r="10" spans="1:10" ht="18" x14ac:dyDescent="0.3">
      <c r="A10" s="78"/>
      <c r="B10" s="79"/>
      <c r="C10" s="79"/>
      <c r="D10" s="88" t="s">
        <v>1150</v>
      </c>
      <c r="E10" s="89"/>
      <c r="F10" s="89">
        <v>3.1</v>
      </c>
      <c r="G10" s="89">
        <v>2.7</v>
      </c>
      <c r="H10" s="106">
        <v>2</v>
      </c>
      <c r="I10" s="106"/>
      <c r="J10" s="91">
        <f t="shared" si="0"/>
        <v>16.740000000000002</v>
      </c>
    </row>
    <row r="11" spans="1:10" ht="18" x14ac:dyDescent="0.3">
      <c r="A11" s="78"/>
      <c r="B11" s="79"/>
      <c r="C11" s="79"/>
      <c r="D11" s="88" t="s">
        <v>1151</v>
      </c>
      <c r="E11" s="89"/>
      <c r="F11" s="89">
        <v>1.9</v>
      </c>
      <c r="G11" s="89">
        <v>2.7</v>
      </c>
      <c r="H11" s="106">
        <v>2</v>
      </c>
      <c r="I11" s="106"/>
      <c r="J11" s="91">
        <f t="shared" si="0"/>
        <v>10.26</v>
      </c>
    </row>
    <row r="12" spans="1:10" ht="18" x14ac:dyDescent="0.3">
      <c r="A12" s="78"/>
      <c r="B12" s="79"/>
      <c r="C12" s="79"/>
      <c r="D12" s="88" t="s">
        <v>1152</v>
      </c>
      <c r="E12" s="89"/>
      <c r="F12" s="89">
        <v>4.12</v>
      </c>
      <c r="G12" s="89">
        <v>2.7</v>
      </c>
      <c r="H12" s="106">
        <v>2</v>
      </c>
      <c r="I12" s="106"/>
      <c r="J12" s="91">
        <f t="shared" si="0"/>
        <v>22.248000000000001</v>
      </c>
    </row>
    <row r="13" spans="1:10" ht="18" x14ac:dyDescent="0.3">
      <c r="A13" s="78"/>
      <c r="B13" s="79"/>
      <c r="C13" s="79"/>
      <c r="D13" s="88" t="s">
        <v>1153</v>
      </c>
      <c r="E13" s="89"/>
      <c r="F13" s="89">
        <v>2.33</v>
      </c>
      <c r="G13" s="89">
        <v>2.7</v>
      </c>
      <c r="H13" s="106">
        <v>2</v>
      </c>
      <c r="I13" s="106"/>
      <c r="J13" s="91">
        <f t="shared" si="0"/>
        <v>12.582000000000001</v>
      </c>
    </row>
    <row r="14" spans="1:10" ht="18" x14ac:dyDescent="0.3">
      <c r="A14" s="78"/>
      <c r="B14" s="79"/>
      <c r="C14" s="79"/>
      <c r="D14" s="88" t="s">
        <v>1154</v>
      </c>
      <c r="E14" s="89"/>
      <c r="F14" s="89">
        <v>0.45</v>
      </c>
      <c r="G14" s="89">
        <v>2.7</v>
      </c>
      <c r="H14" s="106">
        <v>2</v>
      </c>
      <c r="I14" s="106"/>
      <c r="J14" s="91">
        <f t="shared" si="0"/>
        <v>2.4300000000000002</v>
      </c>
    </row>
    <row r="15" spans="1:10" ht="18" x14ac:dyDescent="0.3">
      <c r="A15" s="78"/>
      <c r="B15" s="79"/>
      <c r="C15" s="79"/>
      <c r="D15" s="88" t="s">
        <v>1155</v>
      </c>
      <c r="E15" s="89"/>
      <c r="F15" s="89">
        <v>12.08</v>
      </c>
      <c r="G15" s="89">
        <v>2.7</v>
      </c>
      <c r="H15" s="106">
        <v>2</v>
      </c>
      <c r="I15" s="106"/>
      <c r="J15" s="91">
        <f t="shared" si="0"/>
        <v>65.231999999999999</v>
      </c>
    </row>
    <row r="16" spans="1:10" ht="18" x14ac:dyDescent="0.3">
      <c r="A16" s="78"/>
      <c r="B16" s="79"/>
      <c r="C16" s="79"/>
      <c r="D16" s="88" t="s">
        <v>1156</v>
      </c>
      <c r="E16" s="89"/>
      <c r="F16" s="89">
        <v>4.08</v>
      </c>
      <c r="G16" s="89">
        <v>2.7</v>
      </c>
      <c r="H16" s="106">
        <v>2</v>
      </c>
      <c r="I16" s="106"/>
      <c r="J16" s="91">
        <f t="shared" si="0"/>
        <v>22.032000000000004</v>
      </c>
    </row>
    <row r="17" spans="1:10" ht="18" x14ac:dyDescent="0.3">
      <c r="A17" s="78"/>
      <c r="B17" s="79"/>
      <c r="C17" s="79"/>
      <c r="D17" s="88" t="s">
        <v>1157</v>
      </c>
      <c r="E17" s="89"/>
      <c r="F17" s="89">
        <v>1.77</v>
      </c>
      <c r="G17" s="89">
        <v>2.7</v>
      </c>
      <c r="H17" s="106">
        <v>2</v>
      </c>
      <c r="I17" s="106"/>
      <c r="J17" s="91">
        <f t="shared" si="0"/>
        <v>9.5580000000000016</v>
      </c>
    </row>
    <row r="18" spans="1:10" ht="18" x14ac:dyDescent="0.3">
      <c r="A18" s="78"/>
      <c r="B18" s="79"/>
      <c r="C18" s="79"/>
      <c r="D18" s="88" t="s">
        <v>1158</v>
      </c>
      <c r="E18" s="89"/>
      <c r="F18" s="89">
        <v>3.12</v>
      </c>
      <c r="G18" s="89">
        <v>2.7</v>
      </c>
      <c r="H18" s="106">
        <v>2</v>
      </c>
      <c r="I18" s="106"/>
      <c r="J18" s="91">
        <f t="shared" si="0"/>
        <v>16.848000000000003</v>
      </c>
    </row>
    <row r="19" spans="1:10" ht="18" x14ac:dyDescent="0.3">
      <c r="A19" s="78"/>
      <c r="B19" s="79"/>
      <c r="C19" s="79"/>
      <c r="D19" s="88" t="s">
        <v>1159</v>
      </c>
      <c r="E19" s="89"/>
      <c r="F19" s="89">
        <v>5.7</v>
      </c>
      <c r="G19" s="89">
        <v>2.7</v>
      </c>
      <c r="H19" s="106">
        <v>2</v>
      </c>
      <c r="I19" s="106"/>
      <c r="J19" s="91">
        <f t="shared" si="0"/>
        <v>30.780000000000005</v>
      </c>
    </row>
    <row r="20" spans="1:10" ht="18" x14ac:dyDescent="0.3">
      <c r="A20" s="78"/>
      <c r="B20" s="79"/>
      <c r="C20" s="79"/>
      <c r="D20" s="88" t="s">
        <v>1160</v>
      </c>
      <c r="E20" s="89"/>
      <c r="F20" s="89">
        <v>2.4300000000000002</v>
      </c>
      <c r="G20" s="89">
        <v>2.7</v>
      </c>
      <c r="H20" s="106">
        <v>2</v>
      </c>
      <c r="I20" s="106"/>
      <c r="J20" s="91">
        <f t="shared" si="0"/>
        <v>13.122000000000002</v>
      </c>
    </row>
    <row r="21" spans="1:10" ht="18" x14ac:dyDescent="0.3">
      <c r="A21" s="78"/>
      <c r="B21" s="79"/>
      <c r="C21" s="79"/>
      <c r="D21" s="88" t="s">
        <v>1161</v>
      </c>
      <c r="E21" s="89"/>
      <c r="F21" s="89">
        <v>1.0900000000000001</v>
      </c>
      <c r="G21" s="89">
        <v>2.7</v>
      </c>
      <c r="H21" s="106">
        <v>2</v>
      </c>
      <c r="I21" s="106"/>
      <c r="J21" s="91">
        <f t="shared" si="0"/>
        <v>5.886000000000001</v>
      </c>
    </row>
    <row r="22" spans="1:10" ht="18" x14ac:dyDescent="0.3">
      <c r="A22" s="78"/>
      <c r="B22" s="79"/>
      <c r="C22" s="79"/>
      <c r="D22" s="88" t="s">
        <v>1162</v>
      </c>
      <c r="E22" s="89"/>
      <c r="F22" s="89">
        <v>3.89</v>
      </c>
      <c r="G22" s="89">
        <v>2.7</v>
      </c>
      <c r="H22" s="106">
        <v>2</v>
      </c>
      <c r="I22" s="106"/>
      <c r="J22" s="91">
        <f t="shared" si="0"/>
        <v>21.006000000000004</v>
      </c>
    </row>
    <row r="23" spans="1:10" ht="18" x14ac:dyDescent="0.3">
      <c r="A23" s="78"/>
      <c r="B23" s="79"/>
      <c r="C23" s="79"/>
      <c r="D23" s="88"/>
      <c r="E23" s="89"/>
      <c r="F23" s="89"/>
      <c r="G23" s="89"/>
      <c r="H23" s="89"/>
      <c r="I23" s="90"/>
      <c r="J23" s="91"/>
    </row>
    <row r="24" spans="1:10" ht="18" x14ac:dyDescent="0.3">
      <c r="A24" s="78"/>
      <c r="B24" s="79"/>
      <c r="C24" s="79"/>
      <c r="D24" s="88"/>
      <c r="E24" s="89"/>
      <c r="F24" s="89"/>
      <c r="G24" s="89"/>
      <c r="H24" s="89"/>
      <c r="I24" s="90"/>
      <c r="J24" s="91"/>
    </row>
    <row r="25" spans="1:10" ht="18" x14ac:dyDescent="0.3">
      <c r="A25" s="78"/>
      <c r="B25" s="79"/>
      <c r="C25" s="79"/>
      <c r="D25" s="88"/>
      <c r="E25" s="89"/>
      <c r="F25" s="89"/>
      <c r="G25" s="89"/>
      <c r="H25" s="89"/>
      <c r="I25" s="90"/>
      <c r="J25" s="91"/>
    </row>
    <row r="26" spans="1:10" ht="18" x14ac:dyDescent="0.3">
      <c r="A26" s="78"/>
      <c r="B26" s="79"/>
      <c r="C26" s="79"/>
      <c r="D26" s="88"/>
      <c r="E26" s="89"/>
      <c r="F26" s="89"/>
      <c r="G26" s="89"/>
      <c r="H26" s="89"/>
      <c r="I26" s="90"/>
      <c r="J26" s="91"/>
    </row>
    <row r="27" spans="1:10" ht="18" x14ac:dyDescent="0.3">
      <c r="A27" s="78"/>
      <c r="B27" s="79"/>
      <c r="C27" s="79"/>
      <c r="D27" s="88"/>
      <c r="E27" s="89"/>
      <c r="F27" s="89"/>
      <c r="G27" s="89"/>
      <c r="H27" s="89"/>
      <c r="I27" s="90"/>
      <c r="J27" s="91"/>
    </row>
    <row r="28" spans="1:10" ht="18" x14ac:dyDescent="0.3">
      <c r="A28" s="78"/>
      <c r="B28" s="79"/>
      <c r="C28" s="79"/>
      <c r="D28" s="88"/>
      <c r="E28" s="89"/>
      <c r="F28" s="89"/>
      <c r="G28" s="92"/>
      <c r="H28" s="92"/>
      <c r="I28" s="93"/>
      <c r="J28" s="91"/>
    </row>
    <row r="29" spans="1:10" ht="18" x14ac:dyDescent="0.3">
      <c r="A29" s="78"/>
      <c r="B29" s="79"/>
      <c r="C29" s="79"/>
      <c r="D29" s="88"/>
      <c r="E29" s="89"/>
      <c r="F29" s="89"/>
      <c r="G29" s="89"/>
      <c r="H29" s="89"/>
      <c r="I29" s="90"/>
      <c r="J29" s="91"/>
    </row>
    <row r="30" spans="1:10" ht="18" x14ac:dyDescent="0.3">
      <c r="A30" s="78"/>
      <c r="B30" s="79"/>
      <c r="C30" s="79"/>
      <c r="D30" s="88"/>
      <c r="E30" s="89"/>
      <c r="F30" s="89"/>
      <c r="G30" s="89"/>
      <c r="H30" s="89"/>
      <c r="I30" s="90"/>
      <c r="J30" s="91"/>
    </row>
    <row r="31" spans="1:10" ht="18" x14ac:dyDescent="0.3">
      <c r="A31" s="78"/>
      <c r="B31" s="79"/>
      <c r="C31" s="79"/>
      <c r="D31" s="88"/>
      <c r="E31" s="89"/>
      <c r="F31" s="89"/>
      <c r="G31" s="89"/>
      <c r="H31" s="89"/>
      <c r="I31" s="90"/>
      <c r="J31" s="91"/>
    </row>
    <row r="32" spans="1:10" ht="18" x14ac:dyDescent="0.3">
      <c r="A32" s="78"/>
      <c r="B32" s="79"/>
      <c r="C32" s="79"/>
      <c r="D32" s="94"/>
      <c r="E32" s="89"/>
      <c r="F32" s="89"/>
      <c r="G32" s="89"/>
      <c r="H32" s="89"/>
      <c r="I32" s="93"/>
      <c r="J32" s="91"/>
    </row>
    <row r="33" spans="1:10" ht="18" x14ac:dyDescent="0.3">
      <c r="A33" s="78"/>
      <c r="B33" s="79"/>
      <c r="C33" s="79"/>
      <c r="D33" s="94"/>
      <c r="E33" s="89"/>
      <c r="F33" s="89"/>
      <c r="G33" s="89"/>
      <c r="H33" s="89"/>
      <c r="I33" s="93"/>
      <c r="J33" s="91"/>
    </row>
    <row r="34" spans="1:10" ht="18" x14ac:dyDescent="0.3">
      <c r="A34" s="78"/>
      <c r="B34" s="79"/>
      <c r="C34" s="79"/>
      <c r="D34" s="94"/>
      <c r="E34" s="89"/>
      <c r="F34" s="89"/>
      <c r="G34" s="89"/>
      <c r="H34" s="89"/>
      <c r="I34" s="93"/>
      <c r="J34" s="91"/>
    </row>
    <row r="35" spans="1:10" ht="18" x14ac:dyDescent="0.3">
      <c r="A35" s="78"/>
      <c r="B35" s="79"/>
      <c r="C35" s="79"/>
      <c r="D35" s="94"/>
      <c r="E35" s="89"/>
      <c r="F35" s="89"/>
      <c r="G35" s="89"/>
      <c r="H35" s="89"/>
      <c r="I35" s="93"/>
      <c r="J35" s="91"/>
    </row>
    <row r="36" spans="1:10" ht="18" x14ac:dyDescent="0.3">
      <c r="A36" s="78"/>
      <c r="B36" s="79"/>
      <c r="C36" s="79"/>
      <c r="D36" s="94"/>
      <c r="E36" s="89"/>
      <c r="F36" s="89"/>
      <c r="G36" s="89"/>
      <c r="H36" s="89"/>
      <c r="I36" s="93"/>
      <c r="J36" s="91"/>
    </row>
    <row r="37" spans="1:10" ht="18" x14ac:dyDescent="0.3">
      <c r="A37" s="78"/>
      <c r="B37" s="79"/>
      <c r="C37" s="79"/>
      <c r="D37" s="94"/>
      <c r="E37" s="89"/>
      <c r="F37" s="89"/>
      <c r="G37" s="89"/>
      <c r="H37" s="89"/>
      <c r="I37" s="93"/>
      <c r="J37" s="91"/>
    </row>
    <row r="38" spans="1:10" ht="18" x14ac:dyDescent="0.3">
      <c r="A38" s="78"/>
      <c r="B38" s="79"/>
      <c r="C38" s="79"/>
      <c r="D38" s="94"/>
      <c r="E38" s="89"/>
      <c r="F38" s="89"/>
      <c r="G38" s="89"/>
      <c r="H38" s="89"/>
      <c r="I38" s="93"/>
      <c r="J38" s="91"/>
    </row>
    <row r="39" spans="1:10" ht="18" x14ac:dyDescent="0.3">
      <c r="A39" s="78"/>
      <c r="B39" s="79"/>
      <c r="C39" s="79"/>
      <c r="D39" s="94"/>
      <c r="E39" s="89"/>
      <c r="F39" s="89"/>
      <c r="G39" s="89"/>
      <c r="H39" s="89"/>
      <c r="I39" s="93"/>
      <c r="J39" s="91"/>
    </row>
    <row r="40" spans="1:10" ht="18" x14ac:dyDescent="0.3">
      <c r="A40" s="78"/>
      <c r="B40" s="79"/>
      <c r="C40" s="79"/>
      <c r="D40" s="94"/>
      <c r="E40" s="89"/>
      <c r="F40" s="89"/>
      <c r="G40" s="89"/>
      <c r="H40" s="89"/>
      <c r="I40" s="93"/>
      <c r="J40" s="91"/>
    </row>
    <row r="41" spans="1:10" ht="18" x14ac:dyDescent="0.3">
      <c r="A41" s="78"/>
      <c r="B41" s="79"/>
      <c r="C41" s="79"/>
      <c r="D41" s="94"/>
      <c r="E41" s="89"/>
      <c r="F41" s="89"/>
      <c r="G41" s="89"/>
      <c r="H41" s="89"/>
      <c r="I41" s="93"/>
      <c r="J41" s="91"/>
    </row>
    <row r="42" spans="1:10" ht="18" x14ac:dyDescent="0.3">
      <c r="A42" s="78"/>
      <c r="B42" s="79"/>
      <c r="C42" s="79"/>
      <c r="D42" s="94"/>
      <c r="E42" s="89"/>
      <c r="F42" s="89"/>
      <c r="G42" s="89"/>
      <c r="H42" s="89"/>
      <c r="I42" s="93"/>
      <c r="J42" s="91"/>
    </row>
    <row r="43" spans="1:10" ht="18" x14ac:dyDescent="0.3">
      <c r="A43" s="78"/>
      <c r="B43" s="79"/>
      <c r="C43" s="79"/>
      <c r="D43" s="94"/>
      <c r="E43" s="89"/>
      <c r="F43" s="89"/>
      <c r="G43" s="89"/>
      <c r="H43" s="89"/>
      <c r="I43" s="93"/>
      <c r="J43" s="91"/>
    </row>
    <row r="44" spans="1:10" ht="18" x14ac:dyDescent="0.3">
      <c r="A44" s="78"/>
      <c r="B44" s="79"/>
      <c r="C44" s="79"/>
      <c r="D44" s="94"/>
      <c r="E44" s="89"/>
      <c r="F44" s="89"/>
      <c r="G44" s="89"/>
      <c r="H44" s="89"/>
      <c r="I44" s="93"/>
      <c r="J44" s="91"/>
    </row>
    <row r="45" spans="1:10" ht="18" x14ac:dyDescent="0.3">
      <c r="A45" s="78"/>
      <c r="B45" s="79"/>
      <c r="C45" s="79"/>
      <c r="D45" s="94"/>
      <c r="E45" s="89"/>
      <c r="F45" s="89"/>
      <c r="G45" s="89"/>
      <c r="H45" s="89"/>
      <c r="I45" s="93"/>
      <c r="J45" s="91"/>
    </row>
    <row r="46" spans="1:10" ht="18" x14ac:dyDescent="0.3">
      <c r="A46" s="78"/>
      <c r="B46" s="79"/>
      <c r="C46" s="79"/>
      <c r="D46" s="94"/>
      <c r="E46" s="89"/>
      <c r="F46" s="89"/>
      <c r="G46" s="89"/>
      <c r="H46" s="89"/>
      <c r="I46" s="93"/>
      <c r="J46" s="91"/>
    </row>
    <row r="47" spans="1:10" ht="18" x14ac:dyDescent="0.3">
      <c r="A47" s="78"/>
      <c r="B47" s="79"/>
      <c r="C47" s="79"/>
      <c r="D47" s="94"/>
      <c r="E47" s="89"/>
      <c r="F47" s="89"/>
      <c r="G47" s="89"/>
      <c r="H47" s="89"/>
      <c r="I47" s="93"/>
      <c r="J47" s="91"/>
    </row>
    <row r="48" spans="1:10" ht="18" x14ac:dyDescent="0.3">
      <c r="A48" s="78"/>
      <c r="B48" s="79"/>
      <c r="C48" s="79"/>
      <c r="D48" s="94"/>
      <c r="E48" s="89"/>
      <c r="F48" s="89"/>
      <c r="G48" s="89"/>
      <c r="H48" s="89"/>
      <c r="I48" s="93"/>
      <c r="J48" s="91"/>
    </row>
    <row r="49" spans="1:13" ht="18" x14ac:dyDescent="0.3">
      <c r="A49" s="78"/>
      <c r="B49" s="79"/>
      <c r="C49" s="79"/>
      <c r="D49" s="94"/>
      <c r="E49" s="89"/>
      <c r="F49" s="89"/>
      <c r="G49" s="89"/>
      <c r="H49" s="89"/>
      <c r="I49" s="93"/>
      <c r="J49" s="91"/>
    </row>
    <row r="50" spans="1:13" ht="18" x14ac:dyDescent="0.3">
      <c r="A50" s="78"/>
      <c r="B50" s="79"/>
      <c r="C50" s="79"/>
      <c r="D50" s="94"/>
      <c r="E50" s="89"/>
      <c r="F50" s="89"/>
      <c r="G50" s="89"/>
      <c r="H50" s="89"/>
      <c r="I50" s="93"/>
      <c r="J50" s="91"/>
    </row>
    <row r="51" spans="1:13" ht="18" x14ac:dyDescent="0.3">
      <c r="A51" s="78"/>
      <c r="B51" s="79"/>
      <c r="C51" s="79"/>
      <c r="D51" s="95"/>
      <c r="E51" s="89"/>
      <c r="F51" s="89"/>
      <c r="G51" s="89"/>
      <c r="H51" s="89"/>
      <c r="I51" s="93"/>
      <c r="J51" s="91"/>
    </row>
    <row r="52" spans="1:13" ht="18.75" thickBot="1" x14ac:dyDescent="0.35">
      <c r="A52" s="78"/>
      <c r="B52" s="79"/>
      <c r="C52" s="79"/>
      <c r="D52" s="96"/>
      <c r="E52" s="97"/>
      <c r="F52" s="97"/>
      <c r="G52" s="97"/>
      <c r="H52" s="97"/>
      <c r="I52" s="99"/>
      <c r="J52" s="91">
        <f t="shared" ref="J52" si="1">+PRODUCT(E52:I52)</f>
        <v>0</v>
      </c>
      <c r="M52" s="105"/>
    </row>
    <row r="53" spans="1:13" ht="21" thickBot="1" x14ac:dyDescent="0.35">
      <c r="A53" s="78"/>
      <c r="B53" s="79"/>
      <c r="C53" s="79"/>
      <c r="D53" s="933" t="s">
        <v>10</v>
      </c>
      <c r="E53" s="934"/>
      <c r="F53" s="934"/>
      <c r="G53" s="934"/>
      <c r="H53" s="934"/>
      <c r="I53" s="935"/>
      <c r="J53" s="102">
        <f>ROUND(SUM(J8:J52),2)</f>
        <v>706.54</v>
      </c>
    </row>
    <row r="54" spans="1:13" ht="21" thickBot="1" x14ac:dyDescent="0.35">
      <c r="A54" s="78"/>
      <c r="B54" s="79"/>
      <c r="C54" s="79"/>
      <c r="D54" s="933" t="s">
        <v>1127</v>
      </c>
      <c r="E54" s="934"/>
      <c r="F54" s="934"/>
      <c r="G54" s="934"/>
      <c r="H54" s="934"/>
      <c r="I54" s="935"/>
      <c r="J54" s="103"/>
    </row>
    <row r="55" spans="1:13" ht="21" thickBot="1" x14ac:dyDescent="0.35">
      <c r="A55" s="78"/>
      <c r="B55" s="79"/>
      <c r="C55" s="101"/>
      <c r="D55" s="933" t="s">
        <v>1128</v>
      </c>
      <c r="E55" s="934"/>
      <c r="F55" s="934"/>
      <c r="G55" s="934"/>
      <c r="H55" s="934"/>
      <c r="I55" s="935"/>
      <c r="J55" s="104">
        <f>+J53-J54</f>
        <v>706.54</v>
      </c>
    </row>
    <row r="56" spans="1:13" ht="21" thickBot="1" x14ac:dyDescent="0.35">
      <c r="A56" s="936" t="s">
        <v>1129</v>
      </c>
      <c r="B56" s="937"/>
      <c r="C56" s="938"/>
      <c r="D56" s="939" t="s">
        <v>1130</v>
      </c>
      <c r="E56" s="940"/>
      <c r="F56" s="940"/>
      <c r="G56" s="940"/>
      <c r="H56" s="940"/>
      <c r="I56" s="940"/>
      <c r="J56" s="941"/>
    </row>
    <row r="57" spans="1:13" ht="38.25" customHeight="1" thickBot="1" x14ac:dyDescent="0.35">
      <c r="A57" s="942" t="str">
        <f>PPTO!G3</f>
        <v>JUNIO DE 2026</v>
      </c>
      <c r="B57" s="943"/>
      <c r="C57" s="944"/>
      <c r="D57" s="921"/>
      <c r="E57" s="922"/>
      <c r="F57" s="922"/>
      <c r="G57" s="922"/>
      <c r="H57" s="922"/>
      <c r="I57" s="922"/>
      <c r="J57" s="923"/>
    </row>
    <row r="58" spans="1:13" ht="19.5" thickBot="1" x14ac:dyDescent="0.35">
      <c r="A58" s="918"/>
      <c r="B58" s="919"/>
      <c r="C58" s="920"/>
      <c r="D58" s="921" t="s">
        <v>1131</v>
      </c>
      <c r="E58" s="922"/>
      <c r="F58" s="922"/>
      <c r="G58" s="922"/>
      <c r="H58" s="922"/>
      <c r="I58" s="922"/>
      <c r="J58" s="923"/>
    </row>
  </sheetData>
  <mergeCells count="19">
    <mergeCell ref="A58:C58"/>
    <mergeCell ref="D58:J58"/>
    <mergeCell ref="D6:D7"/>
    <mergeCell ref="E6:G6"/>
    <mergeCell ref="I6:I7"/>
    <mergeCell ref="J6:J7"/>
    <mergeCell ref="D53:I53"/>
    <mergeCell ref="D54:I54"/>
    <mergeCell ref="D55:I55"/>
    <mergeCell ref="A56:C56"/>
    <mergeCell ref="D56:J56"/>
    <mergeCell ref="A57:C57"/>
    <mergeCell ref="D57:J57"/>
    <mergeCell ref="A2:J2"/>
    <mergeCell ref="A3:J3"/>
    <mergeCell ref="A4:J4"/>
    <mergeCell ref="C5:D5"/>
    <mergeCell ref="G5:H5"/>
    <mergeCell ref="I5:J5"/>
  </mergeCells>
  <conditionalFormatting sqref="J8:J52">
    <cfRule type="cellIs" dxfId="48" priority="1" operator="equal">
      <formula>0</formula>
    </cfRule>
  </conditionalFormatting>
  <pageMargins left="0.7" right="0.7" top="0.75" bottom="0.75" header="0.3" footer="0.3"/>
  <pageSetup scale="46" orientation="landscape"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F0EBB1-E21E-4AB9-ADE0-2F13D6EF68CC}">
  <sheetPr>
    <tabColor rgb="FFD4ECBA"/>
    <pageSetUpPr fitToPage="1"/>
  </sheetPr>
  <dimension ref="A1:M52"/>
  <sheetViews>
    <sheetView showOutlineSymbols="0" view="pageBreakPreview" topLeftCell="A5" zoomScale="60" zoomScaleNormal="70" workbookViewId="0">
      <selection activeCell="H8" sqref="H8"/>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05.75" customHeight="1" thickBot="1" x14ac:dyDescent="0.35">
      <c r="A5" s="72" t="s">
        <v>5</v>
      </c>
      <c r="B5" s="73">
        <f>PPTO!B38</f>
        <v>5.0999999999999996</v>
      </c>
      <c r="C5" s="913" t="str">
        <f>+VLOOKUP(B5,PPTO!B8:G94,2,FALSE)</f>
        <v>Enchape de piso antideslizante incluye: mortero, pegante, cerámica antideslizante y lechada de limpieza.</v>
      </c>
      <c r="D5" s="914"/>
      <c r="E5" s="72" t="s">
        <v>7</v>
      </c>
      <c r="F5" s="74" t="str">
        <f>+VLOOKUP(B5,PPTO!B8:G94,3,FALSE)</f>
        <v>M2</v>
      </c>
      <c r="G5" s="915" t="s">
        <v>1120</v>
      </c>
      <c r="H5" s="915"/>
      <c r="I5" s="916">
        <f>+VLOOKUP(B5,PPTO!B8:G94,5,FALSE)</f>
        <v>129661</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t="s">
        <v>1141</v>
      </c>
      <c r="I7" s="930"/>
      <c r="J7" s="932"/>
    </row>
    <row r="8" spans="1:10" ht="18" x14ac:dyDescent="0.3">
      <c r="A8" s="78"/>
      <c r="B8" s="79"/>
      <c r="C8" s="79"/>
      <c r="D8" s="88" t="s">
        <v>1185</v>
      </c>
      <c r="E8" s="89"/>
      <c r="F8" s="89"/>
      <c r="G8" s="89"/>
      <c r="H8" s="89">
        <v>43.31</v>
      </c>
      <c r="I8" s="90"/>
      <c r="J8" s="87">
        <f>+PRODUCT(E8:I8)</f>
        <v>43.31</v>
      </c>
    </row>
    <row r="9" spans="1:10" ht="18" x14ac:dyDescent="0.3">
      <c r="A9" s="78"/>
      <c r="B9" s="79"/>
      <c r="C9" s="79"/>
      <c r="D9" s="94" t="s">
        <v>1186</v>
      </c>
      <c r="E9" s="89"/>
      <c r="F9" s="89"/>
      <c r="G9" s="89"/>
      <c r="H9" s="89">
        <v>41.84</v>
      </c>
      <c r="I9" s="93"/>
      <c r="J9" s="91">
        <f t="shared" ref="J9:J46" si="0">+PRODUCT(E9:I9)</f>
        <v>41.84</v>
      </c>
    </row>
    <row r="10" spans="1:10" ht="18" x14ac:dyDescent="0.3">
      <c r="A10" s="78"/>
      <c r="B10" s="79"/>
      <c r="C10" s="79"/>
      <c r="D10" s="94" t="s">
        <v>1187</v>
      </c>
      <c r="E10" s="89"/>
      <c r="F10" s="89"/>
      <c r="G10" s="89"/>
      <c r="H10" s="89">
        <v>74.13</v>
      </c>
      <c r="I10" s="93"/>
      <c r="J10" s="91">
        <f t="shared" si="0"/>
        <v>74.13</v>
      </c>
    </row>
    <row r="11" spans="1:10" ht="18" x14ac:dyDescent="0.3">
      <c r="A11" s="78"/>
      <c r="B11" s="79"/>
      <c r="C11" s="79"/>
      <c r="D11" s="94" t="s">
        <v>1188</v>
      </c>
      <c r="E11" s="89"/>
      <c r="F11" s="89"/>
      <c r="G11" s="89"/>
      <c r="H11" s="89">
        <f>75.48</f>
        <v>75.48</v>
      </c>
      <c r="I11" s="93"/>
      <c r="J11" s="91">
        <f t="shared" si="0"/>
        <v>75.48</v>
      </c>
    </row>
    <row r="12" spans="1:10" ht="18" x14ac:dyDescent="0.3">
      <c r="A12" s="78"/>
      <c r="B12" s="79"/>
      <c r="C12" s="79"/>
      <c r="D12" s="94" t="s">
        <v>1189</v>
      </c>
      <c r="E12" s="89"/>
      <c r="F12" s="89"/>
      <c r="G12" s="89"/>
      <c r="H12" s="89">
        <v>23.82</v>
      </c>
      <c r="I12" s="93"/>
      <c r="J12" s="91">
        <f t="shared" si="0"/>
        <v>23.82</v>
      </c>
    </row>
    <row r="13" spans="1:10" ht="18" x14ac:dyDescent="0.3">
      <c r="A13" s="78"/>
      <c r="B13" s="79"/>
      <c r="C13" s="79"/>
      <c r="D13" s="94" t="s">
        <v>1190</v>
      </c>
      <c r="E13" s="89"/>
      <c r="F13" s="89"/>
      <c r="G13" s="89"/>
      <c r="H13" s="89">
        <v>14.11</v>
      </c>
      <c r="I13" s="93"/>
      <c r="J13" s="91">
        <f t="shared" si="0"/>
        <v>14.11</v>
      </c>
    </row>
    <row r="14" spans="1:10" ht="18" x14ac:dyDescent="0.3">
      <c r="A14" s="78"/>
      <c r="B14" s="79"/>
      <c r="C14" s="79"/>
      <c r="D14" s="94" t="s">
        <v>1191</v>
      </c>
      <c r="E14" s="89"/>
      <c r="F14" s="89"/>
      <c r="G14" s="89"/>
      <c r="H14" s="89">
        <v>39.479999999999997</v>
      </c>
      <c r="I14" s="93"/>
      <c r="J14" s="91">
        <f t="shared" si="0"/>
        <v>39.479999999999997</v>
      </c>
    </row>
    <row r="15" spans="1:10" ht="18" x14ac:dyDescent="0.3">
      <c r="A15" s="78"/>
      <c r="B15" s="79"/>
      <c r="C15" s="79"/>
      <c r="D15" s="94" t="s">
        <v>1192</v>
      </c>
      <c r="E15" s="89"/>
      <c r="F15" s="89"/>
      <c r="G15" s="89"/>
      <c r="H15" s="89">
        <v>11.35</v>
      </c>
      <c r="I15" s="93"/>
      <c r="J15" s="91">
        <f t="shared" si="0"/>
        <v>11.35</v>
      </c>
    </row>
    <row r="16" spans="1:10" ht="18" x14ac:dyDescent="0.3">
      <c r="A16" s="78"/>
      <c r="B16" s="79"/>
      <c r="C16" s="79"/>
      <c r="D16" s="94" t="s">
        <v>1193</v>
      </c>
      <c r="E16" s="89"/>
      <c r="F16" s="89"/>
      <c r="G16" s="89"/>
      <c r="H16" s="89">
        <v>17.34</v>
      </c>
      <c r="I16" s="93"/>
      <c r="J16" s="91">
        <f t="shared" si="0"/>
        <v>17.34</v>
      </c>
    </row>
    <row r="17" spans="1:10" ht="18" x14ac:dyDescent="0.3">
      <c r="A17" s="78"/>
      <c r="B17" s="79"/>
      <c r="C17" s="79"/>
      <c r="D17" s="94"/>
      <c r="E17" s="89"/>
      <c r="F17" s="89"/>
      <c r="G17" s="89"/>
      <c r="H17" s="89"/>
      <c r="I17" s="93"/>
      <c r="J17" s="91">
        <f t="shared" si="0"/>
        <v>0</v>
      </c>
    </row>
    <row r="18" spans="1:10" ht="18" x14ac:dyDescent="0.3">
      <c r="A18" s="78"/>
      <c r="B18" s="79"/>
      <c r="C18" s="79"/>
      <c r="D18" s="94"/>
      <c r="E18" s="89"/>
      <c r="F18" s="89"/>
      <c r="G18" s="89"/>
      <c r="H18" s="89"/>
      <c r="I18" s="93"/>
      <c r="J18" s="91">
        <f t="shared" si="0"/>
        <v>0</v>
      </c>
    </row>
    <row r="19" spans="1:10" ht="18" x14ac:dyDescent="0.3">
      <c r="A19" s="78"/>
      <c r="B19" s="79"/>
      <c r="C19" s="79"/>
      <c r="D19" s="95"/>
      <c r="E19" s="89"/>
      <c r="F19" s="89"/>
      <c r="G19" s="89"/>
      <c r="H19" s="89"/>
      <c r="I19" s="93"/>
      <c r="J19" s="91">
        <f t="shared" si="0"/>
        <v>0</v>
      </c>
    </row>
    <row r="20" spans="1:10" ht="18" x14ac:dyDescent="0.3">
      <c r="A20" s="78"/>
      <c r="B20" s="79"/>
      <c r="C20" s="79"/>
      <c r="D20" s="88"/>
      <c r="E20" s="89"/>
      <c r="F20" s="89"/>
      <c r="G20" s="89"/>
      <c r="H20" s="89"/>
      <c r="I20" s="90"/>
      <c r="J20" s="91">
        <f t="shared" si="0"/>
        <v>0</v>
      </c>
    </row>
    <row r="21" spans="1:10" ht="18" x14ac:dyDescent="0.3">
      <c r="A21" s="78"/>
      <c r="B21" s="79"/>
      <c r="C21" s="79"/>
      <c r="D21" s="88"/>
      <c r="E21" s="89"/>
      <c r="F21" s="89"/>
      <c r="G21" s="89"/>
      <c r="H21" s="89"/>
      <c r="I21" s="90"/>
      <c r="J21" s="91">
        <f t="shared" si="0"/>
        <v>0</v>
      </c>
    </row>
    <row r="22" spans="1:10" ht="18" x14ac:dyDescent="0.3">
      <c r="A22" s="78"/>
      <c r="B22" s="79"/>
      <c r="C22" s="79"/>
      <c r="D22" s="88"/>
      <c r="E22" s="89"/>
      <c r="F22" s="89"/>
      <c r="G22" s="89"/>
      <c r="H22" s="89"/>
      <c r="I22" s="90"/>
      <c r="J22" s="91">
        <f t="shared" si="0"/>
        <v>0</v>
      </c>
    </row>
    <row r="23" spans="1:10" ht="18" x14ac:dyDescent="0.3">
      <c r="A23" s="78"/>
      <c r="B23" s="79"/>
      <c r="C23" s="79"/>
      <c r="D23" s="94"/>
      <c r="E23" s="89"/>
      <c r="F23" s="89"/>
      <c r="G23" s="89"/>
      <c r="H23" s="89"/>
      <c r="I23" s="93"/>
      <c r="J23" s="91">
        <f t="shared" si="0"/>
        <v>0</v>
      </c>
    </row>
    <row r="24" spans="1:10" ht="18" x14ac:dyDescent="0.3">
      <c r="A24" s="78"/>
      <c r="B24" s="79"/>
      <c r="C24" s="79"/>
      <c r="D24" s="94"/>
      <c r="E24" s="89"/>
      <c r="F24" s="89"/>
      <c r="G24" s="89"/>
      <c r="H24" s="89"/>
      <c r="I24" s="93"/>
      <c r="J24" s="91">
        <f t="shared" si="0"/>
        <v>0</v>
      </c>
    </row>
    <row r="25" spans="1:10" ht="18" x14ac:dyDescent="0.3">
      <c r="A25" s="78"/>
      <c r="B25" s="79"/>
      <c r="C25" s="79"/>
      <c r="D25" s="94"/>
      <c r="E25" s="89"/>
      <c r="F25" s="89"/>
      <c r="G25" s="89"/>
      <c r="H25" s="89"/>
      <c r="I25" s="93"/>
      <c r="J25" s="91">
        <f t="shared" si="0"/>
        <v>0</v>
      </c>
    </row>
    <row r="26" spans="1:10" ht="18" x14ac:dyDescent="0.3">
      <c r="A26" s="78"/>
      <c r="B26" s="79"/>
      <c r="C26" s="79"/>
      <c r="D26" s="94"/>
      <c r="E26" s="89"/>
      <c r="F26" s="89"/>
      <c r="G26" s="89"/>
      <c r="H26" s="89"/>
      <c r="I26" s="93"/>
      <c r="J26" s="91">
        <f t="shared" si="0"/>
        <v>0</v>
      </c>
    </row>
    <row r="27" spans="1:10" ht="18" x14ac:dyDescent="0.3">
      <c r="A27" s="78"/>
      <c r="B27" s="79"/>
      <c r="C27" s="79"/>
      <c r="D27" s="94"/>
      <c r="E27" s="89"/>
      <c r="F27" s="89"/>
      <c r="G27" s="89"/>
      <c r="H27" s="89"/>
      <c r="I27" s="93"/>
      <c r="J27" s="91">
        <f t="shared" si="0"/>
        <v>0</v>
      </c>
    </row>
    <row r="28" spans="1:10" ht="18" x14ac:dyDescent="0.3">
      <c r="A28" s="78"/>
      <c r="B28" s="79"/>
      <c r="C28" s="79"/>
      <c r="D28" s="94"/>
      <c r="E28" s="89"/>
      <c r="F28" s="89"/>
      <c r="G28" s="89"/>
      <c r="H28" s="89"/>
      <c r="I28" s="93"/>
      <c r="J28" s="91">
        <f t="shared" si="0"/>
        <v>0</v>
      </c>
    </row>
    <row r="29" spans="1:10" ht="18" x14ac:dyDescent="0.3">
      <c r="A29" s="78"/>
      <c r="B29" s="79"/>
      <c r="C29" s="79"/>
      <c r="D29" s="94"/>
      <c r="E29" s="89"/>
      <c r="F29" s="89"/>
      <c r="G29" s="89"/>
      <c r="H29" s="89"/>
      <c r="I29" s="93"/>
      <c r="J29" s="91">
        <f t="shared" si="0"/>
        <v>0</v>
      </c>
    </row>
    <row r="30" spans="1:10" ht="18" x14ac:dyDescent="0.3">
      <c r="A30" s="78"/>
      <c r="B30" s="79"/>
      <c r="C30" s="79"/>
      <c r="D30" s="94"/>
      <c r="E30" s="89"/>
      <c r="F30" s="89"/>
      <c r="G30" s="89"/>
      <c r="H30" s="89"/>
      <c r="I30" s="93"/>
      <c r="J30" s="91">
        <f t="shared" si="0"/>
        <v>0</v>
      </c>
    </row>
    <row r="31" spans="1:10" ht="18" x14ac:dyDescent="0.3">
      <c r="A31" s="78"/>
      <c r="B31" s="79"/>
      <c r="C31" s="79"/>
      <c r="D31" s="94"/>
      <c r="E31" s="89"/>
      <c r="F31" s="89"/>
      <c r="G31" s="89"/>
      <c r="H31" s="89"/>
      <c r="I31" s="93"/>
      <c r="J31" s="91">
        <f t="shared" si="0"/>
        <v>0</v>
      </c>
    </row>
    <row r="32" spans="1:10" ht="18" x14ac:dyDescent="0.3">
      <c r="A32" s="78"/>
      <c r="B32" s="79"/>
      <c r="C32" s="79"/>
      <c r="D32" s="94"/>
      <c r="E32" s="89"/>
      <c r="F32" s="89"/>
      <c r="G32" s="89"/>
      <c r="H32" s="89"/>
      <c r="I32" s="93"/>
      <c r="J32" s="91">
        <f t="shared" si="0"/>
        <v>0</v>
      </c>
    </row>
    <row r="33" spans="1:13" ht="18" x14ac:dyDescent="0.3">
      <c r="A33" s="78"/>
      <c r="B33" s="79"/>
      <c r="C33" s="79"/>
      <c r="D33" s="94"/>
      <c r="E33" s="89"/>
      <c r="F33" s="89"/>
      <c r="G33" s="89"/>
      <c r="H33" s="89"/>
      <c r="I33" s="93"/>
      <c r="J33" s="91">
        <f t="shared" si="0"/>
        <v>0</v>
      </c>
    </row>
    <row r="34" spans="1:13" ht="18" x14ac:dyDescent="0.3">
      <c r="A34" s="78"/>
      <c r="B34" s="79"/>
      <c r="C34" s="79"/>
      <c r="D34" s="94"/>
      <c r="E34" s="89"/>
      <c r="F34" s="89"/>
      <c r="G34" s="89"/>
      <c r="H34" s="89"/>
      <c r="I34" s="93"/>
      <c r="J34" s="91">
        <f t="shared" si="0"/>
        <v>0</v>
      </c>
    </row>
    <row r="35" spans="1:13" ht="18" x14ac:dyDescent="0.3">
      <c r="A35" s="78"/>
      <c r="B35" s="79"/>
      <c r="C35" s="79"/>
      <c r="D35" s="94"/>
      <c r="E35" s="89"/>
      <c r="F35" s="89"/>
      <c r="G35" s="89"/>
      <c r="H35" s="89"/>
      <c r="I35" s="93"/>
      <c r="J35" s="91">
        <f t="shared" si="0"/>
        <v>0</v>
      </c>
    </row>
    <row r="36" spans="1:13" ht="18" x14ac:dyDescent="0.3">
      <c r="A36" s="78"/>
      <c r="B36" s="79"/>
      <c r="C36" s="79"/>
      <c r="D36" s="94"/>
      <c r="E36" s="89"/>
      <c r="F36" s="89"/>
      <c r="G36" s="89"/>
      <c r="H36" s="89"/>
      <c r="I36" s="93"/>
      <c r="J36" s="91">
        <f t="shared" si="0"/>
        <v>0</v>
      </c>
    </row>
    <row r="37" spans="1:13" ht="18" x14ac:dyDescent="0.3">
      <c r="A37" s="78"/>
      <c r="B37" s="79"/>
      <c r="C37" s="79"/>
      <c r="D37" s="94"/>
      <c r="E37" s="89"/>
      <c r="F37" s="89"/>
      <c r="G37" s="89"/>
      <c r="H37" s="89"/>
      <c r="I37" s="93"/>
      <c r="J37" s="91">
        <f t="shared" si="0"/>
        <v>0</v>
      </c>
    </row>
    <row r="38" spans="1:13" ht="18" x14ac:dyDescent="0.3">
      <c r="A38" s="78"/>
      <c r="B38" s="79"/>
      <c r="C38" s="79"/>
      <c r="D38" s="94"/>
      <c r="E38" s="89"/>
      <c r="F38" s="89"/>
      <c r="G38" s="89"/>
      <c r="H38" s="89"/>
      <c r="I38" s="93"/>
      <c r="J38" s="91">
        <f t="shared" si="0"/>
        <v>0</v>
      </c>
    </row>
    <row r="39" spans="1:13" ht="18" x14ac:dyDescent="0.3">
      <c r="A39" s="78"/>
      <c r="B39" s="79"/>
      <c r="C39" s="79"/>
      <c r="D39" s="94"/>
      <c r="E39" s="89"/>
      <c r="F39" s="89"/>
      <c r="G39" s="89"/>
      <c r="H39" s="89"/>
      <c r="I39" s="93"/>
      <c r="J39" s="91">
        <f t="shared" si="0"/>
        <v>0</v>
      </c>
    </row>
    <row r="40" spans="1:13" ht="18" x14ac:dyDescent="0.3">
      <c r="A40" s="78"/>
      <c r="B40" s="79"/>
      <c r="C40" s="79"/>
      <c r="D40" s="94"/>
      <c r="E40" s="89"/>
      <c r="F40" s="89"/>
      <c r="G40" s="92"/>
      <c r="H40" s="89"/>
      <c r="I40" s="93"/>
      <c r="J40" s="91"/>
    </row>
    <row r="41" spans="1:13" ht="18" x14ac:dyDescent="0.3">
      <c r="A41" s="78"/>
      <c r="B41" s="79"/>
      <c r="C41" s="79"/>
      <c r="D41" s="94"/>
      <c r="E41" s="89"/>
      <c r="F41" s="89"/>
      <c r="G41" s="92"/>
      <c r="H41" s="89"/>
      <c r="I41" s="93"/>
      <c r="J41" s="91"/>
    </row>
    <row r="42" spans="1:13" ht="18" x14ac:dyDescent="0.3">
      <c r="A42" s="78"/>
      <c r="B42" s="79"/>
      <c r="C42" s="79"/>
      <c r="D42" s="94"/>
      <c r="E42" s="89"/>
      <c r="F42" s="89"/>
      <c r="G42" s="92"/>
      <c r="H42" s="89"/>
      <c r="I42" s="93"/>
      <c r="J42" s="91"/>
    </row>
    <row r="43" spans="1:13" ht="18" x14ac:dyDescent="0.3">
      <c r="A43" s="78"/>
      <c r="B43" s="79"/>
      <c r="C43" s="79"/>
      <c r="D43" s="94"/>
      <c r="E43" s="89"/>
      <c r="F43" s="89"/>
      <c r="G43" s="92"/>
      <c r="H43" s="89"/>
      <c r="I43" s="93"/>
      <c r="J43" s="91"/>
    </row>
    <row r="44" spans="1:13" ht="18" x14ac:dyDescent="0.3">
      <c r="A44" s="78"/>
      <c r="B44" s="79"/>
      <c r="C44" s="79"/>
      <c r="D44" s="94"/>
      <c r="E44" s="89"/>
      <c r="F44" s="89"/>
      <c r="G44" s="92"/>
      <c r="H44" s="89"/>
      <c r="I44" s="93"/>
      <c r="J44" s="91"/>
    </row>
    <row r="45" spans="1:13" ht="18" x14ac:dyDescent="0.3">
      <c r="A45" s="78"/>
      <c r="B45" s="79"/>
      <c r="C45" s="79"/>
      <c r="D45" s="95"/>
      <c r="E45" s="89"/>
      <c r="F45" s="89"/>
      <c r="G45" s="92"/>
      <c r="H45" s="89"/>
      <c r="I45" s="93"/>
      <c r="J45" s="91">
        <f t="shared" si="0"/>
        <v>0</v>
      </c>
    </row>
    <row r="46" spans="1:13" ht="18.75" thickBot="1" x14ac:dyDescent="0.35">
      <c r="A46" s="78"/>
      <c r="B46" s="79"/>
      <c r="C46" s="79"/>
      <c r="D46" s="96"/>
      <c r="E46" s="97"/>
      <c r="F46" s="97"/>
      <c r="G46" s="98"/>
      <c r="H46" s="97"/>
      <c r="I46" s="99"/>
      <c r="J46" s="100">
        <f t="shared" si="0"/>
        <v>0</v>
      </c>
      <c r="M46" s="105"/>
    </row>
    <row r="47" spans="1:13" ht="21" thickBot="1" x14ac:dyDescent="0.35">
      <c r="A47" s="78"/>
      <c r="B47" s="79"/>
      <c r="C47" s="79"/>
      <c r="D47" s="933" t="s">
        <v>10</v>
      </c>
      <c r="E47" s="934"/>
      <c r="F47" s="934"/>
      <c r="G47" s="934"/>
      <c r="H47" s="934"/>
      <c r="I47" s="935"/>
      <c r="J47" s="102">
        <f>ROUND(SUM(J8:J46),2)</f>
        <v>340.86</v>
      </c>
    </row>
    <row r="48" spans="1:13" ht="21" thickBot="1" x14ac:dyDescent="0.35">
      <c r="A48" s="78"/>
      <c r="B48" s="79"/>
      <c r="C48" s="79"/>
      <c r="D48" s="933" t="s">
        <v>1127</v>
      </c>
      <c r="E48" s="934"/>
      <c r="F48" s="934"/>
      <c r="G48" s="934"/>
      <c r="H48" s="934"/>
      <c r="I48" s="935"/>
      <c r="J48" s="103"/>
    </row>
    <row r="49" spans="1:10" ht="21" thickBot="1" x14ac:dyDescent="0.35">
      <c r="A49" s="78"/>
      <c r="B49" s="79"/>
      <c r="C49" s="101"/>
      <c r="D49" s="933" t="s">
        <v>1128</v>
      </c>
      <c r="E49" s="934"/>
      <c r="F49" s="934"/>
      <c r="G49" s="934"/>
      <c r="H49" s="934"/>
      <c r="I49" s="935"/>
      <c r="J49" s="104">
        <f>+J47-J48</f>
        <v>340.86</v>
      </c>
    </row>
    <row r="50" spans="1:10" ht="21" thickBot="1" x14ac:dyDescent="0.35">
      <c r="A50" s="936" t="s">
        <v>1129</v>
      </c>
      <c r="B50" s="937"/>
      <c r="C50" s="938"/>
      <c r="D50" s="939" t="s">
        <v>1130</v>
      </c>
      <c r="E50" s="940"/>
      <c r="F50" s="940"/>
      <c r="G50" s="940"/>
      <c r="H50" s="940"/>
      <c r="I50" s="940"/>
      <c r="J50" s="941"/>
    </row>
    <row r="51" spans="1:10" ht="38.25" customHeight="1" thickBot="1" x14ac:dyDescent="0.35">
      <c r="A51" s="942" t="str">
        <f>PPTO!G3</f>
        <v>JUNIO DE 2026</v>
      </c>
      <c r="B51" s="943"/>
      <c r="C51" s="944"/>
      <c r="D51" s="921"/>
      <c r="E51" s="922"/>
      <c r="F51" s="922"/>
      <c r="G51" s="922"/>
      <c r="H51" s="922"/>
      <c r="I51" s="922"/>
      <c r="J51" s="923"/>
    </row>
    <row r="52" spans="1:10" ht="19.5" thickBot="1" x14ac:dyDescent="0.35">
      <c r="A52" s="918"/>
      <c r="B52" s="919"/>
      <c r="C52" s="920"/>
      <c r="D52" s="921" t="s">
        <v>1131</v>
      </c>
      <c r="E52" s="922"/>
      <c r="F52" s="922"/>
      <c r="G52" s="922"/>
      <c r="H52" s="922"/>
      <c r="I52" s="922"/>
      <c r="J52" s="923"/>
    </row>
  </sheetData>
  <mergeCells count="19">
    <mergeCell ref="A52:C52"/>
    <mergeCell ref="D52:J52"/>
    <mergeCell ref="D6:D7"/>
    <mergeCell ref="E6:G6"/>
    <mergeCell ref="I6:I7"/>
    <mergeCell ref="J6:J7"/>
    <mergeCell ref="D47:I47"/>
    <mergeCell ref="D48:I48"/>
    <mergeCell ref="D49:I49"/>
    <mergeCell ref="A50:C50"/>
    <mergeCell ref="D50:J50"/>
    <mergeCell ref="A51:C51"/>
    <mergeCell ref="D51:J51"/>
    <mergeCell ref="A2:J2"/>
    <mergeCell ref="A3:J3"/>
    <mergeCell ref="A4:J4"/>
    <mergeCell ref="C5:D5"/>
    <mergeCell ref="G5:H5"/>
    <mergeCell ref="I5:J5"/>
  </mergeCells>
  <conditionalFormatting sqref="J8:J46">
    <cfRule type="cellIs" dxfId="47" priority="1" operator="equal">
      <formula>0</formula>
    </cfRule>
  </conditionalFormatting>
  <pageMargins left="0.7" right="0.7" top="0.75" bottom="0.75" header="0.3" footer="0.3"/>
  <pageSetup scale="50" orientation="landscape"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2E09C0-8396-405C-B04B-0DE78C0E3C84}">
  <sheetPr>
    <tabColor rgb="FFD4ECBA"/>
    <pageSetUpPr fitToPage="1"/>
  </sheetPr>
  <dimension ref="A1:J52"/>
  <sheetViews>
    <sheetView showOutlineSymbols="0" view="pageBreakPreview" zoomScale="60" zoomScaleNormal="70" workbookViewId="0">
      <selection activeCell="N24" sqref="N24"/>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05.75" customHeight="1" thickBot="1" x14ac:dyDescent="0.35">
      <c r="A5" s="72" t="s">
        <v>5</v>
      </c>
      <c r="B5" s="73">
        <f>PPTO!B39</f>
        <v>5.2</v>
      </c>
      <c r="C5" s="913" t="str">
        <f>+VLOOKUP(B5,PPTO!B8:G94,2,FALSE)</f>
        <v>Enchape cocina pared sobre mesón incluye: pegante, cerámica y lechada de limpieza</v>
      </c>
      <c r="D5" s="914"/>
      <c r="E5" s="72" t="s">
        <v>7</v>
      </c>
      <c r="F5" s="74" t="str">
        <f>+VLOOKUP(B5,PPTO!B8:G94,3,FALSE)</f>
        <v>M2</v>
      </c>
      <c r="G5" s="915" t="s">
        <v>1120</v>
      </c>
      <c r="H5" s="915"/>
      <c r="I5" s="916">
        <f>+VLOOKUP(B5,PPTO!B8:G94,5,FALSE)</f>
        <v>97951</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8" x14ac:dyDescent="0.3">
      <c r="A8" s="78"/>
      <c r="B8" s="79"/>
      <c r="C8" s="79"/>
      <c r="D8" s="88" t="s">
        <v>1194</v>
      </c>
      <c r="E8" s="89"/>
      <c r="F8" s="89">
        <f>1.8+1.8+3.1+3.1</f>
        <v>9.8000000000000007</v>
      </c>
      <c r="G8" s="89">
        <v>2.2000000000000002</v>
      </c>
      <c r="H8" s="89"/>
      <c r="I8" s="90">
        <v>1</v>
      </c>
      <c r="J8" s="87">
        <f>+PRODUCT(E8:I8)</f>
        <v>21.560000000000002</v>
      </c>
    </row>
    <row r="9" spans="1:10" ht="18" x14ac:dyDescent="0.3">
      <c r="A9" s="78"/>
      <c r="B9" s="79"/>
      <c r="C9" s="79"/>
      <c r="D9" s="94" t="s">
        <v>1195</v>
      </c>
      <c r="E9" s="89"/>
      <c r="F9" s="89">
        <f>5.8+5.8+4.12+4.12+2.33+2.33</f>
        <v>24.5</v>
      </c>
      <c r="G9" s="89">
        <v>2.5</v>
      </c>
      <c r="H9" s="89"/>
      <c r="I9" s="93">
        <v>1</v>
      </c>
      <c r="J9" s="91">
        <f t="shared" ref="J9:J46" si="0">+PRODUCT(E9:I9)</f>
        <v>61.25</v>
      </c>
    </row>
    <row r="10" spans="1:10" ht="18" x14ac:dyDescent="0.3">
      <c r="A10" s="78"/>
      <c r="B10" s="79"/>
      <c r="C10" s="79"/>
      <c r="D10" s="94" t="s">
        <v>1196</v>
      </c>
      <c r="E10" s="89"/>
      <c r="F10" s="89">
        <f>4.12+4.12</f>
        <v>8.24</v>
      </c>
      <c r="G10" s="89">
        <v>2.2000000000000002</v>
      </c>
      <c r="H10" s="89"/>
      <c r="I10" s="93">
        <v>1</v>
      </c>
      <c r="J10" s="91">
        <f t="shared" si="0"/>
        <v>18.128000000000004</v>
      </c>
    </row>
    <row r="11" spans="1:10" ht="18" x14ac:dyDescent="0.3">
      <c r="A11" s="78"/>
      <c r="B11" s="79"/>
      <c r="C11" s="79"/>
      <c r="D11" s="94" t="s">
        <v>1197</v>
      </c>
      <c r="E11" s="89"/>
      <c r="F11" s="89">
        <f>9.27+2.28+2.28+5.7+2.28+2.28+3.9+9.27+3.9+3.95+3.95+1.72+1.72</f>
        <v>52.5</v>
      </c>
      <c r="G11" s="89">
        <v>2.2000000000000002</v>
      </c>
      <c r="H11" s="89"/>
      <c r="I11" s="93">
        <v>1</v>
      </c>
      <c r="J11" s="91">
        <f t="shared" si="0"/>
        <v>115.50000000000001</v>
      </c>
    </row>
    <row r="12" spans="1:10" ht="18" x14ac:dyDescent="0.3">
      <c r="A12" s="78"/>
      <c r="B12" s="79"/>
      <c r="C12" s="79"/>
      <c r="D12" s="94"/>
      <c r="E12" s="89"/>
      <c r="F12" s="89"/>
      <c r="G12" s="89"/>
      <c r="H12" s="89"/>
      <c r="I12" s="93"/>
      <c r="J12" s="91">
        <f t="shared" si="0"/>
        <v>0</v>
      </c>
    </row>
    <row r="13" spans="1:10" ht="18" x14ac:dyDescent="0.3">
      <c r="A13" s="78"/>
      <c r="B13" s="79"/>
      <c r="C13" s="79"/>
      <c r="D13" s="94"/>
      <c r="E13" s="89"/>
      <c r="F13" s="89"/>
      <c r="G13" s="89"/>
      <c r="H13" s="89"/>
      <c r="I13" s="93"/>
      <c r="J13" s="91">
        <f t="shared" si="0"/>
        <v>0</v>
      </c>
    </row>
    <row r="14" spans="1:10" ht="18" x14ac:dyDescent="0.3">
      <c r="A14" s="78"/>
      <c r="B14" s="79"/>
      <c r="C14" s="79"/>
      <c r="D14" s="94"/>
      <c r="E14" s="89"/>
      <c r="F14" s="89"/>
      <c r="G14" s="89"/>
      <c r="H14" s="89"/>
      <c r="I14" s="93"/>
      <c r="J14" s="91">
        <f t="shared" si="0"/>
        <v>0</v>
      </c>
    </row>
    <row r="15" spans="1:10" ht="18" x14ac:dyDescent="0.3">
      <c r="A15" s="78"/>
      <c r="B15" s="79"/>
      <c r="C15" s="79"/>
      <c r="D15" s="94"/>
      <c r="E15" s="89"/>
      <c r="F15" s="89"/>
      <c r="G15" s="89"/>
      <c r="H15" s="89"/>
      <c r="I15" s="93"/>
      <c r="J15" s="91">
        <f t="shared" si="0"/>
        <v>0</v>
      </c>
    </row>
    <row r="16" spans="1:10" ht="18" x14ac:dyDescent="0.3">
      <c r="A16" s="78"/>
      <c r="B16" s="79"/>
      <c r="C16" s="79"/>
      <c r="D16" s="94"/>
      <c r="E16" s="89"/>
      <c r="F16" s="89"/>
      <c r="G16" s="89"/>
      <c r="H16" s="89"/>
      <c r="I16" s="93"/>
      <c r="J16" s="91">
        <f t="shared" si="0"/>
        <v>0</v>
      </c>
    </row>
    <row r="17" spans="1:10" ht="18" x14ac:dyDescent="0.3">
      <c r="A17" s="78"/>
      <c r="B17" s="79"/>
      <c r="C17" s="79"/>
      <c r="D17" s="94"/>
      <c r="E17" s="89"/>
      <c r="F17" s="89"/>
      <c r="G17" s="89"/>
      <c r="H17" s="89"/>
      <c r="I17" s="93"/>
      <c r="J17" s="91">
        <f t="shared" si="0"/>
        <v>0</v>
      </c>
    </row>
    <row r="18" spans="1:10" ht="18" x14ac:dyDescent="0.3">
      <c r="A18" s="78"/>
      <c r="B18" s="79"/>
      <c r="C18" s="79"/>
      <c r="D18" s="94"/>
      <c r="E18" s="89"/>
      <c r="F18" s="89"/>
      <c r="G18" s="89"/>
      <c r="H18" s="89"/>
      <c r="I18" s="93"/>
      <c r="J18" s="91">
        <f t="shared" si="0"/>
        <v>0</v>
      </c>
    </row>
    <row r="19" spans="1:10" ht="18" x14ac:dyDescent="0.3">
      <c r="A19" s="78"/>
      <c r="B19" s="79"/>
      <c r="C19" s="79"/>
      <c r="D19" s="95"/>
      <c r="E19" s="89"/>
      <c r="F19" s="89"/>
      <c r="G19" s="89"/>
      <c r="H19" s="89"/>
      <c r="I19" s="93"/>
      <c r="J19" s="91">
        <f t="shared" si="0"/>
        <v>0</v>
      </c>
    </row>
    <row r="20" spans="1:10" ht="18" x14ac:dyDescent="0.3">
      <c r="A20" s="78"/>
      <c r="B20" s="79"/>
      <c r="C20" s="79"/>
      <c r="D20" s="88"/>
      <c r="E20" s="89"/>
      <c r="F20" s="89"/>
      <c r="G20" s="89"/>
      <c r="H20" s="89"/>
      <c r="I20" s="90"/>
      <c r="J20" s="91">
        <f t="shared" si="0"/>
        <v>0</v>
      </c>
    </row>
    <row r="21" spans="1:10" ht="18" x14ac:dyDescent="0.3">
      <c r="A21" s="78"/>
      <c r="B21" s="79"/>
      <c r="C21" s="79"/>
      <c r="D21" s="88"/>
      <c r="E21" s="89"/>
      <c r="F21" s="89"/>
      <c r="G21" s="89"/>
      <c r="H21" s="89"/>
      <c r="I21" s="90"/>
      <c r="J21" s="91">
        <f t="shared" si="0"/>
        <v>0</v>
      </c>
    </row>
    <row r="22" spans="1:10" ht="18" x14ac:dyDescent="0.3">
      <c r="A22" s="78"/>
      <c r="B22" s="79"/>
      <c r="C22" s="79"/>
      <c r="D22" s="88"/>
      <c r="E22" s="89"/>
      <c r="F22" s="89"/>
      <c r="G22" s="89"/>
      <c r="H22" s="89"/>
      <c r="I22" s="90"/>
      <c r="J22" s="91">
        <f t="shared" si="0"/>
        <v>0</v>
      </c>
    </row>
    <row r="23" spans="1:10" ht="18" x14ac:dyDescent="0.3">
      <c r="A23" s="78"/>
      <c r="B23" s="79"/>
      <c r="C23" s="79"/>
      <c r="D23" s="94"/>
      <c r="E23" s="89"/>
      <c r="F23" s="89"/>
      <c r="G23" s="89"/>
      <c r="H23" s="89"/>
      <c r="I23" s="93"/>
      <c r="J23" s="91">
        <f t="shared" si="0"/>
        <v>0</v>
      </c>
    </row>
    <row r="24" spans="1:10" ht="18" x14ac:dyDescent="0.3">
      <c r="A24" s="78"/>
      <c r="B24" s="79"/>
      <c r="C24" s="79"/>
      <c r="D24" s="94"/>
      <c r="E24" s="89"/>
      <c r="F24" s="89"/>
      <c r="G24" s="89"/>
      <c r="H24" s="89"/>
      <c r="I24" s="93"/>
      <c r="J24" s="91">
        <f t="shared" si="0"/>
        <v>0</v>
      </c>
    </row>
    <row r="25" spans="1:10" ht="18" x14ac:dyDescent="0.3">
      <c r="A25" s="78"/>
      <c r="B25" s="79"/>
      <c r="C25" s="79"/>
      <c r="D25" s="94"/>
      <c r="E25" s="89"/>
      <c r="F25" s="89"/>
      <c r="G25" s="89"/>
      <c r="H25" s="89"/>
      <c r="I25" s="93"/>
      <c r="J25" s="91">
        <f t="shared" si="0"/>
        <v>0</v>
      </c>
    </row>
    <row r="26" spans="1:10" ht="18" x14ac:dyDescent="0.3">
      <c r="A26" s="78"/>
      <c r="B26" s="79"/>
      <c r="C26" s="79"/>
      <c r="D26" s="94"/>
      <c r="E26" s="89"/>
      <c r="F26" s="89"/>
      <c r="G26" s="89"/>
      <c r="H26" s="89"/>
      <c r="I26" s="93"/>
      <c r="J26" s="91">
        <f t="shared" si="0"/>
        <v>0</v>
      </c>
    </row>
    <row r="27" spans="1:10" ht="18" x14ac:dyDescent="0.3">
      <c r="A27" s="78"/>
      <c r="B27" s="79"/>
      <c r="C27" s="79"/>
      <c r="D27" s="94"/>
      <c r="E27" s="89"/>
      <c r="F27" s="89"/>
      <c r="G27" s="89"/>
      <c r="H27" s="89"/>
      <c r="I27" s="93"/>
      <c r="J27" s="91">
        <f t="shared" si="0"/>
        <v>0</v>
      </c>
    </row>
    <row r="28" spans="1:10" ht="18" x14ac:dyDescent="0.3">
      <c r="A28" s="78"/>
      <c r="B28" s="79"/>
      <c r="C28" s="79"/>
      <c r="D28" s="94"/>
      <c r="E28" s="89"/>
      <c r="F28" s="89"/>
      <c r="G28" s="89"/>
      <c r="H28" s="89"/>
      <c r="I28" s="93"/>
      <c r="J28" s="91">
        <f t="shared" si="0"/>
        <v>0</v>
      </c>
    </row>
    <row r="29" spans="1:10" ht="18" x14ac:dyDescent="0.3">
      <c r="A29" s="78"/>
      <c r="B29" s="79"/>
      <c r="C29" s="79"/>
      <c r="D29" s="94"/>
      <c r="E29" s="89"/>
      <c r="F29" s="89"/>
      <c r="G29" s="89"/>
      <c r="H29" s="89"/>
      <c r="I29" s="93"/>
      <c r="J29" s="91">
        <f t="shared" si="0"/>
        <v>0</v>
      </c>
    </row>
    <row r="30" spans="1:10" ht="18" x14ac:dyDescent="0.3">
      <c r="A30" s="78"/>
      <c r="B30" s="79"/>
      <c r="C30" s="79"/>
      <c r="D30" s="94"/>
      <c r="E30" s="89"/>
      <c r="F30" s="89"/>
      <c r="G30" s="89"/>
      <c r="H30" s="89"/>
      <c r="I30" s="93"/>
      <c r="J30" s="91">
        <f t="shared" si="0"/>
        <v>0</v>
      </c>
    </row>
    <row r="31" spans="1:10" ht="18" x14ac:dyDescent="0.3">
      <c r="A31" s="78"/>
      <c r="B31" s="79"/>
      <c r="C31" s="79"/>
      <c r="D31" s="94"/>
      <c r="E31" s="89"/>
      <c r="F31" s="89"/>
      <c r="G31" s="89"/>
      <c r="H31" s="89"/>
      <c r="I31" s="93"/>
      <c r="J31" s="91">
        <f t="shared" si="0"/>
        <v>0</v>
      </c>
    </row>
    <row r="32" spans="1:10" ht="18" x14ac:dyDescent="0.3">
      <c r="A32" s="78"/>
      <c r="B32" s="79"/>
      <c r="C32" s="79"/>
      <c r="D32" s="94"/>
      <c r="E32" s="89"/>
      <c r="F32" s="89"/>
      <c r="G32" s="89"/>
      <c r="H32" s="89"/>
      <c r="I32" s="93"/>
      <c r="J32" s="91">
        <f t="shared" si="0"/>
        <v>0</v>
      </c>
    </row>
    <row r="33" spans="1:10" ht="18" x14ac:dyDescent="0.3">
      <c r="A33" s="78"/>
      <c r="B33" s="79"/>
      <c r="C33" s="79"/>
      <c r="D33" s="94"/>
      <c r="E33" s="89"/>
      <c r="F33" s="89"/>
      <c r="G33" s="89"/>
      <c r="H33" s="89"/>
      <c r="I33" s="93"/>
      <c r="J33" s="91">
        <f t="shared" si="0"/>
        <v>0</v>
      </c>
    </row>
    <row r="34" spans="1:10" ht="18" x14ac:dyDescent="0.3">
      <c r="A34" s="78"/>
      <c r="B34" s="79"/>
      <c r="C34" s="79"/>
      <c r="D34" s="94"/>
      <c r="E34" s="89"/>
      <c r="F34" s="89"/>
      <c r="G34" s="89"/>
      <c r="H34" s="89"/>
      <c r="I34" s="93"/>
      <c r="J34" s="91">
        <f t="shared" si="0"/>
        <v>0</v>
      </c>
    </row>
    <row r="35" spans="1:10" ht="18" x14ac:dyDescent="0.3">
      <c r="A35" s="78"/>
      <c r="B35" s="79"/>
      <c r="C35" s="79"/>
      <c r="D35" s="94"/>
      <c r="E35" s="89"/>
      <c r="F35" s="89"/>
      <c r="G35" s="89"/>
      <c r="H35" s="89"/>
      <c r="I35" s="93"/>
      <c r="J35" s="91">
        <f t="shared" si="0"/>
        <v>0</v>
      </c>
    </row>
    <row r="36" spans="1:10" ht="18" x14ac:dyDescent="0.3">
      <c r="A36" s="78"/>
      <c r="B36" s="79"/>
      <c r="C36" s="79"/>
      <c r="D36" s="94"/>
      <c r="E36" s="89"/>
      <c r="F36" s="89"/>
      <c r="G36" s="89"/>
      <c r="H36" s="89"/>
      <c r="I36" s="93"/>
      <c r="J36" s="91">
        <f t="shared" si="0"/>
        <v>0</v>
      </c>
    </row>
    <row r="37" spans="1:10" ht="18" x14ac:dyDescent="0.3">
      <c r="A37" s="78"/>
      <c r="B37" s="79"/>
      <c r="C37" s="79"/>
      <c r="D37" s="94"/>
      <c r="E37" s="89"/>
      <c r="F37" s="89"/>
      <c r="G37" s="89"/>
      <c r="H37" s="89"/>
      <c r="I37" s="93"/>
      <c r="J37" s="91">
        <f t="shared" si="0"/>
        <v>0</v>
      </c>
    </row>
    <row r="38" spans="1:10" ht="18" x14ac:dyDescent="0.3">
      <c r="A38" s="78"/>
      <c r="B38" s="79"/>
      <c r="C38" s="79"/>
      <c r="D38" s="94"/>
      <c r="E38" s="89"/>
      <c r="F38" s="89"/>
      <c r="G38" s="89"/>
      <c r="H38" s="89"/>
      <c r="I38" s="93"/>
      <c r="J38" s="91">
        <f t="shared" si="0"/>
        <v>0</v>
      </c>
    </row>
    <row r="39" spans="1:10" ht="18" x14ac:dyDescent="0.3">
      <c r="A39" s="78"/>
      <c r="B39" s="79"/>
      <c r="C39" s="79"/>
      <c r="D39" s="94"/>
      <c r="E39" s="89"/>
      <c r="F39" s="89"/>
      <c r="G39" s="89"/>
      <c r="H39" s="89"/>
      <c r="I39" s="93"/>
      <c r="J39" s="91">
        <f t="shared" si="0"/>
        <v>0</v>
      </c>
    </row>
    <row r="40" spans="1:10" ht="18" x14ac:dyDescent="0.3">
      <c r="A40" s="78"/>
      <c r="B40" s="79"/>
      <c r="C40" s="79"/>
      <c r="D40" s="94"/>
      <c r="E40" s="89"/>
      <c r="F40" s="89"/>
      <c r="G40" s="92"/>
      <c r="H40" s="89"/>
      <c r="I40" s="93"/>
      <c r="J40" s="91"/>
    </row>
    <row r="41" spans="1:10" ht="18" x14ac:dyDescent="0.3">
      <c r="A41" s="78"/>
      <c r="B41" s="79"/>
      <c r="C41" s="79"/>
      <c r="D41" s="94"/>
      <c r="E41" s="89"/>
      <c r="F41" s="89"/>
      <c r="G41" s="92"/>
      <c r="H41" s="89"/>
      <c r="I41" s="93"/>
      <c r="J41" s="91"/>
    </row>
    <row r="42" spans="1:10" ht="18" x14ac:dyDescent="0.3">
      <c r="A42" s="78"/>
      <c r="B42" s="79"/>
      <c r="C42" s="79"/>
      <c r="D42" s="94"/>
      <c r="E42" s="89"/>
      <c r="F42" s="89"/>
      <c r="G42" s="92"/>
      <c r="H42" s="89"/>
      <c r="I42" s="93"/>
      <c r="J42" s="91"/>
    </row>
    <row r="43" spans="1:10" ht="18" x14ac:dyDescent="0.3">
      <c r="A43" s="78"/>
      <c r="B43" s="79"/>
      <c r="C43" s="79"/>
      <c r="D43" s="94"/>
      <c r="E43" s="89"/>
      <c r="F43" s="89"/>
      <c r="G43" s="92"/>
      <c r="H43" s="89"/>
      <c r="I43" s="93"/>
      <c r="J43" s="91"/>
    </row>
    <row r="44" spans="1:10" ht="18" x14ac:dyDescent="0.3">
      <c r="A44" s="78"/>
      <c r="B44" s="79"/>
      <c r="C44" s="79"/>
      <c r="D44" s="94"/>
      <c r="E44" s="89"/>
      <c r="F44" s="89"/>
      <c r="G44" s="92"/>
      <c r="H44" s="89"/>
      <c r="I44" s="93"/>
      <c r="J44" s="91"/>
    </row>
    <row r="45" spans="1:10" ht="18" x14ac:dyDescent="0.3">
      <c r="A45" s="78"/>
      <c r="B45" s="79"/>
      <c r="C45" s="79"/>
      <c r="D45" s="95"/>
      <c r="E45" s="89"/>
      <c r="F45" s="89"/>
      <c r="G45" s="92"/>
      <c r="H45" s="89"/>
      <c r="I45" s="93"/>
      <c r="J45" s="91">
        <f t="shared" si="0"/>
        <v>0</v>
      </c>
    </row>
    <row r="46" spans="1:10" ht="18.75" thickBot="1" x14ac:dyDescent="0.35">
      <c r="A46" s="78"/>
      <c r="B46" s="79"/>
      <c r="C46" s="79"/>
      <c r="D46" s="96"/>
      <c r="E46" s="97"/>
      <c r="F46" s="97"/>
      <c r="G46" s="98"/>
      <c r="H46" s="97"/>
      <c r="I46" s="99"/>
      <c r="J46" s="100">
        <f t="shared" si="0"/>
        <v>0</v>
      </c>
    </row>
    <row r="47" spans="1:10" ht="21" thickBot="1" x14ac:dyDescent="0.35">
      <c r="A47" s="78"/>
      <c r="B47" s="79"/>
      <c r="C47" s="79"/>
      <c r="D47" s="933" t="s">
        <v>10</v>
      </c>
      <c r="E47" s="934"/>
      <c r="F47" s="934"/>
      <c r="G47" s="934"/>
      <c r="H47" s="934"/>
      <c r="I47" s="935"/>
      <c r="J47" s="102">
        <f>ROUND(SUM(J8:J46),2)</f>
        <v>216.44</v>
      </c>
    </row>
    <row r="48" spans="1:10" ht="21" thickBot="1" x14ac:dyDescent="0.35">
      <c r="A48" s="78"/>
      <c r="B48" s="79"/>
      <c r="C48" s="79"/>
      <c r="D48" s="933" t="s">
        <v>1127</v>
      </c>
      <c r="E48" s="934"/>
      <c r="F48" s="934"/>
      <c r="G48" s="934"/>
      <c r="H48" s="934"/>
      <c r="I48" s="935"/>
      <c r="J48" s="103"/>
    </row>
    <row r="49" spans="1:10" ht="21" thickBot="1" x14ac:dyDescent="0.35">
      <c r="A49" s="78"/>
      <c r="B49" s="79"/>
      <c r="C49" s="101"/>
      <c r="D49" s="933" t="s">
        <v>1128</v>
      </c>
      <c r="E49" s="934"/>
      <c r="F49" s="934"/>
      <c r="G49" s="934"/>
      <c r="H49" s="934"/>
      <c r="I49" s="935"/>
      <c r="J49" s="104">
        <f>+J47-J48</f>
        <v>216.44</v>
      </c>
    </row>
    <row r="50" spans="1:10" ht="21" thickBot="1" x14ac:dyDescent="0.35">
      <c r="A50" s="936" t="s">
        <v>1129</v>
      </c>
      <c r="B50" s="937"/>
      <c r="C50" s="938"/>
      <c r="D50" s="939" t="s">
        <v>1130</v>
      </c>
      <c r="E50" s="940"/>
      <c r="F50" s="940"/>
      <c r="G50" s="940"/>
      <c r="H50" s="940"/>
      <c r="I50" s="940"/>
      <c r="J50" s="941"/>
    </row>
    <row r="51" spans="1:10" ht="38.25" customHeight="1" thickBot="1" x14ac:dyDescent="0.35">
      <c r="A51" s="942" t="str">
        <f>PPTO!G3</f>
        <v>JUNIO DE 2026</v>
      </c>
      <c r="B51" s="943"/>
      <c r="C51" s="944"/>
      <c r="D51" s="921"/>
      <c r="E51" s="922"/>
      <c r="F51" s="922"/>
      <c r="G51" s="922"/>
      <c r="H51" s="922"/>
      <c r="I51" s="922"/>
      <c r="J51" s="923"/>
    </row>
    <row r="52" spans="1:10" ht="19.5" thickBot="1" x14ac:dyDescent="0.35">
      <c r="A52" s="918"/>
      <c r="B52" s="919"/>
      <c r="C52" s="920"/>
      <c r="D52" s="921" t="s">
        <v>1131</v>
      </c>
      <c r="E52" s="922"/>
      <c r="F52" s="922"/>
      <c r="G52" s="922"/>
      <c r="H52" s="922"/>
      <c r="I52" s="922"/>
      <c r="J52" s="923"/>
    </row>
  </sheetData>
  <mergeCells count="19">
    <mergeCell ref="A52:C52"/>
    <mergeCell ref="D52:J52"/>
    <mergeCell ref="D6:D7"/>
    <mergeCell ref="E6:G6"/>
    <mergeCell ref="I6:I7"/>
    <mergeCell ref="J6:J7"/>
    <mergeCell ref="D47:I47"/>
    <mergeCell ref="D48:I48"/>
    <mergeCell ref="D49:I49"/>
    <mergeCell ref="A50:C50"/>
    <mergeCell ref="D50:J50"/>
    <mergeCell ref="A51:C51"/>
    <mergeCell ref="D51:J51"/>
    <mergeCell ref="A2:J2"/>
    <mergeCell ref="A3:J3"/>
    <mergeCell ref="A4:J4"/>
    <mergeCell ref="C5:D5"/>
    <mergeCell ref="G5:H5"/>
    <mergeCell ref="I5:J5"/>
  </mergeCells>
  <conditionalFormatting sqref="J8:J46">
    <cfRule type="cellIs" dxfId="46" priority="1" operator="equal">
      <formula>0</formula>
    </cfRule>
  </conditionalFormatting>
  <pageMargins left="0.7" right="0.7" top="0.75" bottom="0.75" header="0.3" footer="0.3"/>
  <pageSetup scale="50" orientation="landscape"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F49FC7-6EC0-4322-9AAF-2F2933BCFF23}">
  <sheetPr>
    <tabColor rgb="FFD4ECBA"/>
    <pageSetUpPr fitToPage="1"/>
  </sheetPr>
  <dimension ref="A1:M52"/>
  <sheetViews>
    <sheetView showOutlineSymbols="0" view="pageBreakPreview" topLeftCell="A5" zoomScale="60" zoomScaleNormal="70" workbookViewId="0">
      <selection activeCell="O50" sqref="O50:O51"/>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05.75" customHeight="1" thickBot="1" x14ac:dyDescent="0.35">
      <c r="A5" s="72" t="s">
        <v>5</v>
      </c>
      <c r="B5" s="73">
        <f>PPTO!B40</f>
        <v>5.3</v>
      </c>
      <c r="C5" s="913" t="str">
        <f>+VLOOKUP(B5,PPTO!B8:G94,2,FALSE)</f>
        <v>Cielo en drywall local con fajas y dilatadores incluye: (estructura, placa, macilla y pintura)</v>
      </c>
      <c r="D5" s="914"/>
      <c r="E5" s="72" t="s">
        <v>7</v>
      </c>
      <c r="F5" s="74" t="str">
        <f>+VLOOKUP(B5,PPTO!B8:G94,3,FALSE)</f>
        <v>M2</v>
      </c>
      <c r="G5" s="915" t="s">
        <v>1120</v>
      </c>
      <c r="H5" s="915"/>
      <c r="I5" s="916">
        <f>+VLOOKUP(B5,PPTO!B8:G94,5,FALSE)</f>
        <v>103072.31486633158</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t="s">
        <v>1141</v>
      </c>
      <c r="I7" s="930"/>
      <c r="J7" s="932"/>
    </row>
    <row r="8" spans="1:10" ht="18" x14ac:dyDescent="0.3">
      <c r="A8" s="78"/>
      <c r="B8" s="79"/>
      <c r="C8" s="79"/>
      <c r="D8" s="88" t="s">
        <v>1185</v>
      </c>
      <c r="E8" s="89"/>
      <c r="F8" s="89"/>
      <c r="G8" s="89"/>
      <c r="H8" s="89">
        <v>43.31</v>
      </c>
      <c r="I8" s="89"/>
      <c r="J8" s="87">
        <f>+PRODUCT(E8:I8)</f>
        <v>43.31</v>
      </c>
    </row>
    <row r="9" spans="1:10" ht="18" x14ac:dyDescent="0.3">
      <c r="A9" s="78"/>
      <c r="B9" s="79"/>
      <c r="C9" s="79"/>
      <c r="D9" s="94" t="s">
        <v>1186</v>
      </c>
      <c r="E9" s="89"/>
      <c r="F9" s="89"/>
      <c r="G9" s="89"/>
      <c r="H9" s="89">
        <v>41.84</v>
      </c>
      <c r="I9" s="89"/>
      <c r="J9" s="91">
        <f t="shared" ref="J9:J46" si="0">+PRODUCT(E9:I9)</f>
        <v>41.84</v>
      </c>
    </row>
    <row r="10" spans="1:10" ht="18" x14ac:dyDescent="0.3">
      <c r="A10" s="78"/>
      <c r="B10" s="79"/>
      <c r="C10" s="79"/>
      <c r="D10" s="94" t="s">
        <v>1187</v>
      </c>
      <c r="E10" s="89"/>
      <c r="F10" s="89"/>
      <c r="G10" s="89"/>
      <c r="H10" s="89">
        <v>74.13</v>
      </c>
      <c r="I10" s="89"/>
      <c r="J10" s="91">
        <f t="shared" si="0"/>
        <v>74.13</v>
      </c>
    </row>
    <row r="11" spans="1:10" ht="18" x14ac:dyDescent="0.3">
      <c r="A11" s="78"/>
      <c r="B11" s="79"/>
      <c r="C11" s="79"/>
      <c r="D11" s="94" t="s">
        <v>1188</v>
      </c>
      <c r="E11" s="89"/>
      <c r="F11" s="89"/>
      <c r="G11" s="89"/>
      <c r="H11" s="89">
        <f>75.48*0</f>
        <v>0</v>
      </c>
      <c r="I11" s="89"/>
      <c r="J11" s="91">
        <f t="shared" si="0"/>
        <v>0</v>
      </c>
    </row>
    <row r="12" spans="1:10" ht="18" x14ac:dyDescent="0.3">
      <c r="A12" s="78"/>
      <c r="B12" s="79"/>
      <c r="C12" s="79"/>
      <c r="D12" s="94" t="s">
        <v>1189</v>
      </c>
      <c r="E12" s="89"/>
      <c r="F12" s="89"/>
      <c r="G12" s="89"/>
      <c r="H12" s="89">
        <f>23.82</f>
        <v>23.82</v>
      </c>
      <c r="I12" s="89"/>
      <c r="J12" s="91">
        <f t="shared" si="0"/>
        <v>23.82</v>
      </c>
    </row>
    <row r="13" spans="1:10" ht="18" x14ac:dyDescent="0.3">
      <c r="A13" s="78"/>
      <c r="B13" s="79"/>
      <c r="C13" s="79"/>
      <c r="D13" s="94" t="s">
        <v>1190</v>
      </c>
      <c r="E13" s="89"/>
      <c r="F13" s="89"/>
      <c r="G13" s="89"/>
      <c r="H13" s="89">
        <v>14.11</v>
      </c>
      <c r="I13" s="89"/>
      <c r="J13" s="91">
        <f t="shared" si="0"/>
        <v>14.11</v>
      </c>
    </row>
    <row r="14" spans="1:10" ht="18" x14ac:dyDescent="0.3">
      <c r="A14" s="78"/>
      <c r="B14" s="79"/>
      <c r="C14" s="79"/>
      <c r="D14" s="94" t="s">
        <v>1191</v>
      </c>
      <c r="E14" s="89"/>
      <c r="F14" s="89"/>
      <c r="G14" s="89"/>
      <c r="H14" s="89">
        <v>39.479999999999997</v>
      </c>
      <c r="I14" s="89"/>
      <c r="J14" s="91">
        <f t="shared" si="0"/>
        <v>39.479999999999997</v>
      </c>
    </row>
    <row r="15" spans="1:10" ht="18" x14ac:dyDescent="0.3">
      <c r="A15" s="78"/>
      <c r="B15" s="79"/>
      <c r="C15" s="79"/>
      <c r="D15" s="94" t="s">
        <v>1192</v>
      </c>
      <c r="E15" s="89"/>
      <c r="F15" s="89"/>
      <c r="G15" s="89"/>
      <c r="H15" s="89">
        <v>11.35</v>
      </c>
      <c r="I15" s="89"/>
      <c r="J15" s="91">
        <f t="shared" si="0"/>
        <v>11.35</v>
      </c>
    </row>
    <row r="16" spans="1:10" ht="18" x14ac:dyDescent="0.3">
      <c r="A16" s="78"/>
      <c r="B16" s="79"/>
      <c r="C16" s="79"/>
      <c r="D16" s="94" t="s">
        <v>1193</v>
      </c>
      <c r="E16" s="89"/>
      <c r="F16" s="89"/>
      <c r="G16" s="89"/>
      <c r="H16" s="89">
        <v>17.34</v>
      </c>
      <c r="I16" s="89"/>
      <c r="J16" s="91">
        <f t="shared" si="0"/>
        <v>17.34</v>
      </c>
    </row>
    <row r="17" spans="1:10" ht="18" x14ac:dyDescent="0.3">
      <c r="A17" s="78"/>
      <c r="B17" s="79"/>
      <c r="C17" s="79"/>
      <c r="D17" s="94"/>
      <c r="E17" s="89"/>
      <c r="F17" s="89"/>
      <c r="G17" s="89"/>
      <c r="H17" s="89"/>
      <c r="I17" s="89"/>
      <c r="J17" s="91">
        <f t="shared" si="0"/>
        <v>0</v>
      </c>
    </row>
    <row r="18" spans="1:10" ht="18" x14ac:dyDescent="0.3">
      <c r="A18" s="78"/>
      <c r="B18" s="79"/>
      <c r="C18" s="79"/>
      <c r="D18" s="94"/>
      <c r="E18" s="89"/>
      <c r="F18" s="89"/>
      <c r="G18" s="89"/>
      <c r="H18" s="89"/>
      <c r="I18" s="89"/>
      <c r="J18" s="91">
        <f t="shared" si="0"/>
        <v>0</v>
      </c>
    </row>
    <row r="19" spans="1:10" ht="18" x14ac:dyDescent="0.3">
      <c r="A19" s="78"/>
      <c r="B19" s="79"/>
      <c r="C19" s="79"/>
      <c r="D19" s="95"/>
      <c r="E19" s="89"/>
      <c r="F19" s="89"/>
      <c r="G19" s="89"/>
      <c r="H19" s="89"/>
      <c r="I19" s="89"/>
      <c r="J19" s="91">
        <f t="shared" si="0"/>
        <v>0</v>
      </c>
    </row>
    <row r="20" spans="1:10" ht="18" x14ac:dyDescent="0.3">
      <c r="A20" s="78"/>
      <c r="B20" s="79"/>
      <c r="C20" s="79"/>
      <c r="D20" s="88"/>
      <c r="E20" s="89"/>
      <c r="F20" s="89"/>
      <c r="G20" s="89"/>
      <c r="H20" s="89"/>
      <c r="I20" s="390"/>
      <c r="J20" s="91">
        <f t="shared" si="0"/>
        <v>0</v>
      </c>
    </row>
    <row r="21" spans="1:10" ht="18" x14ac:dyDescent="0.3">
      <c r="A21" s="78"/>
      <c r="B21" s="79"/>
      <c r="C21" s="79"/>
      <c r="D21" s="88"/>
      <c r="E21" s="89"/>
      <c r="F21" s="89"/>
      <c r="G21" s="89"/>
      <c r="H21" s="89"/>
      <c r="I21" s="390"/>
      <c r="J21" s="91">
        <f t="shared" si="0"/>
        <v>0</v>
      </c>
    </row>
    <row r="22" spans="1:10" ht="18" x14ac:dyDescent="0.3">
      <c r="A22" s="78"/>
      <c r="B22" s="79"/>
      <c r="C22" s="79"/>
      <c r="D22" s="88"/>
      <c r="E22" s="89"/>
      <c r="F22" s="89"/>
      <c r="G22" s="89"/>
      <c r="H22" s="89"/>
      <c r="I22" s="390"/>
      <c r="J22" s="91">
        <f t="shared" si="0"/>
        <v>0</v>
      </c>
    </row>
    <row r="23" spans="1:10" ht="18" x14ac:dyDescent="0.3">
      <c r="A23" s="78"/>
      <c r="B23" s="79"/>
      <c r="C23" s="79"/>
      <c r="D23" s="94"/>
      <c r="E23" s="89"/>
      <c r="F23" s="89"/>
      <c r="G23" s="89"/>
      <c r="H23" s="89"/>
      <c r="I23" s="89"/>
      <c r="J23" s="91">
        <f t="shared" si="0"/>
        <v>0</v>
      </c>
    </row>
    <row r="24" spans="1:10" ht="18" x14ac:dyDescent="0.3">
      <c r="A24" s="78"/>
      <c r="B24" s="79"/>
      <c r="C24" s="79"/>
      <c r="D24" s="94"/>
      <c r="E24" s="89"/>
      <c r="F24" s="89"/>
      <c r="G24" s="89"/>
      <c r="H24" s="89"/>
      <c r="I24" s="89"/>
      <c r="J24" s="91">
        <f t="shared" si="0"/>
        <v>0</v>
      </c>
    </row>
    <row r="25" spans="1:10" ht="18" x14ac:dyDescent="0.3">
      <c r="A25" s="78"/>
      <c r="B25" s="79"/>
      <c r="C25" s="79"/>
      <c r="D25" s="94"/>
      <c r="E25" s="89"/>
      <c r="F25" s="89"/>
      <c r="G25" s="89"/>
      <c r="H25" s="89"/>
      <c r="I25" s="93"/>
      <c r="J25" s="91">
        <f t="shared" si="0"/>
        <v>0</v>
      </c>
    </row>
    <row r="26" spans="1:10" ht="18" x14ac:dyDescent="0.3">
      <c r="A26" s="78"/>
      <c r="B26" s="79"/>
      <c r="C26" s="79"/>
      <c r="D26" s="94"/>
      <c r="E26" s="89"/>
      <c r="F26" s="89"/>
      <c r="G26" s="89"/>
      <c r="H26" s="89"/>
      <c r="I26" s="93"/>
      <c r="J26" s="91">
        <f t="shared" si="0"/>
        <v>0</v>
      </c>
    </row>
    <row r="27" spans="1:10" ht="18" x14ac:dyDescent="0.3">
      <c r="A27" s="78"/>
      <c r="B27" s="79"/>
      <c r="C27" s="79"/>
      <c r="D27" s="94"/>
      <c r="E27" s="89"/>
      <c r="F27" s="89"/>
      <c r="G27" s="89"/>
      <c r="H27" s="89"/>
      <c r="I27" s="93"/>
      <c r="J27" s="91">
        <f t="shared" si="0"/>
        <v>0</v>
      </c>
    </row>
    <row r="28" spans="1:10" ht="18" x14ac:dyDescent="0.3">
      <c r="A28" s="78"/>
      <c r="B28" s="79"/>
      <c r="C28" s="79"/>
      <c r="D28" s="94"/>
      <c r="E28" s="89"/>
      <c r="F28" s="89"/>
      <c r="G28" s="89"/>
      <c r="H28" s="89"/>
      <c r="I28" s="93"/>
      <c r="J28" s="91">
        <f t="shared" si="0"/>
        <v>0</v>
      </c>
    </row>
    <row r="29" spans="1:10" ht="18" x14ac:dyDescent="0.3">
      <c r="A29" s="78"/>
      <c r="B29" s="79"/>
      <c r="C29" s="79"/>
      <c r="D29" s="94"/>
      <c r="E29" s="89"/>
      <c r="F29" s="89"/>
      <c r="G29" s="89"/>
      <c r="H29" s="89"/>
      <c r="I29" s="93"/>
      <c r="J29" s="91">
        <f t="shared" si="0"/>
        <v>0</v>
      </c>
    </row>
    <row r="30" spans="1:10" ht="18" x14ac:dyDescent="0.3">
      <c r="A30" s="78"/>
      <c r="B30" s="79"/>
      <c r="C30" s="79"/>
      <c r="D30" s="94"/>
      <c r="E30" s="89"/>
      <c r="F30" s="89"/>
      <c r="G30" s="89"/>
      <c r="H30" s="89"/>
      <c r="I30" s="93"/>
      <c r="J30" s="91">
        <f t="shared" si="0"/>
        <v>0</v>
      </c>
    </row>
    <row r="31" spans="1:10" ht="18" x14ac:dyDescent="0.3">
      <c r="A31" s="78"/>
      <c r="B31" s="79"/>
      <c r="C31" s="79"/>
      <c r="D31" s="94"/>
      <c r="E31" s="89"/>
      <c r="F31" s="89"/>
      <c r="G31" s="89"/>
      <c r="H31" s="89"/>
      <c r="I31" s="93"/>
      <c r="J31" s="91">
        <f t="shared" si="0"/>
        <v>0</v>
      </c>
    </row>
    <row r="32" spans="1:10" ht="18" x14ac:dyDescent="0.3">
      <c r="A32" s="78"/>
      <c r="B32" s="79"/>
      <c r="C32" s="79"/>
      <c r="D32" s="94"/>
      <c r="E32" s="89"/>
      <c r="F32" s="89"/>
      <c r="G32" s="89"/>
      <c r="H32" s="89"/>
      <c r="I32" s="93"/>
      <c r="J32" s="91">
        <f t="shared" si="0"/>
        <v>0</v>
      </c>
    </row>
    <row r="33" spans="1:13" ht="18" x14ac:dyDescent="0.3">
      <c r="A33" s="78"/>
      <c r="B33" s="79"/>
      <c r="C33" s="79"/>
      <c r="D33" s="94"/>
      <c r="E33" s="89"/>
      <c r="F33" s="89"/>
      <c r="G33" s="89"/>
      <c r="H33" s="89"/>
      <c r="I33" s="93"/>
      <c r="J33" s="91">
        <f t="shared" si="0"/>
        <v>0</v>
      </c>
    </row>
    <row r="34" spans="1:13" ht="18" x14ac:dyDescent="0.3">
      <c r="A34" s="78"/>
      <c r="B34" s="79"/>
      <c r="C34" s="79"/>
      <c r="D34" s="94"/>
      <c r="E34" s="89"/>
      <c r="F34" s="89"/>
      <c r="G34" s="89"/>
      <c r="H34" s="89"/>
      <c r="I34" s="93"/>
      <c r="J34" s="91">
        <f t="shared" si="0"/>
        <v>0</v>
      </c>
    </row>
    <row r="35" spans="1:13" ht="18" x14ac:dyDescent="0.3">
      <c r="A35" s="78"/>
      <c r="B35" s="79"/>
      <c r="C35" s="79"/>
      <c r="D35" s="94"/>
      <c r="E35" s="89"/>
      <c r="F35" s="89"/>
      <c r="G35" s="89"/>
      <c r="H35" s="89"/>
      <c r="I35" s="93"/>
      <c r="J35" s="91">
        <f t="shared" si="0"/>
        <v>0</v>
      </c>
    </row>
    <row r="36" spans="1:13" ht="18" x14ac:dyDescent="0.3">
      <c r="A36" s="78"/>
      <c r="B36" s="79"/>
      <c r="C36" s="79"/>
      <c r="D36" s="94"/>
      <c r="E36" s="89"/>
      <c r="F36" s="89"/>
      <c r="G36" s="89"/>
      <c r="H36" s="89"/>
      <c r="I36" s="93"/>
      <c r="J36" s="91">
        <f t="shared" si="0"/>
        <v>0</v>
      </c>
    </row>
    <row r="37" spans="1:13" ht="18" x14ac:dyDescent="0.3">
      <c r="A37" s="78"/>
      <c r="B37" s="79"/>
      <c r="C37" s="79"/>
      <c r="D37" s="94"/>
      <c r="E37" s="89"/>
      <c r="F37" s="89"/>
      <c r="G37" s="89"/>
      <c r="H37" s="89"/>
      <c r="I37" s="93"/>
      <c r="J37" s="91">
        <f t="shared" si="0"/>
        <v>0</v>
      </c>
    </row>
    <row r="38" spans="1:13" ht="18" x14ac:dyDescent="0.3">
      <c r="A38" s="78"/>
      <c r="B38" s="79"/>
      <c r="C38" s="79"/>
      <c r="D38" s="94"/>
      <c r="E38" s="89"/>
      <c r="F38" s="89"/>
      <c r="G38" s="89"/>
      <c r="H38" s="89"/>
      <c r="I38" s="93"/>
      <c r="J38" s="91">
        <f t="shared" si="0"/>
        <v>0</v>
      </c>
    </row>
    <row r="39" spans="1:13" ht="18" x14ac:dyDescent="0.3">
      <c r="A39" s="78"/>
      <c r="B39" s="79"/>
      <c r="C39" s="79"/>
      <c r="D39" s="94"/>
      <c r="E39" s="89"/>
      <c r="F39" s="89"/>
      <c r="G39" s="89"/>
      <c r="H39" s="89"/>
      <c r="I39" s="93"/>
      <c r="J39" s="91">
        <f t="shared" si="0"/>
        <v>0</v>
      </c>
    </row>
    <row r="40" spans="1:13" ht="18" x14ac:dyDescent="0.3">
      <c r="A40" s="78"/>
      <c r="B40" s="79"/>
      <c r="C40" s="79"/>
      <c r="D40" s="94"/>
      <c r="E40" s="89"/>
      <c r="F40" s="89"/>
      <c r="G40" s="92"/>
      <c r="H40" s="89"/>
      <c r="I40" s="93"/>
      <c r="J40" s="91"/>
    </row>
    <row r="41" spans="1:13" ht="18" x14ac:dyDescent="0.3">
      <c r="A41" s="78"/>
      <c r="B41" s="79"/>
      <c r="C41" s="79"/>
      <c r="D41" s="94"/>
      <c r="E41" s="89"/>
      <c r="F41" s="89"/>
      <c r="G41" s="92"/>
      <c r="H41" s="89"/>
      <c r="I41" s="93"/>
      <c r="J41" s="91"/>
    </row>
    <row r="42" spans="1:13" ht="18" x14ac:dyDescent="0.3">
      <c r="A42" s="78"/>
      <c r="B42" s="79"/>
      <c r="C42" s="79"/>
      <c r="D42" s="94"/>
      <c r="E42" s="89"/>
      <c r="F42" s="89"/>
      <c r="G42" s="92"/>
      <c r="H42" s="89"/>
      <c r="I42" s="93"/>
      <c r="J42" s="91"/>
    </row>
    <row r="43" spans="1:13" ht="18" x14ac:dyDescent="0.3">
      <c r="A43" s="78"/>
      <c r="B43" s="79"/>
      <c r="C43" s="79"/>
      <c r="D43" s="94"/>
      <c r="E43" s="89"/>
      <c r="F43" s="89"/>
      <c r="G43" s="92"/>
      <c r="H43" s="89"/>
      <c r="I43" s="93"/>
      <c r="J43" s="91"/>
    </row>
    <row r="44" spans="1:13" ht="18" x14ac:dyDescent="0.3">
      <c r="A44" s="78"/>
      <c r="B44" s="79"/>
      <c r="C44" s="79"/>
      <c r="D44" s="94"/>
      <c r="E44" s="89"/>
      <c r="F44" s="89"/>
      <c r="G44" s="92"/>
      <c r="H44" s="89"/>
      <c r="I44" s="93"/>
      <c r="J44" s="91"/>
    </row>
    <row r="45" spans="1:13" ht="18" x14ac:dyDescent="0.3">
      <c r="A45" s="78"/>
      <c r="B45" s="79"/>
      <c r="C45" s="79"/>
      <c r="D45" s="95"/>
      <c r="E45" s="89"/>
      <c r="F45" s="89"/>
      <c r="G45" s="92"/>
      <c r="H45" s="89"/>
      <c r="I45" s="93"/>
      <c r="J45" s="91">
        <f t="shared" si="0"/>
        <v>0</v>
      </c>
    </row>
    <row r="46" spans="1:13" ht="18.75" thickBot="1" x14ac:dyDescent="0.35">
      <c r="A46" s="78"/>
      <c r="B46" s="79"/>
      <c r="C46" s="79"/>
      <c r="D46" s="96"/>
      <c r="E46" s="97"/>
      <c r="F46" s="97"/>
      <c r="G46" s="98"/>
      <c r="H46" s="97"/>
      <c r="I46" s="99"/>
      <c r="J46" s="100">
        <f t="shared" si="0"/>
        <v>0</v>
      </c>
      <c r="M46" s="105"/>
    </row>
    <row r="47" spans="1:13" ht="21" thickBot="1" x14ac:dyDescent="0.35">
      <c r="A47" s="78"/>
      <c r="B47" s="79"/>
      <c r="C47" s="79"/>
      <c r="D47" s="933" t="s">
        <v>10</v>
      </c>
      <c r="E47" s="934"/>
      <c r="F47" s="934"/>
      <c r="G47" s="934"/>
      <c r="H47" s="934"/>
      <c r="I47" s="935"/>
      <c r="J47" s="102">
        <f>ROUND(SUM(J8:J46),2)</f>
        <v>265.38</v>
      </c>
    </row>
    <row r="48" spans="1:13" ht="21" thickBot="1" x14ac:dyDescent="0.35">
      <c r="A48" s="78"/>
      <c r="B48" s="79"/>
      <c r="C48" s="79"/>
      <c r="D48" s="933" t="s">
        <v>1127</v>
      </c>
      <c r="E48" s="934"/>
      <c r="F48" s="934"/>
      <c r="G48" s="934"/>
      <c r="H48" s="934"/>
      <c r="I48" s="935"/>
      <c r="J48" s="103"/>
    </row>
    <row r="49" spans="1:10" ht="21" thickBot="1" x14ac:dyDescent="0.35">
      <c r="A49" s="78"/>
      <c r="B49" s="79"/>
      <c r="C49" s="101"/>
      <c r="D49" s="933" t="s">
        <v>1128</v>
      </c>
      <c r="E49" s="934"/>
      <c r="F49" s="934"/>
      <c r="G49" s="934"/>
      <c r="H49" s="934"/>
      <c r="I49" s="935"/>
      <c r="J49" s="104">
        <f>+J47-J48</f>
        <v>265.38</v>
      </c>
    </row>
    <row r="50" spans="1:10" ht="21" thickBot="1" x14ac:dyDescent="0.35">
      <c r="A50" s="936" t="s">
        <v>1129</v>
      </c>
      <c r="B50" s="937"/>
      <c r="C50" s="938"/>
      <c r="D50" s="939" t="s">
        <v>1130</v>
      </c>
      <c r="E50" s="940"/>
      <c r="F50" s="940"/>
      <c r="G50" s="940"/>
      <c r="H50" s="940"/>
      <c r="I50" s="940"/>
      <c r="J50" s="941"/>
    </row>
    <row r="51" spans="1:10" ht="38.25" customHeight="1" thickBot="1" x14ac:dyDescent="0.35">
      <c r="A51" s="942" t="str">
        <f>PPTO!G3</f>
        <v>JUNIO DE 2026</v>
      </c>
      <c r="B51" s="943"/>
      <c r="C51" s="944"/>
      <c r="D51" s="921"/>
      <c r="E51" s="922"/>
      <c r="F51" s="922"/>
      <c r="G51" s="922"/>
      <c r="H51" s="922"/>
      <c r="I51" s="922"/>
      <c r="J51" s="923"/>
    </row>
    <row r="52" spans="1:10" ht="19.5" thickBot="1" x14ac:dyDescent="0.35">
      <c r="A52" s="918"/>
      <c r="B52" s="919"/>
      <c r="C52" s="920"/>
      <c r="D52" s="921" t="s">
        <v>1131</v>
      </c>
      <c r="E52" s="922"/>
      <c r="F52" s="922"/>
      <c r="G52" s="922"/>
      <c r="H52" s="922"/>
      <c r="I52" s="922"/>
      <c r="J52" s="923"/>
    </row>
  </sheetData>
  <mergeCells count="19">
    <mergeCell ref="A2:J2"/>
    <mergeCell ref="A3:J3"/>
    <mergeCell ref="A4:J4"/>
    <mergeCell ref="C5:D5"/>
    <mergeCell ref="G5:H5"/>
    <mergeCell ref="I5:J5"/>
    <mergeCell ref="A52:C52"/>
    <mergeCell ref="D52:J52"/>
    <mergeCell ref="D6:D7"/>
    <mergeCell ref="E6:G6"/>
    <mergeCell ref="I6:I7"/>
    <mergeCell ref="J6:J7"/>
    <mergeCell ref="D47:I47"/>
    <mergeCell ref="D48:I48"/>
    <mergeCell ref="D49:I49"/>
    <mergeCell ref="A50:C50"/>
    <mergeCell ref="D50:J50"/>
    <mergeCell ref="A51:C51"/>
    <mergeCell ref="D51:J51"/>
  </mergeCells>
  <conditionalFormatting sqref="J8:J46">
    <cfRule type="cellIs" dxfId="45" priority="1" operator="equal">
      <formula>0</formula>
    </cfRule>
  </conditionalFormatting>
  <pageMargins left="0.7" right="0.7" top="0.75" bottom="0.75" header="0.3" footer="0.3"/>
  <pageSetup scale="50" orientation="landscape"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52FF25-D2C0-40AC-A4AC-BD1C0A3663F4}">
  <sheetPr>
    <tabColor rgb="FFD4ECBA"/>
    <pageSetUpPr fitToPage="1"/>
  </sheetPr>
  <dimension ref="A1:M52"/>
  <sheetViews>
    <sheetView showOutlineSymbols="0" view="pageBreakPreview" zoomScale="60" zoomScaleNormal="70" workbookViewId="0">
      <selection activeCell="D8" sqref="D8:D15"/>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05.75" customHeight="1" thickBot="1" x14ac:dyDescent="0.35">
      <c r="A5" s="72" t="s">
        <v>5</v>
      </c>
      <c r="B5" s="73">
        <f>PPTO!B40</f>
        <v>5.3</v>
      </c>
      <c r="C5" s="913" t="str">
        <f>+VLOOKUP(B5,PPTO!B8:G94,2,FALSE)</f>
        <v>Cielo en drywall local con fajas y dilatadores incluye: (estructura, placa, macilla y pintura)</v>
      </c>
      <c r="D5" s="914"/>
      <c r="E5" s="72" t="s">
        <v>7</v>
      </c>
      <c r="F5" s="74" t="str">
        <f>+VLOOKUP(B5,PPTO!B8:G94,3,FALSE)</f>
        <v>M2</v>
      </c>
      <c r="G5" s="915" t="s">
        <v>1120</v>
      </c>
      <c r="H5" s="915"/>
      <c r="I5" s="916">
        <f>+VLOOKUP(B5,PPTO!B8:G94,5,FALSE)</f>
        <v>103072.31486633158</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t="s">
        <v>1141</v>
      </c>
      <c r="I7" s="930"/>
      <c r="J7" s="932"/>
    </row>
    <row r="8" spans="1:10" ht="18" x14ac:dyDescent="0.3">
      <c r="A8" s="78"/>
      <c r="B8" s="79"/>
      <c r="C8" s="79"/>
      <c r="D8" s="88" t="s">
        <v>1185</v>
      </c>
      <c r="E8" s="89"/>
      <c r="F8" s="89">
        <f>9.26+9.26+4.64+4.64</f>
        <v>27.8</v>
      </c>
      <c r="G8" s="89"/>
      <c r="H8" s="89"/>
      <c r="I8" s="89"/>
      <c r="J8" s="87">
        <f>+PRODUCT(E8:I8)</f>
        <v>27.8</v>
      </c>
    </row>
    <row r="9" spans="1:10" ht="18" x14ac:dyDescent="0.3">
      <c r="A9" s="78"/>
      <c r="B9" s="79"/>
      <c r="C9" s="79"/>
      <c r="D9" s="94" t="s">
        <v>1186</v>
      </c>
      <c r="E9" s="89"/>
      <c r="F9" s="89">
        <f>9.26+9.26+4.49+4.49</f>
        <v>27.5</v>
      </c>
      <c r="G9" s="89"/>
      <c r="H9" s="89"/>
      <c r="I9" s="89"/>
      <c r="J9" s="91">
        <f t="shared" ref="J9:J45" si="0">+PRODUCT(E9:I9)</f>
        <v>27.5</v>
      </c>
    </row>
    <row r="10" spans="1:10" ht="18" x14ac:dyDescent="0.3">
      <c r="A10" s="78"/>
      <c r="B10" s="79"/>
      <c r="C10" s="79"/>
      <c r="D10" s="94" t="s">
        <v>1198</v>
      </c>
      <c r="E10" s="89"/>
      <c r="F10" s="89">
        <f>(3.12*4)+1.89+1.89+1+1</f>
        <v>18.260000000000002</v>
      </c>
      <c r="G10" s="89"/>
      <c r="H10" s="89"/>
      <c r="I10" s="89"/>
      <c r="J10" s="91">
        <f t="shared" si="0"/>
        <v>18.260000000000002</v>
      </c>
    </row>
    <row r="11" spans="1:10" ht="18" x14ac:dyDescent="0.3">
      <c r="A11" s="78"/>
      <c r="B11" s="79"/>
      <c r="C11" s="79"/>
      <c r="D11" s="94" t="s">
        <v>1188</v>
      </c>
      <c r="E11" s="89"/>
      <c r="F11" s="89">
        <f>9.26*2</f>
        <v>18.52</v>
      </c>
      <c r="G11" s="89"/>
      <c r="H11" s="89"/>
      <c r="I11" s="89"/>
      <c r="J11" s="91">
        <f t="shared" si="0"/>
        <v>18.52</v>
      </c>
    </row>
    <row r="12" spans="1:10" ht="18" x14ac:dyDescent="0.3">
      <c r="A12" s="78"/>
      <c r="B12" s="79"/>
      <c r="C12" s="79"/>
      <c r="D12" s="94" t="s">
        <v>1190</v>
      </c>
      <c r="E12" s="89"/>
      <c r="F12" s="89">
        <f>3.4+3.4</f>
        <v>6.8</v>
      </c>
      <c r="G12" s="89"/>
      <c r="H12" s="89"/>
      <c r="I12" s="89"/>
      <c r="J12" s="91">
        <f t="shared" si="0"/>
        <v>6.8</v>
      </c>
    </row>
    <row r="13" spans="1:10" ht="18" x14ac:dyDescent="0.3">
      <c r="A13" s="78"/>
      <c r="B13" s="79"/>
      <c r="C13" s="79"/>
      <c r="D13" s="94" t="s">
        <v>1191</v>
      </c>
      <c r="E13" s="89"/>
      <c r="F13" s="89">
        <f>9.28+9.28+4.26+4.26</f>
        <v>27.08</v>
      </c>
      <c r="G13" s="89"/>
      <c r="H13" s="89"/>
      <c r="I13" s="89"/>
      <c r="J13" s="91">
        <f t="shared" si="0"/>
        <v>27.08</v>
      </c>
    </row>
    <row r="14" spans="1:10" ht="18" x14ac:dyDescent="0.3">
      <c r="A14" s="78"/>
      <c r="B14" s="79"/>
      <c r="C14" s="79"/>
      <c r="D14" s="94" t="s">
        <v>1192</v>
      </c>
      <c r="E14" s="89"/>
      <c r="F14" s="89">
        <f>3.1+3.1+3.59+3.59</f>
        <v>13.379999999999999</v>
      </c>
      <c r="G14" s="89"/>
      <c r="H14" s="89"/>
      <c r="I14" s="89"/>
      <c r="J14" s="91">
        <f t="shared" si="0"/>
        <v>13.379999999999999</v>
      </c>
    </row>
    <row r="15" spans="1:10" ht="18" x14ac:dyDescent="0.3">
      <c r="A15" s="78"/>
      <c r="B15" s="79"/>
      <c r="C15" s="79"/>
      <c r="D15" s="94" t="s">
        <v>1193</v>
      </c>
      <c r="E15" s="89"/>
      <c r="F15" s="89">
        <f>3.1+3.1+3.59+3.59</f>
        <v>13.379999999999999</v>
      </c>
      <c r="G15" s="89"/>
      <c r="H15" s="89"/>
      <c r="I15" s="89"/>
      <c r="J15" s="91">
        <f t="shared" si="0"/>
        <v>13.379999999999999</v>
      </c>
    </row>
    <row r="16" spans="1:10" ht="18" x14ac:dyDescent="0.3">
      <c r="A16" s="78"/>
      <c r="B16" s="79"/>
      <c r="C16" s="79"/>
      <c r="D16" s="94"/>
      <c r="E16" s="89"/>
      <c r="F16" s="89"/>
      <c r="G16" s="89"/>
      <c r="H16" s="89"/>
      <c r="I16" s="89"/>
      <c r="J16" s="91">
        <f t="shared" si="0"/>
        <v>0</v>
      </c>
    </row>
    <row r="17" spans="1:10" ht="18" x14ac:dyDescent="0.3">
      <c r="A17" s="78"/>
      <c r="B17" s="79"/>
      <c r="C17" s="79"/>
      <c r="D17" s="94"/>
      <c r="E17" s="89"/>
      <c r="F17" s="89"/>
      <c r="G17" s="89"/>
      <c r="H17" s="89"/>
      <c r="I17" s="89"/>
      <c r="J17" s="91">
        <f t="shared" si="0"/>
        <v>0</v>
      </c>
    </row>
    <row r="18" spans="1:10" ht="18" x14ac:dyDescent="0.3">
      <c r="A18" s="78"/>
      <c r="B18" s="79"/>
      <c r="C18" s="79"/>
      <c r="D18" s="95"/>
      <c r="E18" s="89"/>
      <c r="F18" s="89"/>
      <c r="G18" s="89"/>
      <c r="H18" s="89"/>
      <c r="I18" s="89"/>
      <c r="J18" s="91">
        <f t="shared" si="0"/>
        <v>0</v>
      </c>
    </row>
    <row r="19" spans="1:10" ht="18" x14ac:dyDescent="0.3">
      <c r="A19" s="78"/>
      <c r="B19" s="79"/>
      <c r="C19" s="79"/>
      <c r="D19" s="88"/>
      <c r="E19" s="89"/>
      <c r="F19" s="89"/>
      <c r="G19" s="89"/>
      <c r="H19" s="89"/>
      <c r="I19" s="390"/>
      <c r="J19" s="91">
        <f t="shared" si="0"/>
        <v>0</v>
      </c>
    </row>
    <row r="20" spans="1:10" ht="18" x14ac:dyDescent="0.3">
      <c r="A20" s="78"/>
      <c r="B20" s="79"/>
      <c r="C20" s="79"/>
      <c r="D20" s="88"/>
      <c r="E20" s="89"/>
      <c r="F20" s="89"/>
      <c r="G20" s="89"/>
      <c r="H20" s="89"/>
      <c r="I20" s="390"/>
      <c r="J20" s="91">
        <f t="shared" si="0"/>
        <v>0</v>
      </c>
    </row>
    <row r="21" spans="1:10" ht="18" x14ac:dyDescent="0.3">
      <c r="A21" s="78"/>
      <c r="B21" s="79"/>
      <c r="C21" s="79"/>
      <c r="D21" s="88"/>
      <c r="E21" s="89"/>
      <c r="F21" s="89"/>
      <c r="G21" s="89"/>
      <c r="H21" s="89"/>
      <c r="I21" s="390"/>
      <c r="J21" s="91">
        <f t="shared" si="0"/>
        <v>0</v>
      </c>
    </row>
    <row r="22" spans="1:10" ht="18" x14ac:dyDescent="0.3">
      <c r="A22" s="78"/>
      <c r="B22" s="79"/>
      <c r="C22" s="79"/>
      <c r="D22" s="94"/>
      <c r="E22" s="89"/>
      <c r="F22" s="89"/>
      <c r="G22" s="89"/>
      <c r="H22" s="89"/>
      <c r="I22" s="89"/>
      <c r="J22" s="91">
        <f t="shared" si="0"/>
        <v>0</v>
      </c>
    </row>
    <row r="23" spans="1:10" ht="18" x14ac:dyDescent="0.3">
      <c r="A23" s="78"/>
      <c r="B23" s="79"/>
      <c r="C23" s="79"/>
      <c r="D23" s="94"/>
      <c r="E23" s="89"/>
      <c r="F23" s="89"/>
      <c r="G23" s="89"/>
      <c r="H23" s="89"/>
      <c r="I23" s="89"/>
      <c r="J23" s="91">
        <f t="shared" si="0"/>
        <v>0</v>
      </c>
    </row>
    <row r="24" spans="1:10" ht="18" x14ac:dyDescent="0.3">
      <c r="A24" s="78"/>
      <c r="B24" s="79"/>
      <c r="C24" s="79"/>
      <c r="D24" s="94"/>
      <c r="E24" s="89"/>
      <c r="F24" s="89"/>
      <c r="G24" s="89"/>
      <c r="H24" s="89"/>
      <c r="I24" s="93"/>
      <c r="J24" s="91">
        <f t="shared" si="0"/>
        <v>0</v>
      </c>
    </row>
    <row r="25" spans="1:10" ht="18" x14ac:dyDescent="0.3">
      <c r="A25" s="78"/>
      <c r="B25" s="79"/>
      <c r="C25" s="79"/>
      <c r="D25" s="94"/>
      <c r="E25" s="89"/>
      <c r="F25" s="89"/>
      <c r="G25" s="89"/>
      <c r="H25" s="89"/>
      <c r="I25" s="93"/>
      <c r="J25" s="91">
        <f t="shared" si="0"/>
        <v>0</v>
      </c>
    </row>
    <row r="26" spans="1:10" ht="18" x14ac:dyDescent="0.3">
      <c r="A26" s="78"/>
      <c r="B26" s="79"/>
      <c r="C26" s="79"/>
      <c r="D26" s="94"/>
      <c r="E26" s="89"/>
      <c r="F26" s="89"/>
      <c r="G26" s="89"/>
      <c r="H26" s="89"/>
      <c r="I26" s="93"/>
      <c r="J26" s="91">
        <f t="shared" si="0"/>
        <v>0</v>
      </c>
    </row>
    <row r="27" spans="1:10" ht="18" x14ac:dyDescent="0.3">
      <c r="A27" s="78"/>
      <c r="B27" s="79"/>
      <c r="C27" s="79"/>
      <c r="D27" s="94"/>
      <c r="E27" s="89"/>
      <c r="F27" s="89"/>
      <c r="G27" s="89"/>
      <c r="H27" s="89"/>
      <c r="I27" s="93"/>
      <c r="J27" s="91">
        <f t="shared" si="0"/>
        <v>0</v>
      </c>
    </row>
    <row r="28" spans="1:10" ht="18" x14ac:dyDescent="0.3">
      <c r="A28" s="78"/>
      <c r="B28" s="79"/>
      <c r="C28" s="79"/>
      <c r="D28" s="94"/>
      <c r="E28" s="89"/>
      <c r="F28" s="89"/>
      <c r="G28" s="89"/>
      <c r="H28" s="89"/>
      <c r="I28" s="93"/>
      <c r="J28" s="91">
        <f t="shared" si="0"/>
        <v>0</v>
      </c>
    </row>
    <row r="29" spans="1:10" ht="18" x14ac:dyDescent="0.3">
      <c r="A29" s="78"/>
      <c r="B29" s="79"/>
      <c r="C29" s="79"/>
      <c r="D29" s="94"/>
      <c r="E29" s="89"/>
      <c r="F29" s="89"/>
      <c r="G29" s="89"/>
      <c r="H29" s="89"/>
      <c r="I29" s="93"/>
      <c r="J29" s="91">
        <f t="shared" si="0"/>
        <v>0</v>
      </c>
    </row>
    <row r="30" spans="1:10" ht="18" x14ac:dyDescent="0.3">
      <c r="A30" s="78"/>
      <c r="B30" s="79"/>
      <c r="C30" s="79"/>
      <c r="D30" s="94"/>
      <c r="E30" s="89"/>
      <c r="F30" s="89"/>
      <c r="G30" s="89"/>
      <c r="H30" s="89"/>
      <c r="I30" s="93"/>
      <c r="J30" s="91">
        <f t="shared" si="0"/>
        <v>0</v>
      </c>
    </row>
    <row r="31" spans="1:10" ht="18" x14ac:dyDescent="0.3">
      <c r="A31" s="78"/>
      <c r="B31" s="79"/>
      <c r="C31" s="79"/>
      <c r="D31" s="94"/>
      <c r="E31" s="89"/>
      <c r="F31" s="89"/>
      <c r="G31" s="89"/>
      <c r="H31" s="89"/>
      <c r="I31" s="93"/>
      <c r="J31" s="91">
        <f t="shared" si="0"/>
        <v>0</v>
      </c>
    </row>
    <row r="32" spans="1:10" ht="18" x14ac:dyDescent="0.3">
      <c r="A32" s="78"/>
      <c r="B32" s="79"/>
      <c r="C32" s="79"/>
      <c r="D32" s="94"/>
      <c r="E32" s="89"/>
      <c r="F32" s="89"/>
      <c r="G32" s="89"/>
      <c r="H32" s="89"/>
      <c r="I32" s="93"/>
      <c r="J32" s="91">
        <f t="shared" si="0"/>
        <v>0</v>
      </c>
    </row>
    <row r="33" spans="1:13" ht="18" x14ac:dyDescent="0.3">
      <c r="A33" s="78"/>
      <c r="B33" s="79"/>
      <c r="C33" s="79"/>
      <c r="D33" s="94"/>
      <c r="E33" s="89"/>
      <c r="F33" s="89"/>
      <c r="G33" s="89"/>
      <c r="H33" s="89"/>
      <c r="I33" s="93"/>
      <c r="J33" s="91">
        <f t="shared" si="0"/>
        <v>0</v>
      </c>
    </row>
    <row r="34" spans="1:13" ht="18" x14ac:dyDescent="0.3">
      <c r="A34" s="78"/>
      <c r="B34" s="79"/>
      <c r="C34" s="79"/>
      <c r="D34" s="94"/>
      <c r="E34" s="89"/>
      <c r="F34" s="89"/>
      <c r="G34" s="89"/>
      <c r="H34" s="89"/>
      <c r="I34" s="93"/>
      <c r="J34" s="91">
        <f t="shared" si="0"/>
        <v>0</v>
      </c>
    </row>
    <row r="35" spans="1:13" ht="18" x14ac:dyDescent="0.3">
      <c r="A35" s="78"/>
      <c r="B35" s="79"/>
      <c r="C35" s="79"/>
      <c r="D35" s="94"/>
      <c r="E35" s="89"/>
      <c r="F35" s="89"/>
      <c r="G35" s="89"/>
      <c r="H35" s="89"/>
      <c r="I35" s="93"/>
      <c r="J35" s="91">
        <f t="shared" si="0"/>
        <v>0</v>
      </c>
    </row>
    <row r="36" spans="1:13" ht="18" x14ac:dyDescent="0.3">
      <c r="A36" s="78"/>
      <c r="B36" s="79"/>
      <c r="C36" s="79"/>
      <c r="D36" s="94"/>
      <c r="E36" s="89"/>
      <c r="F36" s="89"/>
      <c r="G36" s="89"/>
      <c r="H36" s="89"/>
      <c r="I36" s="93"/>
      <c r="J36" s="91">
        <f t="shared" si="0"/>
        <v>0</v>
      </c>
    </row>
    <row r="37" spans="1:13" ht="18" x14ac:dyDescent="0.3">
      <c r="A37" s="78"/>
      <c r="B37" s="79"/>
      <c r="C37" s="79"/>
      <c r="D37" s="94"/>
      <c r="E37" s="89"/>
      <c r="F37" s="89"/>
      <c r="G37" s="89"/>
      <c r="H37" s="89"/>
      <c r="I37" s="93"/>
      <c r="J37" s="91">
        <f t="shared" si="0"/>
        <v>0</v>
      </c>
    </row>
    <row r="38" spans="1:13" ht="18" x14ac:dyDescent="0.3">
      <c r="A38" s="78"/>
      <c r="B38" s="79"/>
      <c r="C38" s="79"/>
      <c r="D38" s="94"/>
      <c r="E38" s="89"/>
      <c r="F38" s="89"/>
      <c r="G38" s="89"/>
      <c r="H38" s="89"/>
      <c r="I38" s="93"/>
      <c r="J38" s="91">
        <f t="shared" si="0"/>
        <v>0</v>
      </c>
    </row>
    <row r="39" spans="1:13" ht="18" x14ac:dyDescent="0.3">
      <c r="A39" s="78"/>
      <c r="B39" s="79"/>
      <c r="C39" s="79"/>
      <c r="D39" s="94"/>
      <c r="E39" s="89"/>
      <c r="F39" s="89"/>
      <c r="G39" s="92"/>
      <c r="H39" s="89"/>
      <c r="I39" s="93"/>
      <c r="J39" s="91"/>
    </row>
    <row r="40" spans="1:13" ht="18" x14ac:dyDescent="0.3">
      <c r="A40" s="78"/>
      <c r="B40" s="79"/>
      <c r="C40" s="79"/>
      <c r="D40" s="94"/>
      <c r="E40" s="89"/>
      <c r="F40" s="89"/>
      <c r="G40" s="92"/>
      <c r="H40" s="89"/>
      <c r="I40" s="93"/>
      <c r="J40" s="91"/>
    </row>
    <row r="41" spans="1:13" ht="18" x14ac:dyDescent="0.3">
      <c r="A41" s="78"/>
      <c r="B41" s="79"/>
      <c r="C41" s="79"/>
      <c r="D41" s="94"/>
      <c r="E41" s="89"/>
      <c r="F41" s="89"/>
      <c r="G41" s="92"/>
      <c r="H41" s="89"/>
      <c r="I41" s="93"/>
      <c r="J41" s="91"/>
    </row>
    <row r="42" spans="1:13" ht="18" x14ac:dyDescent="0.3">
      <c r="A42" s="78"/>
      <c r="B42" s="79"/>
      <c r="C42" s="79"/>
      <c r="D42" s="94"/>
      <c r="E42" s="89"/>
      <c r="F42" s="89"/>
      <c r="G42" s="92"/>
      <c r="H42" s="89"/>
      <c r="I42" s="93"/>
      <c r="J42" s="91"/>
    </row>
    <row r="43" spans="1:13" ht="18" x14ac:dyDescent="0.3">
      <c r="A43" s="78"/>
      <c r="B43" s="79"/>
      <c r="C43" s="79"/>
      <c r="D43" s="94"/>
      <c r="E43" s="89"/>
      <c r="F43" s="89"/>
      <c r="G43" s="92"/>
      <c r="H43" s="89"/>
      <c r="I43" s="93"/>
      <c r="J43" s="91"/>
    </row>
    <row r="44" spans="1:13" ht="18" x14ac:dyDescent="0.3">
      <c r="A44" s="78"/>
      <c r="B44" s="79"/>
      <c r="C44" s="79"/>
      <c r="D44" s="95"/>
      <c r="E44" s="89"/>
      <c r="F44" s="89"/>
      <c r="G44" s="92"/>
      <c r="H44" s="89"/>
      <c r="I44" s="93"/>
      <c r="J44" s="91">
        <f t="shared" si="0"/>
        <v>0</v>
      </c>
    </row>
    <row r="45" spans="1:13" ht="18.75" thickBot="1" x14ac:dyDescent="0.35">
      <c r="A45" s="78"/>
      <c r="B45" s="79"/>
      <c r="C45" s="79"/>
      <c r="D45" s="96"/>
      <c r="E45" s="97"/>
      <c r="F45" s="97"/>
      <c r="G45" s="98"/>
      <c r="H45" s="97"/>
      <c r="I45" s="99"/>
      <c r="J45" s="100">
        <f t="shared" si="0"/>
        <v>0</v>
      </c>
      <c r="M45" s="105"/>
    </row>
    <row r="46" spans="1:13" ht="18.75" thickBot="1" x14ac:dyDescent="0.35">
      <c r="A46" s="78"/>
      <c r="B46" s="79"/>
      <c r="C46" s="79"/>
      <c r="D46" s="457"/>
      <c r="E46" s="458"/>
      <c r="F46" s="458"/>
      <c r="G46" s="459"/>
      <c r="H46" s="458"/>
      <c r="I46" s="460"/>
      <c r="J46" s="461"/>
      <c r="M46" s="105"/>
    </row>
    <row r="47" spans="1:13" ht="21" thickBot="1" x14ac:dyDescent="0.35">
      <c r="A47" s="78"/>
      <c r="B47" s="79"/>
      <c r="C47" s="79"/>
      <c r="D47" s="933" t="s">
        <v>10</v>
      </c>
      <c r="E47" s="934"/>
      <c r="F47" s="934"/>
      <c r="G47" s="934"/>
      <c r="H47" s="934"/>
      <c r="I47" s="935"/>
      <c r="J47" s="102">
        <f>ROUND(SUM(J8:J45),2)</f>
        <v>152.72</v>
      </c>
    </row>
    <row r="48" spans="1:13" ht="21" thickBot="1" x14ac:dyDescent="0.35">
      <c r="A48" s="78"/>
      <c r="B48" s="79"/>
      <c r="C48" s="79"/>
      <c r="D48" s="933" t="s">
        <v>1127</v>
      </c>
      <c r="E48" s="934"/>
      <c r="F48" s="934"/>
      <c r="G48" s="934"/>
      <c r="H48" s="934"/>
      <c r="I48" s="935"/>
      <c r="J48" s="103"/>
    </row>
    <row r="49" spans="1:10" ht="21" thickBot="1" x14ac:dyDescent="0.35">
      <c r="A49" s="78"/>
      <c r="B49" s="79"/>
      <c r="C49" s="101"/>
      <c r="D49" s="933" t="s">
        <v>1128</v>
      </c>
      <c r="E49" s="934"/>
      <c r="F49" s="934"/>
      <c r="G49" s="934"/>
      <c r="H49" s="934"/>
      <c r="I49" s="935"/>
      <c r="J49" s="104">
        <f>+J47-J48</f>
        <v>152.72</v>
      </c>
    </row>
    <row r="50" spans="1:10" ht="21" thickBot="1" x14ac:dyDescent="0.35">
      <c r="A50" s="936" t="s">
        <v>1129</v>
      </c>
      <c r="B50" s="937"/>
      <c r="C50" s="938"/>
      <c r="D50" s="939" t="s">
        <v>1130</v>
      </c>
      <c r="E50" s="940"/>
      <c r="F50" s="940"/>
      <c r="G50" s="940"/>
      <c r="H50" s="940"/>
      <c r="I50" s="940"/>
      <c r="J50" s="941"/>
    </row>
    <row r="51" spans="1:10" ht="38.25" customHeight="1" thickBot="1" x14ac:dyDescent="0.35">
      <c r="A51" s="942" t="str">
        <f>PPTO!G3</f>
        <v>JUNIO DE 2026</v>
      </c>
      <c r="B51" s="943"/>
      <c r="C51" s="944"/>
      <c r="D51" s="921"/>
      <c r="E51" s="922"/>
      <c r="F51" s="922"/>
      <c r="G51" s="922"/>
      <c r="H51" s="922"/>
      <c r="I51" s="922"/>
      <c r="J51" s="923"/>
    </row>
    <row r="52" spans="1:10" ht="19.5" thickBot="1" x14ac:dyDescent="0.35">
      <c r="A52" s="918"/>
      <c r="B52" s="919"/>
      <c r="C52" s="920"/>
      <c r="D52" s="921" t="s">
        <v>1131</v>
      </c>
      <c r="E52" s="922"/>
      <c r="F52" s="922"/>
      <c r="G52" s="922"/>
      <c r="H52" s="922"/>
      <c r="I52" s="922"/>
      <c r="J52" s="923"/>
    </row>
  </sheetData>
  <mergeCells count="19">
    <mergeCell ref="A2:J2"/>
    <mergeCell ref="A3:J3"/>
    <mergeCell ref="A4:J4"/>
    <mergeCell ref="C5:D5"/>
    <mergeCell ref="G5:H5"/>
    <mergeCell ref="I5:J5"/>
    <mergeCell ref="A52:C52"/>
    <mergeCell ref="D52:J52"/>
    <mergeCell ref="D6:D7"/>
    <mergeCell ref="E6:G6"/>
    <mergeCell ref="I6:I7"/>
    <mergeCell ref="J6:J7"/>
    <mergeCell ref="D47:I47"/>
    <mergeCell ref="D48:I48"/>
    <mergeCell ref="D49:I49"/>
    <mergeCell ref="A50:C50"/>
    <mergeCell ref="D50:J50"/>
    <mergeCell ref="A51:C51"/>
    <mergeCell ref="D51:J51"/>
  </mergeCells>
  <conditionalFormatting sqref="J8:J46">
    <cfRule type="cellIs" dxfId="44" priority="1" operator="equal">
      <formula>0</formula>
    </cfRule>
  </conditionalFormatting>
  <pageMargins left="0.7" right="0.7" top="0.75" bottom="0.75" header="0.3" footer="0.3"/>
  <pageSetup scale="50" orientation="landscape"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6598FD-2C78-4691-8701-155E7AC4E392}">
  <sheetPr>
    <tabColor rgb="FF92D050"/>
    <pageSetUpPr fitToPage="1"/>
  </sheetPr>
  <dimension ref="A1:M51"/>
  <sheetViews>
    <sheetView showOutlineSymbols="0" view="pageBreakPreview" topLeftCell="A2" zoomScale="70" zoomScaleNormal="70" zoomScaleSheetLayoutView="70" workbookViewId="0">
      <selection activeCell="D19" sqref="D19"/>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05.75" customHeight="1" thickBot="1" x14ac:dyDescent="0.35">
      <c r="A5" s="72" t="s">
        <v>5</v>
      </c>
      <c r="B5" s="73">
        <v>6.1</v>
      </c>
      <c r="C5" s="913" t="str">
        <f>+VLOOKUP(B5,PPTO!B8:G94,2,FALSE)</f>
        <v>Suministro, transporte e instalación de salida para toma doble p/t. Incluye en tubería IMC, accesorios, alambre de cobre THHN-AWG- LS#12,  según cuadro de cargas y notas en planos, elementos para el correcto funcionamiento y aparato línea Génesis.</v>
      </c>
      <c r="D5" s="914"/>
      <c r="E5" s="72" t="s">
        <v>7</v>
      </c>
      <c r="F5" s="74" t="str">
        <f>+VLOOKUP(B5,PPTO!B8:G94,3,FALSE)</f>
        <v>UN</v>
      </c>
      <c r="G5" s="915" t="s">
        <v>1120</v>
      </c>
      <c r="H5" s="915"/>
      <c r="I5" s="916">
        <f>+VLOOKUP(B5,PPTO!B8:G94,5,FALSE)</f>
        <v>96826.663682495622</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8" x14ac:dyDescent="0.3">
      <c r="A8" s="78"/>
      <c r="B8" s="79"/>
      <c r="C8" s="79"/>
      <c r="D8" s="94" t="s">
        <v>1199</v>
      </c>
      <c r="E8" s="89"/>
      <c r="F8" s="89"/>
      <c r="G8" s="89"/>
      <c r="H8" s="89"/>
      <c r="I8" s="93">
        <v>3</v>
      </c>
      <c r="J8" s="91">
        <f t="shared" ref="J8:J45" si="0">+PRODUCT(E8:I8)</f>
        <v>3</v>
      </c>
    </row>
    <row r="9" spans="1:10" ht="18" x14ac:dyDescent="0.3">
      <c r="A9" s="78"/>
      <c r="B9" s="79"/>
      <c r="C9" s="79"/>
      <c r="D9" s="94" t="s">
        <v>1200</v>
      </c>
      <c r="E9" s="89"/>
      <c r="F9" s="89"/>
      <c r="G9" s="89"/>
      <c r="H9" s="89"/>
      <c r="I9" s="93">
        <v>5</v>
      </c>
      <c r="J9" s="91">
        <f t="shared" si="0"/>
        <v>5</v>
      </c>
    </row>
    <row r="10" spans="1:10" ht="18" x14ac:dyDescent="0.3">
      <c r="A10" s="78"/>
      <c r="B10" s="79"/>
      <c r="C10" s="79"/>
      <c r="D10" s="94" t="s">
        <v>1201</v>
      </c>
      <c r="E10" s="89"/>
      <c r="F10" s="89"/>
      <c r="G10" s="89"/>
      <c r="H10" s="89"/>
      <c r="I10" s="93">
        <v>3</v>
      </c>
      <c r="J10" s="91">
        <f t="shared" si="0"/>
        <v>3</v>
      </c>
    </row>
    <row r="11" spans="1:10" ht="18" x14ac:dyDescent="0.3">
      <c r="A11" s="78"/>
      <c r="B11" s="79"/>
      <c r="C11" s="79"/>
      <c r="D11" s="94" t="s">
        <v>1202</v>
      </c>
      <c r="E11" s="89"/>
      <c r="F11" s="89"/>
      <c r="G11" s="89"/>
      <c r="H11" s="89"/>
      <c r="I11" s="93">
        <v>3</v>
      </c>
      <c r="J11" s="91">
        <f t="shared" si="0"/>
        <v>3</v>
      </c>
    </row>
    <row r="12" spans="1:10" ht="18" x14ac:dyDescent="0.3">
      <c r="A12" s="78"/>
      <c r="B12" s="79"/>
      <c r="C12" s="79"/>
      <c r="D12" s="94" t="s">
        <v>1203</v>
      </c>
      <c r="E12" s="89"/>
      <c r="F12" s="89"/>
      <c r="G12" s="89"/>
      <c r="H12" s="89"/>
      <c r="I12" s="93">
        <v>6</v>
      </c>
      <c r="J12" s="91">
        <f t="shared" si="0"/>
        <v>6</v>
      </c>
    </row>
    <row r="13" spans="1:10" ht="18" x14ac:dyDescent="0.3">
      <c r="A13" s="78"/>
      <c r="B13" s="79"/>
      <c r="C13" s="79"/>
      <c r="D13" s="94" t="s">
        <v>1204</v>
      </c>
      <c r="E13" s="89"/>
      <c r="F13" s="89"/>
      <c r="G13" s="89"/>
      <c r="H13" s="89"/>
      <c r="I13" s="93">
        <v>2</v>
      </c>
      <c r="J13" s="91">
        <f t="shared" si="0"/>
        <v>2</v>
      </c>
    </row>
    <row r="14" spans="1:10" ht="18" x14ac:dyDescent="0.3">
      <c r="A14" s="78"/>
      <c r="B14" s="79"/>
      <c r="C14" s="79"/>
      <c r="D14" s="94" t="s">
        <v>1205</v>
      </c>
      <c r="E14" s="89"/>
      <c r="F14" s="89"/>
      <c r="G14" s="89"/>
      <c r="H14" s="89"/>
      <c r="I14" s="93">
        <v>1</v>
      </c>
      <c r="J14" s="91">
        <f t="shared" si="0"/>
        <v>1</v>
      </c>
    </row>
    <row r="15" spans="1:10" ht="18" x14ac:dyDescent="0.3">
      <c r="A15" s="78"/>
      <c r="B15" s="79"/>
      <c r="C15" s="79"/>
      <c r="D15" s="94"/>
      <c r="E15" s="89"/>
      <c r="F15" s="89"/>
      <c r="G15" s="89"/>
      <c r="H15" s="89"/>
      <c r="I15" s="93"/>
      <c r="J15" s="91">
        <f t="shared" si="0"/>
        <v>0</v>
      </c>
    </row>
    <row r="16" spans="1:10" ht="18" x14ac:dyDescent="0.3">
      <c r="A16" s="78"/>
      <c r="B16" s="79"/>
      <c r="C16" s="79"/>
      <c r="D16" s="94"/>
      <c r="E16" s="89"/>
      <c r="F16" s="89"/>
      <c r="G16" s="89"/>
      <c r="H16" s="89"/>
      <c r="I16" s="93"/>
      <c r="J16" s="91">
        <f t="shared" si="0"/>
        <v>0</v>
      </c>
    </row>
    <row r="17" spans="1:10" ht="18" x14ac:dyDescent="0.3">
      <c r="A17" s="78"/>
      <c r="B17" s="79"/>
      <c r="C17" s="79"/>
      <c r="D17" s="94"/>
      <c r="E17" s="89"/>
      <c r="F17" s="89"/>
      <c r="G17" s="89"/>
      <c r="H17" s="89"/>
      <c r="I17" s="93"/>
      <c r="J17" s="91">
        <f t="shared" si="0"/>
        <v>0</v>
      </c>
    </row>
    <row r="18" spans="1:10" ht="18" x14ac:dyDescent="0.3">
      <c r="A18" s="78"/>
      <c r="B18" s="79"/>
      <c r="C18" s="79"/>
      <c r="D18" s="95"/>
      <c r="E18" s="89"/>
      <c r="F18" s="89"/>
      <c r="G18" s="89"/>
      <c r="H18" s="89"/>
      <c r="I18" s="93"/>
      <c r="J18" s="91">
        <f t="shared" si="0"/>
        <v>0</v>
      </c>
    </row>
    <row r="19" spans="1:10" ht="18" x14ac:dyDescent="0.3">
      <c r="A19" s="78"/>
      <c r="B19" s="79"/>
      <c r="C19" s="79"/>
      <c r="D19" s="88"/>
      <c r="E19" s="89"/>
      <c r="F19" s="89"/>
      <c r="G19" s="89"/>
      <c r="H19" s="89"/>
      <c r="I19" s="90"/>
      <c r="J19" s="91">
        <f t="shared" si="0"/>
        <v>0</v>
      </c>
    </row>
    <row r="20" spans="1:10" ht="18" x14ac:dyDescent="0.3">
      <c r="A20" s="78"/>
      <c r="B20" s="79"/>
      <c r="C20" s="79"/>
      <c r="D20" s="88"/>
      <c r="E20" s="89"/>
      <c r="F20" s="89"/>
      <c r="G20" s="89"/>
      <c r="H20" s="89"/>
      <c r="I20" s="90"/>
      <c r="J20" s="91">
        <f t="shared" si="0"/>
        <v>0</v>
      </c>
    </row>
    <row r="21" spans="1:10" ht="18" x14ac:dyDescent="0.3">
      <c r="A21" s="78"/>
      <c r="B21" s="79"/>
      <c r="C21" s="79"/>
      <c r="D21" s="88"/>
      <c r="E21" s="89"/>
      <c r="F21" s="89"/>
      <c r="G21" s="89"/>
      <c r="H21" s="89"/>
      <c r="I21" s="90"/>
      <c r="J21" s="91">
        <f t="shared" si="0"/>
        <v>0</v>
      </c>
    </row>
    <row r="22" spans="1:10" ht="18" x14ac:dyDescent="0.3">
      <c r="A22" s="78"/>
      <c r="B22" s="79"/>
      <c r="C22" s="79"/>
      <c r="D22" s="94"/>
      <c r="E22" s="89"/>
      <c r="F22" s="89"/>
      <c r="G22" s="89"/>
      <c r="H22" s="89"/>
      <c r="I22" s="93"/>
      <c r="J22" s="91">
        <f t="shared" si="0"/>
        <v>0</v>
      </c>
    </row>
    <row r="23" spans="1:10" ht="18" x14ac:dyDescent="0.3">
      <c r="A23" s="78"/>
      <c r="B23" s="79"/>
      <c r="D23" s="94"/>
      <c r="E23" s="89"/>
      <c r="F23" s="89"/>
      <c r="G23" s="89"/>
      <c r="H23" s="89"/>
      <c r="I23" s="93"/>
      <c r="J23" s="91">
        <f t="shared" si="0"/>
        <v>0</v>
      </c>
    </row>
    <row r="24" spans="1:10" ht="18" x14ac:dyDescent="0.3">
      <c r="A24" s="78"/>
      <c r="B24" s="79"/>
      <c r="C24" s="79"/>
      <c r="D24" s="94"/>
      <c r="E24" s="89"/>
      <c r="F24" s="89"/>
      <c r="G24" s="89"/>
      <c r="H24" s="89"/>
      <c r="I24" s="93"/>
      <c r="J24" s="91">
        <f t="shared" si="0"/>
        <v>0</v>
      </c>
    </row>
    <row r="25" spans="1:10" ht="18" x14ac:dyDescent="0.3">
      <c r="A25" s="78"/>
      <c r="B25" s="79"/>
      <c r="C25" s="79"/>
      <c r="D25" s="94"/>
      <c r="E25" s="89"/>
      <c r="F25" s="89"/>
      <c r="G25" s="89"/>
      <c r="H25" s="89"/>
      <c r="I25" s="93"/>
      <c r="J25" s="91">
        <f t="shared" si="0"/>
        <v>0</v>
      </c>
    </row>
    <row r="26" spans="1:10" ht="18" x14ac:dyDescent="0.3">
      <c r="A26" s="78"/>
      <c r="B26" s="79"/>
      <c r="C26" s="79"/>
      <c r="D26" s="94"/>
      <c r="E26" s="89"/>
      <c r="F26" s="89"/>
      <c r="G26" s="89"/>
      <c r="H26" s="89"/>
      <c r="I26" s="93"/>
      <c r="J26" s="91">
        <f t="shared" si="0"/>
        <v>0</v>
      </c>
    </row>
    <row r="27" spans="1:10" ht="18" x14ac:dyDescent="0.3">
      <c r="A27" s="78"/>
      <c r="B27" s="79"/>
      <c r="C27" s="79"/>
      <c r="D27" s="94"/>
      <c r="E27" s="89"/>
      <c r="F27" s="89"/>
      <c r="G27" s="89"/>
      <c r="H27" s="89"/>
      <c r="I27" s="93"/>
      <c r="J27" s="91">
        <f t="shared" si="0"/>
        <v>0</v>
      </c>
    </row>
    <row r="28" spans="1:10" ht="18" x14ac:dyDescent="0.3">
      <c r="A28" s="78"/>
      <c r="B28" s="79"/>
      <c r="C28" s="79"/>
      <c r="D28" s="94"/>
      <c r="E28" s="89"/>
      <c r="F28" s="89"/>
      <c r="G28" s="89"/>
      <c r="H28" s="89"/>
      <c r="I28" s="93"/>
      <c r="J28" s="91">
        <f t="shared" si="0"/>
        <v>0</v>
      </c>
    </row>
    <row r="29" spans="1:10" ht="18" x14ac:dyDescent="0.3">
      <c r="A29" s="78"/>
      <c r="B29" s="79"/>
      <c r="C29" s="79"/>
      <c r="D29" s="94"/>
      <c r="E29" s="89"/>
      <c r="F29" s="89"/>
      <c r="G29" s="89"/>
      <c r="H29" s="89"/>
      <c r="I29" s="93"/>
      <c r="J29" s="91">
        <f t="shared" si="0"/>
        <v>0</v>
      </c>
    </row>
    <row r="30" spans="1:10" ht="18" x14ac:dyDescent="0.3">
      <c r="A30" s="78"/>
      <c r="B30" s="79"/>
      <c r="C30" s="79"/>
      <c r="D30" s="94"/>
      <c r="E30" s="89"/>
      <c r="F30" s="89"/>
      <c r="G30" s="89"/>
      <c r="H30" s="89"/>
      <c r="I30" s="93"/>
      <c r="J30" s="91">
        <f t="shared" si="0"/>
        <v>0</v>
      </c>
    </row>
    <row r="31" spans="1:10" ht="18" x14ac:dyDescent="0.3">
      <c r="A31" s="78"/>
      <c r="B31" s="79"/>
      <c r="C31" s="79"/>
      <c r="D31" s="94"/>
      <c r="E31" s="89"/>
      <c r="F31" s="89"/>
      <c r="G31" s="89"/>
      <c r="H31" s="89"/>
      <c r="I31" s="93"/>
      <c r="J31" s="91">
        <f t="shared" si="0"/>
        <v>0</v>
      </c>
    </row>
    <row r="32" spans="1:10" ht="18" x14ac:dyDescent="0.3">
      <c r="A32" s="78"/>
      <c r="B32" s="79"/>
      <c r="C32" s="79"/>
      <c r="D32" s="94"/>
      <c r="E32" s="89"/>
      <c r="F32" s="89"/>
      <c r="G32" s="89"/>
      <c r="H32" s="89"/>
      <c r="I32" s="93"/>
      <c r="J32" s="91">
        <f t="shared" si="0"/>
        <v>0</v>
      </c>
    </row>
    <row r="33" spans="1:13" ht="18" x14ac:dyDescent="0.3">
      <c r="A33" s="78"/>
      <c r="B33" s="79"/>
      <c r="C33" s="79"/>
      <c r="D33" s="94"/>
      <c r="E33" s="89"/>
      <c r="F33" s="89"/>
      <c r="G33" s="89"/>
      <c r="H33" s="89"/>
      <c r="I33" s="93"/>
      <c r="J33" s="91">
        <f t="shared" si="0"/>
        <v>0</v>
      </c>
    </row>
    <row r="34" spans="1:13" ht="18" x14ac:dyDescent="0.3">
      <c r="A34" s="78"/>
      <c r="B34" s="79"/>
      <c r="C34" s="79"/>
      <c r="D34" s="94"/>
      <c r="E34" s="89"/>
      <c r="F34" s="89"/>
      <c r="G34" s="89"/>
      <c r="H34" s="89"/>
      <c r="I34" s="93"/>
      <c r="J34" s="91">
        <f t="shared" si="0"/>
        <v>0</v>
      </c>
    </row>
    <row r="35" spans="1:13" ht="18" x14ac:dyDescent="0.3">
      <c r="A35" s="78"/>
      <c r="B35" s="79"/>
      <c r="C35" s="79"/>
      <c r="D35" s="94"/>
      <c r="E35" s="89"/>
      <c r="F35" s="89"/>
      <c r="G35" s="89"/>
      <c r="H35" s="89"/>
      <c r="I35" s="93"/>
      <c r="J35" s="91">
        <f t="shared" si="0"/>
        <v>0</v>
      </c>
    </row>
    <row r="36" spans="1:13" ht="18" x14ac:dyDescent="0.3">
      <c r="A36" s="78"/>
      <c r="B36" s="79"/>
      <c r="C36" s="79"/>
      <c r="D36" s="94"/>
      <c r="E36" s="89"/>
      <c r="F36" s="89"/>
      <c r="G36" s="89"/>
      <c r="H36" s="89"/>
      <c r="I36" s="93"/>
      <c r="J36" s="91">
        <f t="shared" si="0"/>
        <v>0</v>
      </c>
    </row>
    <row r="37" spans="1:13" ht="18" x14ac:dyDescent="0.3">
      <c r="A37" s="78"/>
      <c r="B37" s="79"/>
      <c r="C37" s="79"/>
      <c r="D37" s="94"/>
      <c r="E37" s="89"/>
      <c r="F37" s="89"/>
      <c r="G37" s="89"/>
      <c r="H37" s="89"/>
      <c r="I37" s="93"/>
      <c r="J37" s="91">
        <f t="shared" si="0"/>
        <v>0</v>
      </c>
    </row>
    <row r="38" spans="1:13" ht="18" x14ac:dyDescent="0.3">
      <c r="A38" s="78"/>
      <c r="B38" s="79"/>
      <c r="C38" s="79"/>
      <c r="D38" s="94"/>
      <c r="E38" s="89"/>
      <c r="F38" s="89"/>
      <c r="G38" s="89"/>
      <c r="H38" s="89"/>
      <c r="I38" s="93"/>
      <c r="J38" s="91">
        <f t="shared" si="0"/>
        <v>0</v>
      </c>
    </row>
    <row r="39" spans="1:13" ht="18" x14ac:dyDescent="0.3">
      <c r="A39" s="78"/>
      <c r="B39" s="79"/>
      <c r="C39" s="79"/>
      <c r="D39" s="94"/>
      <c r="E39" s="89"/>
      <c r="F39" s="89"/>
      <c r="G39" s="92"/>
      <c r="H39" s="89"/>
      <c r="I39" s="93"/>
      <c r="J39" s="91"/>
    </row>
    <row r="40" spans="1:13" ht="18" x14ac:dyDescent="0.3">
      <c r="A40" s="78"/>
      <c r="B40" s="79"/>
      <c r="C40" s="79"/>
      <c r="D40" s="94"/>
      <c r="E40" s="89"/>
      <c r="F40" s="89"/>
      <c r="G40" s="92"/>
      <c r="H40" s="89"/>
      <c r="I40" s="93"/>
      <c r="J40" s="91"/>
    </row>
    <row r="41" spans="1:13" ht="18" x14ac:dyDescent="0.3">
      <c r="A41" s="78"/>
      <c r="B41" s="79"/>
      <c r="C41" s="79"/>
      <c r="D41" s="94"/>
      <c r="E41" s="89"/>
      <c r="F41" s="89"/>
      <c r="G41" s="92"/>
      <c r="H41" s="89"/>
      <c r="I41" s="93"/>
      <c r="J41" s="91"/>
    </row>
    <row r="42" spans="1:13" ht="18" x14ac:dyDescent="0.3">
      <c r="A42" s="78"/>
      <c r="B42" s="79"/>
      <c r="C42" s="79"/>
      <c r="D42" s="94"/>
      <c r="E42" s="89"/>
      <c r="F42" s="89"/>
      <c r="G42" s="92"/>
      <c r="H42" s="89"/>
      <c r="I42" s="93"/>
      <c r="J42" s="91"/>
    </row>
    <row r="43" spans="1:13" ht="18" x14ac:dyDescent="0.3">
      <c r="A43" s="78"/>
      <c r="B43" s="79"/>
      <c r="C43" s="79"/>
      <c r="D43" s="94"/>
      <c r="E43" s="89"/>
      <c r="F43" s="89"/>
      <c r="G43" s="92"/>
      <c r="H43" s="89"/>
      <c r="I43" s="93"/>
      <c r="J43" s="91"/>
    </row>
    <row r="44" spans="1:13" ht="18" x14ac:dyDescent="0.3">
      <c r="A44" s="78"/>
      <c r="B44" s="79"/>
      <c r="C44" s="79"/>
      <c r="D44" s="95"/>
      <c r="E44" s="89"/>
      <c r="F44" s="89"/>
      <c r="G44" s="92"/>
      <c r="H44" s="89"/>
      <c r="I44" s="93"/>
      <c r="J44" s="91">
        <f t="shared" si="0"/>
        <v>0</v>
      </c>
    </row>
    <row r="45" spans="1:13" ht="18.75" thickBot="1" x14ac:dyDescent="0.35">
      <c r="A45" s="78"/>
      <c r="B45" s="79"/>
      <c r="C45" s="79"/>
      <c r="D45" s="96"/>
      <c r="E45" s="97"/>
      <c r="F45" s="97"/>
      <c r="G45" s="98"/>
      <c r="H45" s="97"/>
      <c r="I45" s="99"/>
      <c r="J45" s="100">
        <f t="shared" si="0"/>
        <v>0</v>
      </c>
      <c r="M45" s="105"/>
    </row>
    <row r="46" spans="1:13" ht="21" thickBot="1" x14ac:dyDescent="0.35">
      <c r="A46" s="78"/>
      <c r="B46" s="79"/>
      <c r="C46" s="79"/>
      <c r="D46" s="933" t="s">
        <v>10</v>
      </c>
      <c r="E46" s="934"/>
      <c r="F46" s="934"/>
      <c r="G46" s="934"/>
      <c r="H46" s="934"/>
      <c r="I46" s="935"/>
      <c r="J46" s="102">
        <f>ROUND(SUM(J8:J45),2)</f>
        <v>23</v>
      </c>
    </row>
    <row r="47" spans="1:13" ht="21" thickBot="1" x14ac:dyDescent="0.35">
      <c r="A47" s="78"/>
      <c r="B47" s="79"/>
      <c r="C47" s="79"/>
      <c r="D47" s="933" t="s">
        <v>1127</v>
      </c>
      <c r="E47" s="934"/>
      <c r="F47" s="934"/>
      <c r="G47" s="934"/>
      <c r="H47" s="934"/>
      <c r="I47" s="935"/>
      <c r="J47" s="103"/>
    </row>
    <row r="48" spans="1:13" ht="21" thickBot="1" x14ac:dyDescent="0.35">
      <c r="A48" s="78"/>
      <c r="B48" s="79"/>
      <c r="C48" s="101"/>
      <c r="D48" s="933" t="s">
        <v>1128</v>
      </c>
      <c r="E48" s="934"/>
      <c r="F48" s="934"/>
      <c r="G48" s="934"/>
      <c r="H48" s="934"/>
      <c r="I48" s="935"/>
      <c r="J48" s="104">
        <f>+J46-J47</f>
        <v>23</v>
      </c>
    </row>
    <row r="49" spans="1:10" ht="21" thickBot="1" x14ac:dyDescent="0.35">
      <c r="A49" s="936" t="s">
        <v>1129</v>
      </c>
      <c r="B49" s="937"/>
      <c r="C49" s="938"/>
      <c r="D49" s="939" t="s">
        <v>1130</v>
      </c>
      <c r="E49" s="940"/>
      <c r="F49" s="940"/>
      <c r="G49" s="940"/>
      <c r="H49" s="940"/>
      <c r="I49" s="940"/>
      <c r="J49" s="941"/>
    </row>
    <row r="50" spans="1:10" ht="38.25" customHeight="1" thickBot="1" x14ac:dyDescent="0.35">
      <c r="A50" s="942" t="str">
        <f>PPTO!G3</f>
        <v>JUNIO DE 2026</v>
      </c>
      <c r="B50" s="943"/>
      <c r="C50" s="944"/>
      <c r="D50" s="921"/>
      <c r="E50" s="922"/>
      <c r="F50" s="922"/>
      <c r="G50" s="922"/>
      <c r="H50" s="922"/>
      <c r="I50" s="922"/>
      <c r="J50" s="923"/>
    </row>
    <row r="51" spans="1:10" ht="19.5" thickBot="1" x14ac:dyDescent="0.35">
      <c r="A51" s="918"/>
      <c r="B51" s="919"/>
      <c r="C51" s="920"/>
      <c r="D51" s="921" t="s">
        <v>1131</v>
      </c>
      <c r="E51" s="922"/>
      <c r="F51" s="922"/>
      <c r="G51" s="922"/>
      <c r="H51" s="922"/>
      <c r="I51" s="922"/>
      <c r="J51" s="923"/>
    </row>
  </sheetData>
  <mergeCells count="19">
    <mergeCell ref="A51:C51"/>
    <mergeCell ref="D51:J51"/>
    <mergeCell ref="D6:D7"/>
    <mergeCell ref="E6:G6"/>
    <mergeCell ref="I6:I7"/>
    <mergeCell ref="J6:J7"/>
    <mergeCell ref="D46:I46"/>
    <mergeCell ref="D47:I47"/>
    <mergeCell ref="D48:I48"/>
    <mergeCell ref="A49:C49"/>
    <mergeCell ref="D49:J49"/>
    <mergeCell ref="A50:C50"/>
    <mergeCell ref="D50:J50"/>
    <mergeCell ref="A2:J2"/>
    <mergeCell ref="A3:J3"/>
    <mergeCell ref="A4:J4"/>
    <mergeCell ref="C5:D5"/>
    <mergeCell ref="G5:H5"/>
    <mergeCell ref="I5:J5"/>
  </mergeCells>
  <conditionalFormatting sqref="J8:J45">
    <cfRule type="cellIs" dxfId="43" priority="1" operator="equal">
      <formula>0</formula>
    </cfRule>
  </conditionalFormatting>
  <pageMargins left="0.7" right="0.7" top="0.75" bottom="0.75" header="0.3" footer="0.3"/>
  <pageSetup scale="51" orientation="landscape"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3F4FFE-FD4F-4103-905C-0ECD22601C2B}">
  <sheetPr>
    <tabColor rgb="FF92D050"/>
    <pageSetUpPr fitToPage="1"/>
  </sheetPr>
  <dimension ref="A1:M52"/>
  <sheetViews>
    <sheetView showOutlineSymbols="0" view="pageBreakPreview" topLeftCell="A5" zoomScale="60" zoomScaleNormal="70" workbookViewId="0">
      <selection activeCell="D12" sqref="D12"/>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05.75" customHeight="1" thickBot="1" x14ac:dyDescent="0.35">
      <c r="A5" s="72" t="s">
        <v>5</v>
      </c>
      <c r="B5" s="73">
        <v>6.2</v>
      </c>
      <c r="C5" s="913" t="str">
        <f>+VLOOKUP(B5,PPTO!B8:G94,2,FALSE)</f>
        <v>Suministro, transporte e instalación de salida eléctrica para toma GFCI. en  IMC 3/4", caja y accesorios, alambre de cobre THHN-AWG-LS #12, según cuadro de cargas y notas en planos, aparato línea Génesis.</v>
      </c>
      <c r="D5" s="914"/>
      <c r="E5" s="72" t="s">
        <v>7</v>
      </c>
      <c r="F5" s="74" t="str">
        <f>+VLOOKUP(B5,PPTO!B8:G94,3,FALSE)</f>
        <v>UN</v>
      </c>
      <c r="G5" s="915" t="s">
        <v>1120</v>
      </c>
      <c r="H5" s="915"/>
      <c r="I5" s="916">
        <f>+VLOOKUP(B5,PPTO!B8:G94,5,FALSE)</f>
        <v>122826.66368249562</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8" x14ac:dyDescent="0.3">
      <c r="A8" s="78"/>
      <c r="B8" s="79"/>
      <c r="C8" s="79"/>
      <c r="D8" s="88" t="s">
        <v>1206</v>
      </c>
      <c r="E8" s="89"/>
      <c r="F8" s="89"/>
      <c r="G8" s="89"/>
      <c r="H8" s="89"/>
      <c r="I8" s="90">
        <v>4</v>
      </c>
      <c r="J8" s="87">
        <f>+PRODUCT(E8:I8)</f>
        <v>4</v>
      </c>
    </row>
    <row r="9" spans="1:10" ht="18" x14ac:dyDescent="0.3">
      <c r="A9" s="78"/>
      <c r="B9" s="79"/>
      <c r="C9" s="79"/>
      <c r="D9" s="94" t="s">
        <v>1207</v>
      </c>
      <c r="E9" s="89"/>
      <c r="F9" s="89"/>
      <c r="G9" s="89"/>
      <c r="H9" s="89"/>
      <c r="I9" s="93">
        <v>3</v>
      </c>
      <c r="J9" s="91">
        <f t="shared" ref="J9:J46" si="0">+PRODUCT(E9:I9)</f>
        <v>3</v>
      </c>
    </row>
    <row r="10" spans="1:10" ht="18" x14ac:dyDescent="0.3">
      <c r="A10" s="78"/>
      <c r="B10" s="79"/>
      <c r="C10" s="79"/>
      <c r="D10" s="94" t="s">
        <v>1208</v>
      </c>
      <c r="E10" s="89"/>
      <c r="F10" s="89"/>
      <c r="G10" s="89"/>
      <c r="H10" s="89"/>
      <c r="I10" s="93">
        <v>7</v>
      </c>
      <c r="J10" s="91">
        <f t="shared" si="0"/>
        <v>7</v>
      </c>
    </row>
    <row r="11" spans="1:10" ht="18" x14ac:dyDescent="0.3">
      <c r="A11" s="78"/>
      <c r="B11" s="79"/>
      <c r="C11" s="79"/>
      <c r="D11" s="94" t="s">
        <v>1205</v>
      </c>
      <c r="E11" s="89"/>
      <c r="F11" s="89"/>
      <c r="G11" s="89"/>
      <c r="H11" s="89"/>
      <c r="I11" s="93">
        <v>2</v>
      </c>
      <c r="J11" s="91">
        <f t="shared" si="0"/>
        <v>2</v>
      </c>
    </row>
    <row r="12" spans="1:10" ht="18" x14ac:dyDescent="0.3">
      <c r="A12" s="78"/>
      <c r="B12" s="79"/>
      <c r="C12" s="79"/>
      <c r="D12" s="94"/>
      <c r="E12" s="89"/>
      <c r="F12" s="89"/>
      <c r="G12" s="89"/>
      <c r="H12" s="89"/>
      <c r="I12" s="93"/>
      <c r="J12" s="91">
        <f t="shared" si="0"/>
        <v>0</v>
      </c>
    </row>
    <row r="13" spans="1:10" ht="18" x14ac:dyDescent="0.3">
      <c r="A13" s="78"/>
      <c r="B13" s="79"/>
      <c r="C13" s="79"/>
      <c r="D13" s="94"/>
      <c r="E13" s="89"/>
      <c r="F13" s="89"/>
      <c r="G13" s="89"/>
      <c r="H13" s="89"/>
      <c r="I13" s="93"/>
      <c r="J13" s="91">
        <f t="shared" si="0"/>
        <v>0</v>
      </c>
    </row>
    <row r="14" spans="1:10" ht="18" x14ac:dyDescent="0.3">
      <c r="A14" s="78"/>
      <c r="B14" s="79"/>
      <c r="C14" s="79"/>
      <c r="D14" s="94"/>
      <c r="E14" s="89"/>
      <c r="F14" s="89"/>
      <c r="G14" s="89"/>
      <c r="H14" s="89"/>
      <c r="I14" s="93"/>
      <c r="J14" s="91">
        <f t="shared" si="0"/>
        <v>0</v>
      </c>
    </row>
    <row r="15" spans="1:10" ht="18" x14ac:dyDescent="0.3">
      <c r="A15" s="78"/>
      <c r="B15" s="79"/>
      <c r="C15" s="79"/>
      <c r="D15" s="94"/>
      <c r="E15" s="89"/>
      <c r="F15" s="89"/>
      <c r="G15" s="89"/>
      <c r="H15" s="89"/>
      <c r="I15" s="93"/>
      <c r="J15" s="91">
        <f t="shared" si="0"/>
        <v>0</v>
      </c>
    </row>
    <row r="16" spans="1:10" ht="18" x14ac:dyDescent="0.3">
      <c r="A16" s="78"/>
      <c r="B16" s="79"/>
      <c r="C16" s="79"/>
      <c r="D16" s="94"/>
      <c r="E16" s="89"/>
      <c r="F16" s="89"/>
      <c r="G16" s="89"/>
      <c r="H16" s="89"/>
      <c r="I16" s="93"/>
      <c r="J16" s="91">
        <f t="shared" si="0"/>
        <v>0</v>
      </c>
    </row>
    <row r="17" spans="1:10" ht="18" x14ac:dyDescent="0.3">
      <c r="A17" s="78"/>
      <c r="B17" s="79"/>
      <c r="C17" s="79"/>
      <c r="D17" s="94"/>
      <c r="E17" s="89"/>
      <c r="F17" s="89"/>
      <c r="G17" s="89"/>
      <c r="H17" s="89"/>
      <c r="I17" s="93"/>
      <c r="J17" s="91">
        <f t="shared" si="0"/>
        <v>0</v>
      </c>
    </row>
    <row r="18" spans="1:10" ht="18" x14ac:dyDescent="0.3">
      <c r="A18" s="78"/>
      <c r="B18" s="79"/>
      <c r="C18" s="79"/>
      <c r="D18" s="94"/>
      <c r="E18" s="89"/>
      <c r="F18" s="89"/>
      <c r="G18" s="89"/>
      <c r="H18" s="89"/>
      <c r="I18" s="93"/>
      <c r="J18" s="91">
        <f t="shared" si="0"/>
        <v>0</v>
      </c>
    </row>
    <row r="19" spans="1:10" ht="18" x14ac:dyDescent="0.3">
      <c r="A19" s="78"/>
      <c r="B19" s="79"/>
      <c r="C19" s="79"/>
      <c r="D19" s="95"/>
      <c r="E19" s="89"/>
      <c r="F19" s="89"/>
      <c r="G19" s="89"/>
      <c r="H19" s="89"/>
      <c r="I19" s="93"/>
      <c r="J19" s="91">
        <f t="shared" si="0"/>
        <v>0</v>
      </c>
    </row>
    <row r="20" spans="1:10" ht="18" x14ac:dyDescent="0.3">
      <c r="A20" s="78"/>
      <c r="B20" s="79"/>
      <c r="C20" s="79"/>
      <c r="D20" s="88"/>
      <c r="E20" s="89"/>
      <c r="F20" s="89"/>
      <c r="G20" s="89"/>
      <c r="H20" s="89"/>
      <c r="I20" s="90"/>
      <c r="J20" s="91">
        <f t="shared" si="0"/>
        <v>0</v>
      </c>
    </row>
    <row r="21" spans="1:10" ht="18" x14ac:dyDescent="0.3">
      <c r="A21" s="78"/>
      <c r="B21" s="79"/>
      <c r="C21" s="79"/>
      <c r="D21" s="88"/>
      <c r="E21" s="89"/>
      <c r="F21" s="89"/>
      <c r="G21" s="89"/>
      <c r="H21" s="89"/>
      <c r="I21" s="90"/>
      <c r="J21" s="91">
        <f t="shared" si="0"/>
        <v>0</v>
      </c>
    </row>
    <row r="22" spans="1:10" ht="18" x14ac:dyDescent="0.3">
      <c r="A22" s="78"/>
      <c r="B22" s="79"/>
      <c r="C22" s="79"/>
      <c r="D22" s="88"/>
      <c r="E22" s="89"/>
      <c r="F22" s="89"/>
      <c r="G22" s="89"/>
      <c r="H22" s="89"/>
      <c r="I22" s="90"/>
      <c r="J22" s="91">
        <f t="shared" si="0"/>
        <v>0</v>
      </c>
    </row>
    <row r="23" spans="1:10" ht="18" x14ac:dyDescent="0.3">
      <c r="A23" s="78"/>
      <c r="B23" s="79"/>
      <c r="C23" s="79"/>
      <c r="D23" s="94"/>
      <c r="E23" s="89"/>
      <c r="F23" s="89"/>
      <c r="G23" s="89"/>
      <c r="H23" s="89"/>
      <c r="I23" s="93"/>
      <c r="J23" s="91">
        <f t="shared" si="0"/>
        <v>0</v>
      </c>
    </row>
    <row r="24" spans="1:10" ht="18" x14ac:dyDescent="0.3">
      <c r="A24" s="78"/>
      <c r="B24" s="79"/>
      <c r="C24" s="79"/>
      <c r="D24" s="94"/>
      <c r="E24" s="89"/>
      <c r="F24" s="89"/>
      <c r="G24" s="89"/>
      <c r="H24" s="89"/>
      <c r="I24" s="93"/>
      <c r="J24" s="91">
        <f t="shared" si="0"/>
        <v>0</v>
      </c>
    </row>
    <row r="25" spans="1:10" ht="18" x14ac:dyDescent="0.3">
      <c r="A25" s="78"/>
      <c r="B25" s="79"/>
      <c r="C25" s="79"/>
      <c r="D25" s="94"/>
      <c r="E25" s="89"/>
      <c r="F25" s="89"/>
      <c r="G25" s="89"/>
      <c r="H25" s="89"/>
      <c r="I25" s="93"/>
      <c r="J25" s="91">
        <f t="shared" si="0"/>
        <v>0</v>
      </c>
    </row>
    <row r="26" spans="1:10" ht="18" x14ac:dyDescent="0.3">
      <c r="A26" s="78"/>
      <c r="B26" s="79"/>
      <c r="C26" s="79"/>
      <c r="D26" s="94"/>
      <c r="E26" s="89"/>
      <c r="F26" s="89"/>
      <c r="G26" s="89"/>
      <c r="H26" s="89"/>
      <c r="I26" s="93"/>
      <c r="J26" s="91">
        <f t="shared" si="0"/>
        <v>0</v>
      </c>
    </row>
    <row r="27" spans="1:10" ht="18" x14ac:dyDescent="0.3">
      <c r="A27" s="78"/>
      <c r="B27" s="79"/>
      <c r="C27" s="79"/>
      <c r="D27" s="94"/>
      <c r="E27" s="89"/>
      <c r="F27" s="89"/>
      <c r="G27" s="89"/>
      <c r="H27" s="89"/>
      <c r="I27" s="93"/>
      <c r="J27" s="91">
        <f t="shared" si="0"/>
        <v>0</v>
      </c>
    </row>
    <row r="28" spans="1:10" ht="18" x14ac:dyDescent="0.3">
      <c r="A28" s="78"/>
      <c r="B28" s="79"/>
      <c r="C28" s="79"/>
      <c r="D28" s="94"/>
      <c r="E28" s="89"/>
      <c r="F28" s="89"/>
      <c r="G28" s="89"/>
      <c r="H28" s="89"/>
      <c r="I28" s="93"/>
      <c r="J28" s="91">
        <f t="shared" si="0"/>
        <v>0</v>
      </c>
    </row>
    <row r="29" spans="1:10" ht="18" x14ac:dyDescent="0.3">
      <c r="A29" s="78"/>
      <c r="B29" s="79"/>
      <c r="C29" s="79"/>
      <c r="D29" s="94"/>
      <c r="E29" s="89"/>
      <c r="F29" s="89"/>
      <c r="G29" s="89"/>
      <c r="H29" s="89"/>
      <c r="I29" s="93"/>
      <c r="J29" s="91">
        <f t="shared" si="0"/>
        <v>0</v>
      </c>
    </row>
    <row r="30" spans="1:10" ht="18" x14ac:dyDescent="0.3">
      <c r="A30" s="78"/>
      <c r="B30" s="79"/>
      <c r="C30" s="79"/>
      <c r="D30" s="94"/>
      <c r="E30" s="89"/>
      <c r="F30" s="89"/>
      <c r="G30" s="89"/>
      <c r="H30" s="89"/>
      <c r="I30" s="93"/>
      <c r="J30" s="91">
        <f t="shared" si="0"/>
        <v>0</v>
      </c>
    </row>
    <row r="31" spans="1:10" ht="18" x14ac:dyDescent="0.3">
      <c r="A31" s="78"/>
      <c r="B31" s="79"/>
      <c r="C31" s="79"/>
      <c r="D31" s="94"/>
      <c r="E31" s="89"/>
      <c r="F31" s="89"/>
      <c r="G31" s="89"/>
      <c r="H31" s="89"/>
      <c r="I31" s="93"/>
      <c r="J31" s="91">
        <f t="shared" si="0"/>
        <v>0</v>
      </c>
    </row>
    <row r="32" spans="1:10" ht="18" x14ac:dyDescent="0.3">
      <c r="A32" s="78"/>
      <c r="B32" s="79"/>
      <c r="C32" s="79"/>
      <c r="D32" s="94"/>
      <c r="E32" s="89"/>
      <c r="F32" s="89"/>
      <c r="G32" s="89"/>
      <c r="H32" s="89"/>
      <c r="I32" s="93"/>
      <c r="J32" s="91">
        <f t="shared" si="0"/>
        <v>0</v>
      </c>
    </row>
    <row r="33" spans="1:13" ht="18" x14ac:dyDescent="0.3">
      <c r="A33" s="78"/>
      <c r="B33" s="79"/>
      <c r="C33" s="79"/>
      <c r="D33" s="94"/>
      <c r="E33" s="89"/>
      <c r="F33" s="89"/>
      <c r="G33" s="89"/>
      <c r="H33" s="89"/>
      <c r="I33" s="93"/>
      <c r="J33" s="91">
        <f t="shared" si="0"/>
        <v>0</v>
      </c>
    </row>
    <row r="34" spans="1:13" ht="18" x14ac:dyDescent="0.3">
      <c r="A34" s="78"/>
      <c r="B34" s="79"/>
      <c r="C34" s="79"/>
      <c r="D34" s="94"/>
      <c r="E34" s="89"/>
      <c r="F34" s="89"/>
      <c r="G34" s="89"/>
      <c r="H34" s="89"/>
      <c r="I34" s="93"/>
      <c r="J34" s="91">
        <f t="shared" si="0"/>
        <v>0</v>
      </c>
    </row>
    <row r="35" spans="1:13" ht="18" x14ac:dyDescent="0.3">
      <c r="A35" s="78"/>
      <c r="B35" s="79"/>
      <c r="C35" s="79"/>
      <c r="D35" s="94"/>
      <c r="E35" s="89"/>
      <c r="F35" s="89"/>
      <c r="G35" s="89"/>
      <c r="H35" s="89"/>
      <c r="I35" s="93"/>
      <c r="J35" s="91">
        <f t="shared" si="0"/>
        <v>0</v>
      </c>
    </row>
    <row r="36" spans="1:13" ht="18" x14ac:dyDescent="0.3">
      <c r="A36" s="78"/>
      <c r="B36" s="79"/>
      <c r="C36" s="79"/>
      <c r="D36" s="94"/>
      <c r="E36" s="89"/>
      <c r="F36" s="89"/>
      <c r="G36" s="89"/>
      <c r="H36" s="89"/>
      <c r="I36" s="93"/>
      <c r="J36" s="91">
        <f t="shared" si="0"/>
        <v>0</v>
      </c>
    </row>
    <row r="37" spans="1:13" ht="18" x14ac:dyDescent="0.3">
      <c r="A37" s="78"/>
      <c r="B37" s="79"/>
      <c r="C37" s="79"/>
      <c r="D37" s="94"/>
      <c r="E37" s="89"/>
      <c r="F37" s="89"/>
      <c r="G37" s="89"/>
      <c r="H37" s="89"/>
      <c r="I37" s="93"/>
      <c r="J37" s="91">
        <f t="shared" si="0"/>
        <v>0</v>
      </c>
    </row>
    <row r="38" spans="1:13" ht="18" x14ac:dyDescent="0.3">
      <c r="A38" s="78"/>
      <c r="B38" s="79"/>
      <c r="C38" s="79"/>
      <c r="D38" s="94"/>
      <c r="E38" s="89"/>
      <c r="F38" s="89"/>
      <c r="G38" s="89"/>
      <c r="H38" s="89"/>
      <c r="I38" s="93"/>
      <c r="J38" s="91">
        <f t="shared" si="0"/>
        <v>0</v>
      </c>
    </row>
    <row r="39" spans="1:13" ht="18" x14ac:dyDescent="0.3">
      <c r="A39" s="78"/>
      <c r="B39" s="79"/>
      <c r="C39" s="79"/>
      <c r="D39" s="94"/>
      <c r="E39" s="89"/>
      <c r="F39" s="89"/>
      <c r="G39" s="89"/>
      <c r="H39" s="89"/>
      <c r="I39" s="93"/>
      <c r="J39" s="91">
        <f t="shared" si="0"/>
        <v>0</v>
      </c>
    </row>
    <row r="40" spans="1:13" ht="18" x14ac:dyDescent="0.3">
      <c r="A40" s="78"/>
      <c r="B40" s="79"/>
      <c r="C40" s="79"/>
      <c r="D40" s="94"/>
      <c r="E40" s="89"/>
      <c r="F40" s="89"/>
      <c r="G40" s="92"/>
      <c r="H40" s="89"/>
      <c r="I40" s="93"/>
      <c r="J40" s="91"/>
    </row>
    <row r="41" spans="1:13" ht="18" x14ac:dyDescent="0.3">
      <c r="A41" s="78"/>
      <c r="B41" s="79"/>
      <c r="C41" s="79"/>
      <c r="D41" s="94"/>
      <c r="E41" s="89"/>
      <c r="F41" s="89"/>
      <c r="G41" s="92"/>
      <c r="H41" s="89"/>
      <c r="I41" s="93"/>
      <c r="J41" s="91"/>
    </row>
    <row r="42" spans="1:13" ht="18" x14ac:dyDescent="0.3">
      <c r="A42" s="78"/>
      <c r="B42" s="79"/>
      <c r="C42" s="79"/>
      <c r="D42" s="94"/>
      <c r="E42" s="89"/>
      <c r="F42" s="89"/>
      <c r="G42" s="92"/>
      <c r="H42" s="89"/>
      <c r="I42" s="93"/>
      <c r="J42" s="91"/>
    </row>
    <row r="43" spans="1:13" ht="18" x14ac:dyDescent="0.3">
      <c r="A43" s="78"/>
      <c r="B43" s="79"/>
      <c r="C43" s="79"/>
      <c r="D43" s="94"/>
      <c r="E43" s="89"/>
      <c r="F43" s="89"/>
      <c r="G43" s="92"/>
      <c r="H43" s="89"/>
      <c r="I43" s="93"/>
      <c r="J43" s="91"/>
    </row>
    <row r="44" spans="1:13" ht="18" x14ac:dyDescent="0.3">
      <c r="A44" s="78"/>
      <c r="B44" s="79"/>
      <c r="C44" s="79"/>
      <c r="D44" s="94"/>
      <c r="E44" s="89"/>
      <c r="F44" s="89"/>
      <c r="G44" s="92"/>
      <c r="H44" s="89"/>
      <c r="I44" s="93"/>
      <c r="J44" s="91"/>
    </row>
    <row r="45" spans="1:13" ht="18" x14ac:dyDescent="0.3">
      <c r="A45" s="78"/>
      <c r="B45" s="79"/>
      <c r="C45" s="79"/>
      <c r="D45" s="95"/>
      <c r="E45" s="89"/>
      <c r="F45" s="89"/>
      <c r="G45" s="92"/>
      <c r="H45" s="89"/>
      <c r="I45" s="93"/>
      <c r="J45" s="91">
        <f t="shared" si="0"/>
        <v>0</v>
      </c>
    </row>
    <row r="46" spans="1:13" ht="18.75" thickBot="1" x14ac:dyDescent="0.35">
      <c r="A46" s="78"/>
      <c r="B46" s="79"/>
      <c r="C46" s="79"/>
      <c r="D46" s="96"/>
      <c r="E46" s="97"/>
      <c r="F46" s="97"/>
      <c r="G46" s="98"/>
      <c r="H46" s="97"/>
      <c r="I46" s="99"/>
      <c r="J46" s="100">
        <f t="shared" si="0"/>
        <v>0</v>
      </c>
      <c r="M46" s="105">
        <f>J47/1.5</f>
        <v>10.666666666666666</v>
      </c>
    </row>
    <row r="47" spans="1:13" ht="21" thickBot="1" x14ac:dyDescent="0.35">
      <c r="A47" s="78"/>
      <c r="B47" s="79"/>
      <c r="C47" s="79"/>
      <c r="D47" s="933" t="s">
        <v>10</v>
      </c>
      <c r="E47" s="934"/>
      <c r="F47" s="934"/>
      <c r="G47" s="934"/>
      <c r="H47" s="934"/>
      <c r="I47" s="935"/>
      <c r="J47" s="102">
        <f>ROUND(SUM(J8:J46),2)</f>
        <v>16</v>
      </c>
    </row>
    <row r="48" spans="1:13" ht="21" thickBot="1" x14ac:dyDescent="0.35">
      <c r="A48" s="78"/>
      <c r="B48" s="79"/>
      <c r="C48" s="79"/>
      <c r="D48" s="933" t="s">
        <v>1127</v>
      </c>
      <c r="E48" s="934"/>
      <c r="F48" s="934"/>
      <c r="G48" s="934"/>
      <c r="H48" s="934"/>
      <c r="I48" s="935"/>
      <c r="J48" s="103"/>
    </row>
    <row r="49" spans="1:10" ht="21" thickBot="1" x14ac:dyDescent="0.35">
      <c r="A49" s="78"/>
      <c r="B49" s="79"/>
      <c r="C49" s="101"/>
      <c r="D49" s="933" t="s">
        <v>1128</v>
      </c>
      <c r="E49" s="934"/>
      <c r="F49" s="934"/>
      <c r="G49" s="934"/>
      <c r="H49" s="934"/>
      <c r="I49" s="935"/>
      <c r="J49" s="104">
        <f>+J47-J48</f>
        <v>16</v>
      </c>
    </row>
    <row r="50" spans="1:10" ht="21" thickBot="1" x14ac:dyDescent="0.35">
      <c r="A50" s="936" t="s">
        <v>1129</v>
      </c>
      <c r="B50" s="937"/>
      <c r="C50" s="938"/>
      <c r="D50" s="939" t="s">
        <v>1130</v>
      </c>
      <c r="E50" s="940"/>
      <c r="F50" s="940"/>
      <c r="G50" s="940"/>
      <c r="H50" s="940"/>
      <c r="I50" s="940"/>
      <c r="J50" s="941"/>
    </row>
    <row r="51" spans="1:10" ht="38.25" customHeight="1" thickBot="1" x14ac:dyDescent="0.35">
      <c r="A51" s="942" t="str">
        <f>PPTO!G3</f>
        <v>JUNIO DE 2026</v>
      </c>
      <c r="B51" s="943"/>
      <c r="C51" s="944"/>
      <c r="D51" s="921"/>
      <c r="E51" s="922"/>
      <c r="F51" s="922"/>
      <c r="G51" s="922"/>
      <c r="H51" s="922"/>
      <c r="I51" s="922"/>
      <c r="J51" s="923"/>
    </row>
    <row r="52" spans="1:10" ht="19.5" thickBot="1" x14ac:dyDescent="0.35">
      <c r="A52" s="918"/>
      <c r="B52" s="919"/>
      <c r="C52" s="920"/>
      <c r="D52" s="921" t="s">
        <v>1131</v>
      </c>
      <c r="E52" s="922"/>
      <c r="F52" s="922"/>
      <c r="G52" s="922"/>
      <c r="H52" s="922"/>
      <c r="I52" s="922"/>
      <c r="J52" s="923"/>
    </row>
  </sheetData>
  <mergeCells count="19">
    <mergeCell ref="A52:C52"/>
    <mergeCell ref="D52:J52"/>
    <mergeCell ref="D6:D7"/>
    <mergeCell ref="E6:G6"/>
    <mergeCell ref="I6:I7"/>
    <mergeCell ref="J6:J7"/>
    <mergeCell ref="D47:I47"/>
    <mergeCell ref="D48:I48"/>
    <mergeCell ref="D49:I49"/>
    <mergeCell ref="A50:C50"/>
    <mergeCell ref="D50:J50"/>
    <mergeCell ref="A51:C51"/>
    <mergeCell ref="D51:J51"/>
    <mergeCell ref="A2:J2"/>
    <mergeCell ref="A3:J3"/>
    <mergeCell ref="A4:J4"/>
    <mergeCell ref="C5:D5"/>
    <mergeCell ref="G5:H5"/>
    <mergeCell ref="I5:J5"/>
  </mergeCells>
  <conditionalFormatting sqref="J8:J46">
    <cfRule type="cellIs" dxfId="42" priority="1" operator="equal">
      <formula>0</formula>
    </cfRule>
  </conditionalFormatting>
  <pageMargins left="0.7" right="0.7" top="0.75" bottom="0.75" header="0.3" footer="0.3"/>
  <pageSetup scale="50" orientation="landscape"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7D8742-B287-458D-B21E-C29BC2FCACA5}">
  <sheetPr>
    <tabColor rgb="FF92D050"/>
    <pageSetUpPr fitToPage="1"/>
  </sheetPr>
  <dimension ref="A1:M52"/>
  <sheetViews>
    <sheetView showOutlineSymbols="0" view="pageBreakPreview" topLeftCell="A4" zoomScale="60" zoomScaleNormal="70" workbookViewId="0">
      <selection activeCell="D8" sqref="D8:D14"/>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53" t="s">
        <v>8</v>
      </c>
      <c r="B2" s="954"/>
      <c r="C2" s="954"/>
      <c r="D2" s="954"/>
      <c r="E2" s="954"/>
      <c r="F2" s="954"/>
      <c r="G2" s="954"/>
      <c r="H2" s="954"/>
      <c r="I2" s="954"/>
      <c r="J2" s="955"/>
    </row>
    <row r="3" spans="1:10" ht="38.25" customHeight="1" thickBot="1" x14ac:dyDescent="0.35">
      <c r="A3" s="956" t="str">
        <f>PPTO!C3</f>
        <v xml:space="preserve">MUNICIPIO DE SAN ROQUE - ANTIOQUIA, CORREGIMIENTO DE SAN JOSÉ DEL NÚS. </v>
      </c>
      <c r="B3" s="957"/>
      <c r="C3" s="957"/>
      <c r="D3" s="957"/>
      <c r="E3" s="957"/>
      <c r="F3" s="957"/>
      <c r="G3" s="957"/>
      <c r="H3" s="957"/>
      <c r="I3" s="957"/>
      <c r="J3" s="958"/>
    </row>
    <row r="4" spans="1:10" ht="38.25" customHeight="1" thickBot="1" x14ac:dyDescent="0.35">
      <c r="A4" s="956" t="str">
        <f>PPTO!C4</f>
        <v xml:space="preserve">CONSTRUCCIÓN DE CENTRO DIA - MUNICIPIO DE SAN ROQUE </v>
      </c>
      <c r="B4" s="957"/>
      <c r="C4" s="957"/>
      <c r="D4" s="957"/>
      <c r="E4" s="957"/>
      <c r="F4" s="957"/>
      <c r="G4" s="957"/>
      <c r="H4" s="957"/>
      <c r="I4" s="957"/>
      <c r="J4" s="958"/>
    </row>
    <row r="5" spans="1:10" ht="105.75" customHeight="1" thickBot="1" x14ac:dyDescent="0.35">
      <c r="A5" s="72" t="s">
        <v>5</v>
      </c>
      <c r="B5" s="73">
        <v>6.3</v>
      </c>
      <c r="C5" s="913" t="str">
        <f>+VLOOKUP(B5,PPTO!B8:G94,2,FALSE)</f>
        <v>Suministro, transporte e instalación de salida para toma doble  especial p/t, en  PVC 1/2", caja y accesorios, alambre de cobre THHN-AWG- LS #12,  según cuadro de cargas y notas en planos. Toma para equipos especiales</v>
      </c>
      <c r="D5" s="914"/>
      <c r="E5" s="72" t="s">
        <v>7</v>
      </c>
      <c r="F5" s="74" t="str">
        <f>+VLOOKUP(B5,PPTO!B8:G94,3,FALSE)</f>
        <v>UN</v>
      </c>
      <c r="G5" s="915" t="s">
        <v>1120</v>
      </c>
      <c r="H5" s="915"/>
      <c r="I5" s="916">
        <f>+VLOOKUP(B5,PPTO!B8:G94,5,FALSE)</f>
        <v>100826.66368249562</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8" x14ac:dyDescent="0.3">
      <c r="A8" s="78"/>
      <c r="B8" s="79"/>
      <c r="C8" s="79"/>
      <c r="D8" s="94" t="s">
        <v>1199</v>
      </c>
      <c r="E8" s="89"/>
      <c r="F8" s="89"/>
      <c r="G8" s="89"/>
      <c r="H8" s="89"/>
      <c r="I8" s="90">
        <v>16</v>
      </c>
      <c r="J8" s="87">
        <f>+PRODUCT(E8:I8)</f>
        <v>16</v>
      </c>
    </row>
    <row r="9" spans="1:10" ht="18" x14ac:dyDescent="0.3">
      <c r="A9" s="78"/>
      <c r="B9" s="79"/>
      <c r="C9" s="79"/>
      <c r="D9" s="94" t="s">
        <v>1200</v>
      </c>
      <c r="E9" s="89"/>
      <c r="F9" s="89"/>
      <c r="G9" s="89"/>
      <c r="H9" s="89"/>
      <c r="I9" s="93">
        <v>0</v>
      </c>
      <c r="J9" s="91">
        <f t="shared" ref="J9:J46" si="0">+PRODUCT(E9:I9)</f>
        <v>0</v>
      </c>
    </row>
    <row r="10" spans="1:10" ht="18" x14ac:dyDescent="0.3">
      <c r="A10" s="78"/>
      <c r="B10" s="79"/>
      <c r="C10" s="79"/>
      <c r="D10" s="94" t="s">
        <v>1201</v>
      </c>
      <c r="E10" s="89"/>
      <c r="F10" s="89"/>
      <c r="G10" s="89"/>
      <c r="H10" s="89"/>
      <c r="I10" s="93">
        <v>2</v>
      </c>
      <c r="J10" s="91">
        <f t="shared" si="0"/>
        <v>2</v>
      </c>
    </row>
    <row r="11" spans="1:10" ht="18" x14ac:dyDescent="0.3">
      <c r="A11" s="78"/>
      <c r="B11" s="79"/>
      <c r="C11" s="79"/>
      <c r="D11" s="94" t="s">
        <v>1202</v>
      </c>
      <c r="E11" s="89"/>
      <c r="F11" s="89"/>
      <c r="G11" s="89"/>
      <c r="H11" s="89"/>
      <c r="I11" s="93">
        <v>0</v>
      </c>
      <c r="J11" s="91">
        <f t="shared" si="0"/>
        <v>0</v>
      </c>
    </row>
    <row r="12" spans="1:10" ht="18" x14ac:dyDescent="0.3">
      <c r="A12" s="78"/>
      <c r="B12" s="79"/>
      <c r="C12" s="79"/>
      <c r="D12" s="94" t="s">
        <v>1203</v>
      </c>
      <c r="E12" s="89"/>
      <c r="F12" s="89"/>
      <c r="G12" s="89"/>
      <c r="H12" s="89"/>
      <c r="I12" s="93">
        <v>0</v>
      </c>
      <c r="J12" s="91">
        <f t="shared" si="0"/>
        <v>0</v>
      </c>
    </row>
    <row r="13" spans="1:10" ht="18" x14ac:dyDescent="0.3">
      <c r="A13" s="78"/>
      <c r="B13" s="79"/>
      <c r="C13" s="79"/>
      <c r="D13" s="94" t="s">
        <v>1204</v>
      </c>
      <c r="E13" s="89"/>
      <c r="F13" s="89"/>
      <c r="G13" s="89"/>
      <c r="H13" s="89"/>
      <c r="I13" s="93">
        <v>2</v>
      </c>
      <c r="J13" s="91">
        <f t="shared" si="0"/>
        <v>2</v>
      </c>
    </row>
    <row r="14" spans="1:10" ht="18" x14ac:dyDescent="0.3">
      <c r="A14" s="78"/>
      <c r="B14" s="79"/>
      <c r="C14" s="79"/>
      <c r="D14" s="94" t="s">
        <v>1205</v>
      </c>
      <c r="E14" s="89"/>
      <c r="F14" s="89"/>
      <c r="G14" s="89"/>
      <c r="H14" s="89"/>
      <c r="I14" s="93">
        <v>1</v>
      </c>
      <c r="J14" s="91">
        <f t="shared" si="0"/>
        <v>1</v>
      </c>
    </row>
    <row r="15" spans="1:10" ht="18" x14ac:dyDescent="0.3">
      <c r="A15" s="78"/>
      <c r="B15" s="79"/>
      <c r="C15" s="79"/>
      <c r="D15" s="94"/>
      <c r="E15" s="89"/>
      <c r="F15" s="89"/>
      <c r="G15" s="89"/>
      <c r="H15" s="89"/>
      <c r="I15" s="93"/>
      <c r="J15" s="91">
        <f t="shared" si="0"/>
        <v>0</v>
      </c>
    </row>
    <row r="16" spans="1:10" ht="18" x14ac:dyDescent="0.3">
      <c r="A16" s="78"/>
      <c r="B16" s="79"/>
      <c r="C16" s="79"/>
      <c r="D16" s="94"/>
      <c r="E16" s="89"/>
      <c r="F16" s="89"/>
      <c r="G16" s="89"/>
      <c r="H16" s="89"/>
      <c r="I16" s="93"/>
      <c r="J16" s="91">
        <f t="shared" si="0"/>
        <v>0</v>
      </c>
    </row>
    <row r="17" spans="1:10" ht="18" x14ac:dyDescent="0.3">
      <c r="A17" s="78"/>
      <c r="B17" s="79"/>
      <c r="C17" s="79"/>
      <c r="D17" s="94"/>
      <c r="E17" s="89"/>
      <c r="F17" s="89"/>
      <c r="G17" s="89"/>
      <c r="H17" s="89"/>
      <c r="I17" s="93"/>
      <c r="J17" s="91">
        <f t="shared" si="0"/>
        <v>0</v>
      </c>
    </row>
    <row r="18" spans="1:10" ht="18" x14ac:dyDescent="0.3">
      <c r="A18" s="78"/>
      <c r="B18" s="79"/>
      <c r="C18" s="79"/>
      <c r="D18" s="94"/>
      <c r="E18" s="89"/>
      <c r="F18" s="89"/>
      <c r="G18" s="89"/>
      <c r="H18" s="89"/>
      <c r="I18" s="93"/>
      <c r="J18" s="91">
        <f t="shared" si="0"/>
        <v>0</v>
      </c>
    </row>
    <row r="19" spans="1:10" ht="18" x14ac:dyDescent="0.3">
      <c r="A19" s="78"/>
      <c r="B19" s="79"/>
      <c r="C19" s="79"/>
      <c r="D19" s="95"/>
      <c r="E19" s="89"/>
      <c r="F19" s="89"/>
      <c r="G19" s="89"/>
      <c r="H19" s="89"/>
      <c r="I19" s="93"/>
      <c r="J19" s="91">
        <f t="shared" si="0"/>
        <v>0</v>
      </c>
    </row>
    <row r="20" spans="1:10" ht="18" x14ac:dyDescent="0.3">
      <c r="A20" s="78"/>
      <c r="B20" s="79"/>
      <c r="C20" s="79"/>
      <c r="D20" s="88"/>
      <c r="E20" s="89"/>
      <c r="F20" s="89"/>
      <c r="G20" s="89"/>
      <c r="H20" s="89"/>
      <c r="I20" s="90"/>
      <c r="J20" s="91">
        <f t="shared" si="0"/>
        <v>0</v>
      </c>
    </row>
    <row r="21" spans="1:10" ht="18" x14ac:dyDescent="0.3">
      <c r="A21" s="78"/>
      <c r="B21" s="79"/>
      <c r="C21" s="79"/>
      <c r="D21" s="88"/>
      <c r="E21" s="89"/>
      <c r="F21" s="89"/>
      <c r="G21" s="89"/>
      <c r="H21" s="89"/>
      <c r="I21" s="90"/>
      <c r="J21" s="91">
        <f t="shared" si="0"/>
        <v>0</v>
      </c>
    </row>
    <row r="22" spans="1:10" ht="18" x14ac:dyDescent="0.3">
      <c r="A22" s="78"/>
      <c r="B22" s="79"/>
      <c r="C22" s="79"/>
      <c r="D22" s="88"/>
      <c r="E22" s="89"/>
      <c r="F22" s="89"/>
      <c r="G22" s="89"/>
      <c r="H22" s="89"/>
      <c r="I22" s="90"/>
      <c r="J22" s="91">
        <f t="shared" si="0"/>
        <v>0</v>
      </c>
    </row>
    <row r="23" spans="1:10" ht="18" x14ac:dyDescent="0.3">
      <c r="A23" s="78"/>
      <c r="B23" s="79"/>
      <c r="C23" s="79"/>
      <c r="D23" s="94"/>
      <c r="E23" s="89"/>
      <c r="F23" s="89"/>
      <c r="G23" s="89"/>
      <c r="H23" s="89"/>
      <c r="I23" s="93"/>
      <c r="J23" s="91">
        <f t="shared" si="0"/>
        <v>0</v>
      </c>
    </row>
    <row r="24" spans="1:10" ht="18" x14ac:dyDescent="0.3">
      <c r="A24" s="78"/>
      <c r="B24" s="79"/>
      <c r="C24" s="79"/>
      <c r="D24" s="94"/>
      <c r="E24" s="89"/>
      <c r="F24" s="89"/>
      <c r="G24" s="89"/>
      <c r="H24" s="89"/>
      <c r="I24" s="93"/>
      <c r="J24" s="91">
        <f t="shared" si="0"/>
        <v>0</v>
      </c>
    </row>
    <row r="25" spans="1:10" ht="18" x14ac:dyDescent="0.3">
      <c r="A25" s="78"/>
      <c r="B25" s="79"/>
      <c r="C25" s="79"/>
      <c r="D25" s="94"/>
      <c r="E25" s="89"/>
      <c r="F25" s="89"/>
      <c r="G25" s="89"/>
      <c r="H25" s="89"/>
      <c r="I25" s="93"/>
      <c r="J25" s="91">
        <f t="shared" si="0"/>
        <v>0</v>
      </c>
    </row>
    <row r="26" spans="1:10" ht="18" x14ac:dyDescent="0.3">
      <c r="A26" s="78"/>
      <c r="B26" s="79"/>
      <c r="C26" s="79"/>
      <c r="D26" s="94"/>
      <c r="E26" s="89"/>
      <c r="F26" s="89"/>
      <c r="G26" s="89"/>
      <c r="H26" s="89"/>
      <c r="I26" s="93"/>
      <c r="J26" s="91">
        <f t="shared" si="0"/>
        <v>0</v>
      </c>
    </row>
    <row r="27" spans="1:10" ht="18" x14ac:dyDescent="0.3">
      <c r="A27" s="78"/>
      <c r="B27" s="79"/>
      <c r="C27" s="79"/>
      <c r="D27" s="94"/>
      <c r="E27" s="89"/>
      <c r="F27" s="89"/>
      <c r="G27" s="89"/>
      <c r="H27" s="89"/>
      <c r="I27" s="93"/>
      <c r="J27" s="91">
        <f t="shared" si="0"/>
        <v>0</v>
      </c>
    </row>
    <row r="28" spans="1:10" ht="18" x14ac:dyDescent="0.3">
      <c r="A28" s="78"/>
      <c r="B28" s="79"/>
      <c r="C28" s="79"/>
      <c r="D28" s="94"/>
      <c r="E28" s="89"/>
      <c r="F28" s="89"/>
      <c r="G28" s="89"/>
      <c r="H28" s="89"/>
      <c r="I28" s="93"/>
      <c r="J28" s="91">
        <f t="shared" si="0"/>
        <v>0</v>
      </c>
    </row>
    <row r="29" spans="1:10" ht="18" x14ac:dyDescent="0.3">
      <c r="A29" s="78"/>
      <c r="B29" s="79"/>
      <c r="C29" s="79"/>
      <c r="D29" s="94"/>
      <c r="E29" s="89"/>
      <c r="F29" s="89"/>
      <c r="G29" s="89"/>
      <c r="H29" s="89"/>
      <c r="I29" s="93"/>
      <c r="J29" s="91">
        <f t="shared" si="0"/>
        <v>0</v>
      </c>
    </row>
    <row r="30" spans="1:10" ht="18" x14ac:dyDescent="0.3">
      <c r="A30" s="78"/>
      <c r="B30" s="79"/>
      <c r="C30" s="79"/>
      <c r="D30" s="94"/>
      <c r="E30" s="89"/>
      <c r="F30" s="89"/>
      <c r="G30" s="89"/>
      <c r="H30" s="89"/>
      <c r="I30" s="93"/>
      <c r="J30" s="91">
        <f t="shared" si="0"/>
        <v>0</v>
      </c>
    </row>
    <row r="31" spans="1:10" ht="18" x14ac:dyDescent="0.3">
      <c r="A31" s="78"/>
      <c r="B31" s="79"/>
      <c r="C31" s="79"/>
      <c r="D31" s="94"/>
      <c r="E31" s="89"/>
      <c r="F31" s="89"/>
      <c r="G31" s="89"/>
      <c r="H31" s="89"/>
      <c r="I31" s="93"/>
      <c r="J31" s="91">
        <f t="shared" si="0"/>
        <v>0</v>
      </c>
    </row>
    <row r="32" spans="1:10" ht="18" x14ac:dyDescent="0.3">
      <c r="A32" s="78"/>
      <c r="B32" s="79"/>
      <c r="C32" s="79"/>
      <c r="D32" s="94"/>
      <c r="E32" s="89"/>
      <c r="F32" s="89"/>
      <c r="G32" s="89"/>
      <c r="H32" s="89"/>
      <c r="I32" s="93"/>
      <c r="J32" s="91">
        <f t="shared" si="0"/>
        <v>0</v>
      </c>
    </row>
    <row r="33" spans="1:13" ht="18" x14ac:dyDescent="0.3">
      <c r="A33" s="78"/>
      <c r="B33" s="79"/>
      <c r="C33" s="79"/>
      <c r="D33" s="94"/>
      <c r="E33" s="89"/>
      <c r="F33" s="89"/>
      <c r="G33" s="89"/>
      <c r="H33" s="89"/>
      <c r="I33" s="93"/>
      <c r="J33" s="91">
        <f t="shared" si="0"/>
        <v>0</v>
      </c>
    </row>
    <row r="34" spans="1:13" ht="18" x14ac:dyDescent="0.3">
      <c r="A34" s="78"/>
      <c r="B34" s="79"/>
      <c r="C34" s="79"/>
      <c r="D34" s="94"/>
      <c r="E34" s="89"/>
      <c r="F34" s="89"/>
      <c r="G34" s="89"/>
      <c r="H34" s="89"/>
      <c r="I34" s="93"/>
      <c r="J34" s="91">
        <f t="shared" si="0"/>
        <v>0</v>
      </c>
    </row>
    <row r="35" spans="1:13" ht="18" x14ac:dyDescent="0.3">
      <c r="A35" s="78"/>
      <c r="B35" s="79"/>
      <c r="C35" s="79"/>
      <c r="D35" s="94"/>
      <c r="E35" s="89"/>
      <c r="F35" s="89"/>
      <c r="G35" s="89"/>
      <c r="H35" s="89"/>
      <c r="I35" s="93"/>
      <c r="J35" s="91">
        <f t="shared" si="0"/>
        <v>0</v>
      </c>
    </row>
    <row r="36" spans="1:13" ht="18" x14ac:dyDescent="0.3">
      <c r="A36" s="78"/>
      <c r="B36" s="79"/>
      <c r="C36" s="79"/>
      <c r="D36" s="94"/>
      <c r="E36" s="89"/>
      <c r="F36" s="89"/>
      <c r="G36" s="89"/>
      <c r="H36" s="89"/>
      <c r="I36" s="93"/>
      <c r="J36" s="91">
        <f t="shared" si="0"/>
        <v>0</v>
      </c>
    </row>
    <row r="37" spans="1:13" ht="18" x14ac:dyDescent="0.3">
      <c r="A37" s="78"/>
      <c r="B37" s="79"/>
      <c r="C37" s="79"/>
      <c r="D37" s="94"/>
      <c r="E37" s="89"/>
      <c r="F37" s="89"/>
      <c r="G37" s="89"/>
      <c r="H37" s="89"/>
      <c r="I37" s="93"/>
      <c r="J37" s="91">
        <f t="shared" si="0"/>
        <v>0</v>
      </c>
    </row>
    <row r="38" spans="1:13" ht="18" x14ac:dyDescent="0.3">
      <c r="A38" s="78"/>
      <c r="B38" s="79"/>
      <c r="C38" s="79"/>
      <c r="D38" s="94"/>
      <c r="E38" s="89"/>
      <c r="F38" s="89"/>
      <c r="G38" s="89"/>
      <c r="H38" s="89"/>
      <c r="I38" s="93"/>
      <c r="J38" s="91">
        <f t="shared" si="0"/>
        <v>0</v>
      </c>
    </row>
    <row r="39" spans="1:13" ht="18" x14ac:dyDescent="0.3">
      <c r="A39" s="78"/>
      <c r="B39" s="79"/>
      <c r="C39" s="79"/>
      <c r="D39" s="94"/>
      <c r="E39" s="89"/>
      <c r="F39" s="89"/>
      <c r="G39" s="89"/>
      <c r="H39" s="89"/>
      <c r="I39" s="93"/>
      <c r="J39" s="91">
        <f t="shared" si="0"/>
        <v>0</v>
      </c>
    </row>
    <row r="40" spans="1:13" ht="18" x14ac:dyDescent="0.3">
      <c r="A40" s="78"/>
      <c r="B40" s="79"/>
      <c r="C40" s="79"/>
      <c r="D40" s="94"/>
      <c r="E40" s="89"/>
      <c r="F40" s="89"/>
      <c r="G40" s="92"/>
      <c r="H40" s="89"/>
      <c r="I40" s="93"/>
      <c r="J40" s="91"/>
    </row>
    <row r="41" spans="1:13" ht="18" x14ac:dyDescent="0.3">
      <c r="A41" s="78"/>
      <c r="B41" s="79"/>
      <c r="C41" s="79"/>
      <c r="D41" s="94"/>
      <c r="E41" s="89"/>
      <c r="F41" s="89"/>
      <c r="G41" s="92"/>
      <c r="H41" s="89"/>
      <c r="I41" s="93"/>
      <c r="J41" s="91"/>
    </row>
    <row r="42" spans="1:13" ht="18" x14ac:dyDescent="0.3">
      <c r="A42" s="78"/>
      <c r="B42" s="79"/>
      <c r="C42" s="79"/>
      <c r="D42" s="94"/>
      <c r="E42" s="89"/>
      <c r="F42" s="89"/>
      <c r="G42" s="92"/>
      <c r="H42" s="89"/>
      <c r="I42" s="93"/>
      <c r="J42" s="91"/>
    </row>
    <row r="43" spans="1:13" ht="18" x14ac:dyDescent="0.3">
      <c r="A43" s="78"/>
      <c r="B43" s="79"/>
      <c r="C43" s="79"/>
      <c r="D43" s="94"/>
      <c r="E43" s="89"/>
      <c r="F43" s="89"/>
      <c r="G43" s="92"/>
      <c r="H43" s="89"/>
      <c r="I43" s="93"/>
      <c r="J43" s="91"/>
    </row>
    <row r="44" spans="1:13" ht="18" x14ac:dyDescent="0.3">
      <c r="A44" s="78"/>
      <c r="B44" s="79"/>
      <c r="C44" s="79"/>
      <c r="D44" s="94"/>
      <c r="E44" s="89"/>
      <c r="F44" s="89"/>
      <c r="G44" s="92"/>
      <c r="H44" s="89"/>
      <c r="I44" s="93"/>
      <c r="J44" s="91"/>
    </row>
    <row r="45" spans="1:13" ht="18" x14ac:dyDescent="0.3">
      <c r="A45" s="78"/>
      <c r="B45" s="79"/>
      <c r="C45" s="79"/>
      <c r="D45" s="95"/>
      <c r="E45" s="89"/>
      <c r="F45" s="89"/>
      <c r="G45" s="92"/>
      <c r="H45" s="89"/>
      <c r="I45" s="93"/>
      <c r="J45" s="91">
        <f t="shared" si="0"/>
        <v>0</v>
      </c>
    </row>
    <row r="46" spans="1:13" ht="18.75" thickBot="1" x14ac:dyDescent="0.35">
      <c r="A46" s="78"/>
      <c r="B46" s="79"/>
      <c r="C46" s="79"/>
      <c r="D46" s="96"/>
      <c r="E46" s="97"/>
      <c r="F46" s="97"/>
      <c r="G46" s="98"/>
      <c r="H46" s="97"/>
      <c r="I46" s="99"/>
      <c r="J46" s="100">
        <f t="shared" si="0"/>
        <v>0</v>
      </c>
      <c r="M46" s="105">
        <f>J47/1.5</f>
        <v>14</v>
      </c>
    </row>
    <row r="47" spans="1:13" ht="21" thickBot="1" x14ac:dyDescent="0.35">
      <c r="A47" s="78"/>
      <c r="B47" s="79"/>
      <c r="C47" s="79"/>
      <c r="D47" s="933" t="s">
        <v>10</v>
      </c>
      <c r="E47" s="934"/>
      <c r="F47" s="934"/>
      <c r="G47" s="934"/>
      <c r="H47" s="934"/>
      <c r="I47" s="935"/>
      <c r="J47" s="102">
        <f>ROUND(SUM(J8:J46),2)</f>
        <v>21</v>
      </c>
    </row>
    <row r="48" spans="1:13" ht="21" thickBot="1" x14ac:dyDescent="0.35">
      <c r="A48" s="78"/>
      <c r="B48" s="79"/>
      <c r="C48" s="79"/>
      <c r="D48" s="933" t="s">
        <v>1127</v>
      </c>
      <c r="E48" s="934"/>
      <c r="F48" s="934"/>
      <c r="G48" s="934"/>
      <c r="H48" s="934"/>
      <c r="I48" s="935"/>
      <c r="J48" s="103"/>
    </row>
    <row r="49" spans="1:10" ht="21" thickBot="1" x14ac:dyDescent="0.35">
      <c r="A49" s="78"/>
      <c r="B49" s="79"/>
      <c r="C49" s="101"/>
      <c r="D49" s="933" t="s">
        <v>1128</v>
      </c>
      <c r="E49" s="934"/>
      <c r="F49" s="934"/>
      <c r="G49" s="934"/>
      <c r="H49" s="934"/>
      <c r="I49" s="935"/>
      <c r="J49" s="104">
        <f>+J47-J48</f>
        <v>21</v>
      </c>
    </row>
    <row r="50" spans="1:10" ht="21" thickBot="1" x14ac:dyDescent="0.35">
      <c r="A50" s="936" t="s">
        <v>1129</v>
      </c>
      <c r="B50" s="937"/>
      <c r="C50" s="938"/>
      <c r="D50" s="939" t="s">
        <v>1130</v>
      </c>
      <c r="E50" s="940"/>
      <c r="F50" s="940"/>
      <c r="G50" s="940"/>
      <c r="H50" s="940"/>
      <c r="I50" s="940"/>
      <c r="J50" s="941"/>
    </row>
    <row r="51" spans="1:10" ht="38.25" customHeight="1" thickBot="1" x14ac:dyDescent="0.35">
      <c r="A51" s="942" t="str">
        <f>PPTO!G3</f>
        <v>JUNIO DE 2026</v>
      </c>
      <c r="B51" s="943"/>
      <c r="C51" s="944"/>
      <c r="D51" s="921"/>
      <c r="E51" s="922"/>
      <c r="F51" s="922"/>
      <c r="G51" s="922"/>
      <c r="H51" s="922"/>
      <c r="I51" s="922"/>
      <c r="J51" s="923"/>
    </row>
    <row r="52" spans="1:10" ht="19.5" thickBot="1" x14ac:dyDescent="0.35">
      <c r="A52" s="918"/>
      <c r="B52" s="919"/>
      <c r="C52" s="920"/>
      <c r="D52" s="921" t="s">
        <v>1131</v>
      </c>
      <c r="E52" s="922"/>
      <c r="F52" s="922"/>
      <c r="G52" s="922"/>
      <c r="H52" s="922"/>
      <c r="I52" s="922"/>
      <c r="J52" s="923"/>
    </row>
  </sheetData>
  <mergeCells count="19">
    <mergeCell ref="A52:C52"/>
    <mergeCell ref="D52:J52"/>
    <mergeCell ref="D6:D7"/>
    <mergeCell ref="E6:G6"/>
    <mergeCell ref="I6:I7"/>
    <mergeCell ref="J6:J7"/>
    <mergeCell ref="D47:I47"/>
    <mergeCell ref="D48:I48"/>
    <mergeCell ref="D49:I49"/>
    <mergeCell ref="A50:C50"/>
    <mergeCell ref="D50:J50"/>
    <mergeCell ref="A51:C51"/>
    <mergeCell ref="D51:J51"/>
    <mergeCell ref="A2:J2"/>
    <mergeCell ref="A3:J3"/>
    <mergeCell ref="A4:J4"/>
    <mergeCell ref="C5:D5"/>
    <mergeCell ref="G5:H5"/>
    <mergeCell ref="I5:J5"/>
  </mergeCells>
  <conditionalFormatting sqref="J8:J46">
    <cfRule type="cellIs" dxfId="41" priority="1" operator="equal">
      <formula>0</formula>
    </cfRule>
  </conditionalFormatting>
  <pageMargins left="0.7" right="0.7" top="0.75" bottom="0.75" header="0.3" footer="0.3"/>
  <pageSetup scale="50" orientation="landscape"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90DF7D-C507-49A8-8172-C07D2ECCB00F}">
  <sheetPr>
    <tabColor rgb="FF92D050"/>
    <pageSetUpPr fitToPage="1"/>
  </sheetPr>
  <dimension ref="A1:M52"/>
  <sheetViews>
    <sheetView showOutlineSymbols="0" view="pageBreakPreview" zoomScale="60" zoomScaleNormal="70" workbookViewId="0">
      <selection activeCell="C11" sqref="C11"/>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05.75" customHeight="1" thickBot="1" x14ac:dyDescent="0.35">
      <c r="A5" s="72" t="s">
        <v>5</v>
      </c>
      <c r="B5" s="73">
        <v>6.4</v>
      </c>
      <c r="C5" s="913" t="str">
        <f>+VLOOKUP(B5,PPTO!B8:G94,2,FALSE)</f>
        <v>Suministro, transporte e instalación de salida eléctrica para toma 3x30A p/t. en  PVC 3/4", caja y accesorios, alambre de cobre THHN-AWG #10+12,  según cuadro de cargas y notas en planos. Toma levinton.</v>
      </c>
      <c r="D5" s="914"/>
      <c r="E5" s="72" t="s">
        <v>7</v>
      </c>
      <c r="F5" s="74" t="str">
        <f>+VLOOKUP(B5,PPTO!B8:G94,3,FALSE)</f>
        <v>UN</v>
      </c>
      <c r="G5" s="915" t="s">
        <v>1120</v>
      </c>
      <c r="H5" s="915"/>
      <c r="I5" s="916">
        <f>+VLOOKUP(B5,PPTO!B8:G94,5,FALSE)</f>
        <v>115051.66368249562</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8" x14ac:dyDescent="0.3">
      <c r="A8" s="78"/>
      <c r="B8" s="79"/>
      <c r="C8" s="79"/>
      <c r="D8" s="88"/>
      <c r="E8" s="89"/>
      <c r="F8" s="89"/>
      <c r="G8" s="89"/>
      <c r="H8" s="89"/>
      <c r="I8" s="90"/>
      <c r="J8" s="87">
        <f>+PRODUCT(E8:I8)</f>
        <v>0</v>
      </c>
    </row>
    <row r="9" spans="1:10" ht="18" x14ac:dyDescent="0.3">
      <c r="A9" s="78"/>
      <c r="B9" s="79"/>
      <c r="C9" s="79"/>
      <c r="D9" s="94" t="s">
        <v>1209</v>
      </c>
      <c r="E9" s="89"/>
      <c r="F9" s="89"/>
      <c r="G9" s="89"/>
      <c r="H9" s="89"/>
      <c r="I9" s="93">
        <v>1</v>
      </c>
      <c r="J9" s="91">
        <f t="shared" ref="J9:J46" si="0">+PRODUCT(E9:I9)</f>
        <v>1</v>
      </c>
    </row>
    <row r="10" spans="1:10" ht="18" x14ac:dyDescent="0.3">
      <c r="A10" s="78"/>
      <c r="B10" s="79"/>
      <c r="C10" s="79"/>
      <c r="D10" s="94" t="s">
        <v>1210</v>
      </c>
      <c r="E10" s="89"/>
      <c r="F10" s="89"/>
      <c r="G10" s="89"/>
      <c r="H10" s="89"/>
      <c r="I10" s="93">
        <v>1</v>
      </c>
      <c r="J10" s="91">
        <f t="shared" si="0"/>
        <v>1</v>
      </c>
    </row>
    <row r="11" spans="1:10" ht="18" x14ac:dyDescent="0.3">
      <c r="A11" s="78"/>
      <c r="B11" s="79"/>
      <c r="C11" s="79"/>
      <c r="D11" s="94" t="s">
        <v>1211</v>
      </c>
      <c r="E11" s="89"/>
      <c r="F11" s="89"/>
      <c r="G11" s="89"/>
      <c r="H11" s="89"/>
      <c r="I11" s="93">
        <v>7</v>
      </c>
      <c r="J11" s="91">
        <f t="shared" si="0"/>
        <v>7</v>
      </c>
    </row>
    <row r="12" spans="1:10" ht="18" x14ac:dyDescent="0.3">
      <c r="A12" s="78"/>
      <c r="B12" s="79"/>
      <c r="C12" s="79"/>
      <c r="D12" s="94"/>
      <c r="E12" s="89"/>
      <c r="F12" s="89"/>
      <c r="G12" s="89"/>
      <c r="H12" s="89"/>
      <c r="I12" s="93"/>
      <c r="J12" s="91">
        <f t="shared" si="0"/>
        <v>0</v>
      </c>
    </row>
    <row r="13" spans="1:10" ht="18" x14ac:dyDescent="0.3">
      <c r="A13" s="78"/>
      <c r="B13" s="79"/>
      <c r="C13" s="79"/>
      <c r="D13" s="94"/>
      <c r="E13" s="89"/>
      <c r="F13" s="89"/>
      <c r="G13" s="89"/>
      <c r="H13" s="89"/>
      <c r="I13" s="93"/>
      <c r="J13" s="91">
        <f t="shared" si="0"/>
        <v>0</v>
      </c>
    </row>
    <row r="14" spans="1:10" ht="18" x14ac:dyDescent="0.3">
      <c r="A14" s="78"/>
      <c r="B14" s="79"/>
      <c r="C14" s="79"/>
      <c r="D14" s="94"/>
      <c r="E14" s="89"/>
      <c r="F14" s="89"/>
      <c r="G14" s="89"/>
      <c r="H14" s="89"/>
      <c r="I14" s="93"/>
      <c r="J14" s="91">
        <f t="shared" si="0"/>
        <v>0</v>
      </c>
    </row>
    <row r="15" spans="1:10" ht="18" x14ac:dyDescent="0.3">
      <c r="A15" s="78"/>
      <c r="B15" s="79"/>
      <c r="C15" s="79"/>
      <c r="D15" s="94"/>
      <c r="E15" s="89"/>
      <c r="F15" s="89"/>
      <c r="G15" s="89"/>
      <c r="H15" s="89"/>
      <c r="I15" s="93"/>
      <c r="J15" s="91">
        <f t="shared" si="0"/>
        <v>0</v>
      </c>
    </row>
    <row r="16" spans="1:10" ht="18" x14ac:dyDescent="0.3">
      <c r="A16" s="78"/>
      <c r="B16" s="79"/>
      <c r="C16" s="79"/>
      <c r="D16" s="94"/>
      <c r="E16" s="89"/>
      <c r="F16" s="89"/>
      <c r="G16" s="89"/>
      <c r="H16" s="89"/>
      <c r="I16" s="93"/>
      <c r="J16" s="91">
        <f t="shared" si="0"/>
        <v>0</v>
      </c>
    </row>
    <row r="17" spans="1:10" ht="18" x14ac:dyDescent="0.3">
      <c r="A17" s="78"/>
      <c r="B17" s="79"/>
      <c r="C17" s="79"/>
      <c r="D17" s="94"/>
      <c r="E17" s="89"/>
      <c r="F17" s="89"/>
      <c r="G17" s="89"/>
      <c r="H17" s="89"/>
      <c r="I17" s="93"/>
      <c r="J17" s="91">
        <f t="shared" si="0"/>
        <v>0</v>
      </c>
    </row>
    <row r="18" spans="1:10" ht="18" x14ac:dyDescent="0.3">
      <c r="A18" s="78"/>
      <c r="B18" s="79"/>
      <c r="C18" s="79"/>
      <c r="D18" s="94"/>
      <c r="E18" s="89"/>
      <c r="F18" s="89"/>
      <c r="G18" s="89"/>
      <c r="H18" s="89"/>
      <c r="I18" s="93"/>
      <c r="J18" s="91">
        <f t="shared" si="0"/>
        <v>0</v>
      </c>
    </row>
    <row r="19" spans="1:10" ht="18" x14ac:dyDescent="0.3">
      <c r="A19" s="78"/>
      <c r="B19" s="79"/>
      <c r="C19" s="79"/>
      <c r="D19" s="95"/>
      <c r="E19" s="89"/>
      <c r="F19" s="89"/>
      <c r="G19" s="89"/>
      <c r="H19" s="89"/>
      <c r="I19" s="93"/>
      <c r="J19" s="91">
        <f t="shared" si="0"/>
        <v>0</v>
      </c>
    </row>
    <row r="20" spans="1:10" ht="18" x14ac:dyDescent="0.3">
      <c r="A20" s="78"/>
      <c r="B20" s="79"/>
      <c r="C20" s="79"/>
      <c r="D20" s="88"/>
      <c r="E20" s="89"/>
      <c r="F20" s="89"/>
      <c r="G20" s="89"/>
      <c r="H20" s="89"/>
      <c r="I20" s="90"/>
      <c r="J20" s="91">
        <f t="shared" si="0"/>
        <v>0</v>
      </c>
    </row>
    <row r="21" spans="1:10" ht="18" x14ac:dyDescent="0.3">
      <c r="A21" s="78"/>
      <c r="B21" s="79"/>
      <c r="C21" s="79"/>
      <c r="D21" s="88"/>
      <c r="E21" s="89"/>
      <c r="F21" s="89"/>
      <c r="G21" s="89"/>
      <c r="H21" s="89"/>
      <c r="I21" s="90"/>
      <c r="J21" s="91">
        <f t="shared" si="0"/>
        <v>0</v>
      </c>
    </row>
    <row r="22" spans="1:10" ht="18" x14ac:dyDescent="0.3">
      <c r="A22" s="78"/>
      <c r="B22" s="79"/>
      <c r="C22" s="79"/>
      <c r="D22" s="88"/>
      <c r="E22" s="89"/>
      <c r="F22" s="89"/>
      <c r="G22" s="89"/>
      <c r="H22" s="89"/>
      <c r="I22" s="90"/>
      <c r="J22" s="91">
        <f t="shared" si="0"/>
        <v>0</v>
      </c>
    </row>
    <row r="23" spans="1:10" ht="18" x14ac:dyDescent="0.3">
      <c r="A23" s="78"/>
      <c r="B23" s="79"/>
      <c r="C23" s="79"/>
      <c r="D23" s="94"/>
      <c r="E23" s="89"/>
      <c r="F23" s="89"/>
      <c r="G23" s="89"/>
      <c r="H23" s="89"/>
      <c r="I23" s="93"/>
      <c r="J23" s="91">
        <f t="shared" si="0"/>
        <v>0</v>
      </c>
    </row>
    <row r="24" spans="1:10" ht="18" x14ac:dyDescent="0.3">
      <c r="A24" s="78"/>
      <c r="B24" s="79"/>
      <c r="C24" s="79"/>
      <c r="D24" s="94"/>
      <c r="E24" s="89"/>
      <c r="F24" s="89"/>
      <c r="G24" s="89"/>
      <c r="H24" s="89"/>
      <c r="I24" s="93"/>
      <c r="J24" s="91">
        <f t="shared" si="0"/>
        <v>0</v>
      </c>
    </row>
    <row r="25" spans="1:10" ht="18" x14ac:dyDescent="0.3">
      <c r="A25" s="78"/>
      <c r="B25" s="79"/>
      <c r="C25" s="79"/>
      <c r="D25" s="94"/>
      <c r="E25" s="89"/>
      <c r="F25" s="89"/>
      <c r="G25" s="89"/>
      <c r="H25" s="89"/>
      <c r="I25" s="93"/>
      <c r="J25" s="91">
        <f t="shared" si="0"/>
        <v>0</v>
      </c>
    </row>
    <row r="26" spans="1:10" ht="18" x14ac:dyDescent="0.3">
      <c r="A26" s="78"/>
      <c r="B26" s="79"/>
      <c r="C26" s="79"/>
      <c r="D26" s="94"/>
      <c r="E26" s="89"/>
      <c r="F26" s="89"/>
      <c r="G26" s="89"/>
      <c r="H26" s="89"/>
      <c r="I26" s="93"/>
      <c r="J26" s="91">
        <f t="shared" si="0"/>
        <v>0</v>
      </c>
    </row>
    <row r="27" spans="1:10" ht="18" x14ac:dyDescent="0.3">
      <c r="A27" s="78"/>
      <c r="B27" s="79"/>
      <c r="C27" s="79"/>
      <c r="D27" s="94"/>
      <c r="E27" s="89"/>
      <c r="F27" s="89"/>
      <c r="G27" s="89"/>
      <c r="H27" s="89"/>
      <c r="I27" s="93"/>
      <c r="J27" s="91">
        <f t="shared" si="0"/>
        <v>0</v>
      </c>
    </row>
    <row r="28" spans="1:10" ht="18" x14ac:dyDescent="0.3">
      <c r="A28" s="78"/>
      <c r="B28" s="79"/>
      <c r="C28" s="79"/>
      <c r="D28" s="94"/>
      <c r="E28" s="89"/>
      <c r="F28" s="89"/>
      <c r="G28" s="89"/>
      <c r="H28" s="89"/>
      <c r="I28" s="93"/>
      <c r="J28" s="91">
        <f t="shared" si="0"/>
        <v>0</v>
      </c>
    </row>
    <row r="29" spans="1:10" ht="18" x14ac:dyDescent="0.3">
      <c r="A29" s="78"/>
      <c r="B29" s="79"/>
      <c r="C29" s="79"/>
      <c r="D29" s="94"/>
      <c r="E29" s="89"/>
      <c r="F29" s="89"/>
      <c r="G29" s="89"/>
      <c r="H29" s="89"/>
      <c r="I29" s="93"/>
      <c r="J29" s="91">
        <f t="shared" si="0"/>
        <v>0</v>
      </c>
    </row>
    <row r="30" spans="1:10" ht="18" x14ac:dyDescent="0.3">
      <c r="A30" s="78"/>
      <c r="B30" s="79"/>
      <c r="C30" s="79"/>
      <c r="D30" s="94"/>
      <c r="E30" s="89"/>
      <c r="F30" s="89"/>
      <c r="G30" s="89"/>
      <c r="H30" s="89"/>
      <c r="I30" s="93"/>
      <c r="J30" s="91">
        <f t="shared" si="0"/>
        <v>0</v>
      </c>
    </row>
    <row r="31" spans="1:10" ht="18" x14ac:dyDescent="0.3">
      <c r="A31" s="78"/>
      <c r="B31" s="79"/>
      <c r="C31" s="79"/>
      <c r="D31" s="94"/>
      <c r="E31" s="89"/>
      <c r="F31" s="89"/>
      <c r="G31" s="89"/>
      <c r="H31" s="89"/>
      <c r="I31" s="93"/>
      <c r="J31" s="91">
        <f t="shared" si="0"/>
        <v>0</v>
      </c>
    </row>
    <row r="32" spans="1:10" ht="18" x14ac:dyDescent="0.3">
      <c r="A32" s="78"/>
      <c r="B32" s="79"/>
      <c r="C32" s="79"/>
      <c r="D32" s="94"/>
      <c r="E32" s="89"/>
      <c r="F32" s="89"/>
      <c r="G32" s="89"/>
      <c r="H32" s="89"/>
      <c r="I32" s="93"/>
      <c r="J32" s="91">
        <f t="shared" si="0"/>
        <v>0</v>
      </c>
    </row>
    <row r="33" spans="1:13" ht="18" x14ac:dyDescent="0.3">
      <c r="A33" s="78"/>
      <c r="B33" s="79"/>
      <c r="C33" s="79"/>
      <c r="D33" s="94"/>
      <c r="E33" s="89"/>
      <c r="F33" s="89"/>
      <c r="G33" s="89"/>
      <c r="H33" s="89"/>
      <c r="I33" s="93"/>
      <c r="J33" s="91">
        <f t="shared" si="0"/>
        <v>0</v>
      </c>
    </row>
    <row r="34" spans="1:13" ht="18" x14ac:dyDescent="0.3">
      <c r="A34" s="78"/>
      <c r="B34" s="79"/>
      <c r="C34" s="79"/>
      <c r="D34" s="94"/>
      <c r="E34" s="89"/>
      <c r="F34" s="89"/>
      <c r="G34" s="89"/>
      <c r="H34" s="89"/>
      <c r="I34" s="93"/>
      <c r="J34" s="91">
        <f t="shared" si="0"/>
        <v>0</v>
      </c>
    </row>
    <row r="35" spans="1:13" ht="18" x14ac:dyDescent="0.3">
      <c r="A35" s="78"/>
      <c r="B35" s="79"/>
      <c r="C35" s="79"/>
      <c r="D35" s="94"/>
      <c r="E35" s="89"/>
      <c r="F35" s="89"/>
      <c r="G35" s="89"/>
      <c r="H35" s="89"/>
      <c r="I35" s="93"/>
      <c r="J35" s="91">
        <f t="shared" si="0"/>
        <v>0</v>
      </c>
    </row>
    <row r="36" spans="1:13" ht="18" x14ac:dyDescent="0.3">
      <c r="A36" s="78"/>
      <c r="B36" s="79"/>
      <c r="C36" s="79"/>
      <c r="D36" s="94"/>
      <c r="E36" s="89"/>
      <c r="F36" s="89"/>
      <c r="G36" s="89"/>
      <c r="H36" s="89"/>
      <c r="I36" s="93"/>
      <c r="J36" s="91">
        <f t="shared" si="0"/>
        <v>0</v>
      </c>
    </row>
    <row r="37" spans="1:13" ht="18" x14ac:dyDescent="0.3">
      <c r="A37" s="78"/>
      <c r="B37" s="79"/>
      <c r="C37" s="79"/>
      <c r="D37" s="94"/>
      <c r="E37" s="89"/>
      <c r="F37" s="89"/>
      <c r="G37" s="89"/>
      <c r="H37" s="89"/>
      <c r="I37" s="93"/>
      <c r="J37" s="91">
        <f t="shared" si="0"/>
        <v>0</v>
      </c>
    </row>
    <row r="38" spans="1:13" ht="18" x14ac:dyDescent="0.3">
      <c r="A38" s="78"/>
      <c r="B38" s="79"/>
      <c r="C38" s="79"/>
      <c r="D38" s="94"/>
      <c r="E38" s="89"/>
      <c r="F38" s="89"/>
      <c r="G38" s="89"/>
      <c r="H38" s="89"/>
      <c r="I38" s="93"/>
      <c r="J38" s="91">
        <f t="shared" si="0"/>
        <v>0</v>
      </c>
    </row>
    <row r="39" spans="1:13" ht="18" x14ac:dyDescent="0.3">
      <c r="A39" s="78"/>
      <c r="B39" s="79"/>
      <c r="C39" s="79"/>
      <c r="D39" s="94"/>
      <c r="E39" s="89"/>
      <c r="F39" s="89"/>
      <c r="G39" s="89"/>
      <c r="H39" s="89"/>
      <c r="I39" s="93"/>
      <c r="J39" s="91">
        <f t="shared" si="0"/>
        <v>0</v>
      </c>
    </row>
    <row r="40" spans="1:13" ht="18" x14ac:dyDescent="0.3">
      <c r="A40" s="78"/>
      <c r="B40" s="79"/>
      <c r="C40" s="79"/>
      <c r="D40" s="94"/>
      <c r="E40" s="89"/>
      <c r="F40" s="89"/>
      <c r="G40" s="92"/>
      <c r="H40" s="89"/>
      <c r="I40" s="93"/>
      <c r="J40" s="91"/>
    </row>
    <row r="41" spans="1:13" ht="18" x14ac:dyDescent="0.3">
      <c r="A41" s="78"/>
      <c r="B41" s="79"/>
      <c r="C41" s="79"/>
      <c r="D41" s="94"/>
      <c r="E41" s="89"/>
      <c r="F41" s="89"/>
      <c r="G41" s="92"/>
      <c r="H41" s="89"/>
      <c r="I41" s="93"/>
      <c r="J41" s="91"/>
    </row>
    <row r="42" spans="1:13" ht="18" x14ac:dyDescent="0.3">
      <c r="A42" s="78"/>
      <c r="B42" s="79"/>
      <c r="C42" s="79"/>
      <c r="D42" s="94"/>
      <c r="E42" s="89"/>
      <c r="F42" s="89"/>
      <c r="G42" s="92"/>
      <c r="H42" s="89"/>
      <c r="I42" s="93"/>
      <c r="J42" s="91"/>
    </row>
    <row r="43" spans="1:13" ht="18" x14ac:dyDescent="0.3">
      <c r="A43" s="78"/>
      <c r="B43" s="79"/>
      <c r="C43" s="79"/>
      <c r="D43" s="94"/>
      <c r="E43" s="89"/>
      <c r="F43" s="89"/>
      <c r="G43" s="92"/>
      <c r="H43" s="89"/>
      <c r="I43" s="93"/>
      <c r="J43" s="91"/>
    </row>
    <row r="44" spans="1:13" ht="18" x14ac:dyDescent="0.3">
      <c r="A44" s="78"/>
      <c r="B44" s="79"/>
      <c r="C44" s="79"/>
      <c r="D44" s="94"/>
      <c r="E44" s="89"/>
      <c r="F44" s="89"/>
      <c r="G44" s="92"/>
      <c r="H44" s="89"/>
      <c r="I44" s="93"/>
      <c r="J44" s="91"/>
    </row>
    <row r="45" spans="1:13" ht="18" x14ac:dyDescent="0.3">
      <c r="A45" s="78"/>
      <c r="B45" s="79"/>
      <c r="C45" s="79"/>
      <c r="D45" s="95"/>
      <c r="E45" s="89"/>
      <c r="F45" s="89"/>
      <c r="G45" s="92"/>
      <c r="H45" s="89"/>
      <c r="I45" s="93"/>
      <c r="J45" s="91">
        <f t="shared" si="0"/>
        <v>0</v>
      </c>
    </row>
    <row r="46" spans="1:13" ht="18.75" thickBot="1" x14ac:dyDescent="0.35">
      <c r="A46" s="78"/>
      <c r="B46" s="79"/>
      <c r="C46" s="79"/>
      <c r="D46" s="96"/>
      <c r="E46" s="97"/>
      <c r="F46" s="97"/>
      <c r="G46" s="98"/>
      <c r="H46" s="97"/>
      <c r="I46" s="99"/>
      <c r="J46" s="100">
        <f t="shared" si="0"/>
        <v>0</v>
      </c>
      <c r="M46" s="105">
        <f>J47/1.5</f>
        <v>6</v>
      </c>
    </row>
    <row r="47" spans="1:13" ht="21" thickBot="1" x14ac:dyDescent="0.35">
      <c r="A47" s="78"/>
      <c r="B47" s="79"/>
      <c r="C47" s="79"/>
      <c r="D47" s="933" t="s">
        <v>10</v>
      </c>
      <c r="E47" s="934"/>
      <c r="F47" s="934"/>
      <c r="G47" s="934"/>
      <c r="H47" s="934"/>
      <c r="I47" s="935"/>
      <c r="J47" s="102">
        <f>ROUND(SUM(J8:J46),2)</f>
        <v>9</v>
      </c>
    </row>
    <row r="48" spans="1:13" ht="21" thickBot="1" x14ac:dyDescent="0.35">
      <c r="A48" s="78"/>
      <c r="B48" s="79"/>
      <c r="C48" s="79"/>
      <c r="D48" s="933" t="s">
        <v>1127</v>
      </c>
      <c r="E48" s="934"/>
      <c r="F48" s="934"/>
      <c r="G48" s="934"/>
      <c r="H48" s="934"/>
      <c r="I48" s="935"/>
      <c r="J48" s="103"/>
    </row>
    <row r="49" spans="1:10" ht="21" thickBot="1" x14ac:dyDescent="0.35">
      <c r="A49" s="78"/>
      <c r="B49" s="79"/>
      <c r="C49" s="101"/>
      <c r="D49" s="933" t="s">
        <v>1128</v>
      </c>
      <c r="E49" s="934"/>
      <c r="F49" s="934"/>
      <c r="G49" s="934"/>
      <c r="H49" s="934"/>
      <c r="I49" s="935"/>
      <c r="J49" s="104">
        <f>+J47-J48</f>
        <v>9</v>
      </c>
    </row>
    <row r="50" spans="1:10" ht="21" thickBot="1" x14ac:dyDescent="0.35">
      <c r="A50" s="936" t="s">
        <v>1129</v>
      </c>
      <c r="B50" s="937"/>
      <c r="C50" s="938"/>
      <c r="D50" s="939" t="s">
        <v>1130</v>
      </c>
      <c r="E50" s="940"/>
      <c r="F50" s="940"/>
      <c r="G50" s="940"/>
      <c r="H50" s="940"/>
      <c r="I50" s="940"/>
      <c r="J50" s="941"/>
    </row>
    <row r="51" spans="1:10" ht="38.25" customHeight="1" thickBot="1" x14ac:dyDescent="0.35">
      <c r="A51" s="942" t="str">
        <f>PPTO!G3</f>
        <v>JUNIO DE 2026</v>
      </c>
      <c r="B51" s="943"/>
      <c r="C51" s="944"/>
      <c r="D51" s="921"/>
      <c r="E51" s="922"/>
      <c r="F51" s="922"/>
      <c r="G51" s="922"/>
      <c r="H51" s="922"/>
      <c r="I51" s="922"/>
      <c r="J51" s="923"/>
    </row>
    <row r="52" spans="1:10" ht="19.5" thickBot="1" x14ac:dyDescent="0.35">
      <c r="A52" s="918"/>
      <c r="B52" s="919"/>
      <c r="C52" s="920"/>
      <c r="D52" s="921" t="s">
        <v>1131</v>
      </c>
      <c r="E52" s="922"/>
      <c r="F52" s="922"/>
      <c r="G52" s="922"/>
      <c r="H52" s="922"/>
      <c r="I52" s="922"/>
      <c r="J52" s="923"/>
    </row>
  </sheetData>
  <mergeCells count="19">
    <mergeCell ref="A52:C52"/>
    <mergeCell ref="D52:J52"/>
    <mergeCell ref="D6:D7"/>
    <mergeCell ref="E6:G6"/>
    <mergeCell ref="I6:I7"/>
    <mergeCell ref="J6:J7"/>
    <mergeCell ref="D47:I47"/>
    <mergeCell ref="D48:I48"/>
    <mergeCell ref="D49:I49"/>
    <mergeCell ref="A50:C50"/>
    <mergeCell ref="D50:J50"/>
    <mergeCell ref="A51:C51"/>
    <mergeCell ref="D51:J51"/>
    <mergeCell ref="A2:J2"/>
    <mergeCell ref="A3:J3"/>
    <mergeCell ref="A4:J4"/>
    <mergeCell ref="C5:D5"/>
    <mergeCell ref="G5:H5"/>
    <mergeCell ref="I5:J5"/>
  </mergeCells>
  <conditionalFormatting sqref="J8:J46">
    <cfRule type="cellIs" dxfId="40" priority="1" operator="equal">
      <formula>0</formula>
    </cfRule>
  </conditionalFormatting>
  <pageMargins left="0.7" right="0.7" top="0.75" bottom="0.75" header="0.3" footer="0.3"/>
  <pageSetup scale="50" orientation="landscape"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8243B4-2425-4133-97C1-729E5BE087BA}">
  <sheetPr>
    <tabColor rgb="FF92D050"/>
    <pageSetUpPr fitToPage="1"/>
  </sheetPr>
  <dimension ref="A1:M46"/>
  <sheetViews>
    <sheetView showOutlineSymbols="0" view="pageBreakPreview" zoomScale="60" zoomScaleNormal="70" workbookViewId="0">
      <selection activeCell="G31" sqref="G31"/>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05.75" customHeight="1" thickBot="1" x14ac:dyDescent="0.35">
      <c r="A5" s="72" t="s">
        <v>5</v>
      </c>
      <c r="B5" s="73">
        <v>6.5</v>
      </c>
      <c r="C5" s="913" t="str">
        <f>+VLOOKUP(B5,PPTO!B8:G94,2,FALSE)</f>
        <v xml:space="preserve">Suministro, transporte e instalación de salida para luminaria panel tipo LED de 24,2W, de cielo, con tubería EMT 1/2", según planos, alambre de cobre THHN-AWG #12 y todos los elementos para el correcto funcionamiento. </v>
      </c>
      <c r="D5" s="914"/>
      <c r="E5" s="72" t="s">
        <v>7</v>
      </c>
      <c r="F5" s="74" t="str">
        <f>+VLOOKUP(B5,PPTO!B8:G94,3,FALSE)</f>
        <v>UN</v>
      </c>
      <c r="G5" s="915" t="s">
        <v>1120</v>
      </c>
      <c r="H5" s="915"/>
      <c r="I5" s="916">
        <f>+VLOOKUP(B5,PPTO!B8:G94,5,FALSE)</f>
        <v>168778.78716582895</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8" x14ac:dyDescent="0.3">
      <c r="A8" s="78"/>
      <c r="B8" s="79"/>
      <c r="C8" s="79"/>
      <c r="D8" s="88" t="s">
        <v>1212</v>
      </c>
      <c r="E8" s="89"/>
      <c r="F8" s="89"/>
      <c r="G8" s="89"/>
      <c r="H8" s="89"/>
      <c r="I8" s="90">
        <v>12</v>
      </c>
      <c r="J8" s="87">
        <f>+PRODUCT(E8:I8)</f>
        <v>12</v>
      </c>
    </row>
    <row r="9" spans="1:10" ht="18" x14ac:dyDescent="0.3">
      <c r="A9" s="78"/>
      <c r="B9" s="79"/>
      <c r="C9" s="79"/>
      <c r="D9" s="94" t="s">
        <v>1200</v>
      </c>
      <c r="E9" s="89"/>
      <c r="F9" s="89"/>
      <c r="G9" s="89"/>
      <c r="H9" s="89"/>
      <c r="I9" s="93">
        <v>9</v>
      </c>
      <c r="J9" s="91">
        <f t="shared" ref="J9:J40" si="0">+PRODUCT(E9:I9)</f>
        <v>9</v>
      </c>
    </row>
    <row r="10" spans="1:10" ht="18" x14ac:dyDescent="0.3">
      <c r="A10" s="78"/>
      <c r="B10" s="79"/>
      <c r="C10" s="79"/>
      <c r="D10" s="94" t="s">
        <v>1202</v>
      </c>
      <c r="E10" s="89"/>
      <c r="F10" s="89"/>
      <c r="G10" s="89"/>
      <c r="H10" s="89"/>
      <c r="I10" s="93">
        <v>9</v>
      </c>
      <c r="J10" s="91">
        <f t="shared" si="0"/>
        <v>9</v>
      </c>
    </row>
    <row r="11" spans="1:10" ht="18" x14ac:dyDescent="0.3">
      <c r="A11" s="78"/>
      <c r="B11" s="79"/>
      <c r="C11" s="79"/>
      <c r="D11" s="94" t="s">
        <v>1213</v>
      </c>
      <c r="E11" s="89"/>
      <c r="F11" s="89"/>
      <c r="G11" s="89"/>
      <c r="H11" s="89"/>
      <c r="I11" s="93">
        <v>2</v>
      </c>
      <c r="J11" s="91">
        <f t="shared" si="0"/>
        <v>2</v>
      </c>
    </row>
    <row r="12" spans="1:10" ht="18" x14ac:dyDescent="0.3">
      <c r="A12" s="78"/>
      <c r="B12" s="79"/>
      <c r="C12" s="79"/>
      <c r="D12" s="88" t="s">
        <v>1203</v>
      </c>
      <c r="E12" s="89"/>
      <c r="F12" s="89"/>
      <c r="G12" s="89"/>
      <c r="H12" s="89"/>
      <c r="I12" s="93">
        <v>9</v>
      </c>
      <c r="J12" s="91">
        <f t="shared" si="0"/>
        <v>9</v>
      </c>
    </row>
    <row r="13" spans="1:10" ht="18" x14ac:dyDescent="0.3">
      <c r="A13" s="78"/>
      <c r="B13" s="79"/>
      <c r="C13" s="79"/>
      <c r="D13" s="88"/>
      <c r="E13" s="89"/>
      <c r="F13" s="89"/>
      <c r="G13" s="89"/>
      <c r="H13" s="89"/>
      <c r="I13" s="93"/>
      <c r="J13" s="91">
        <f t="shared" si="0"/>
        <v>0</v>
      </c>
    </row>
    <row r="14" spans="1:10" ht="18" x14ac:dyDescent="0.3">
      <c r="A14" s="78"/>
      <c r="B14" s="79"/>
      <c r="C14" s="79"/>
      <c r="D14" s="94"/>
      <c r="E14" s="89"/>
      <c r="F14" s="89"/>
      <c r="G14" s="89"/>
      <c r="H14" s="89"/>
      <c r="I14" s="93"/>
      <c r="J14" s="91">
        <f t="shared" si="0"/>
        <v>0</v>
      </c>
    </row>
    <row r="15" spans="1:10" ht="18" x14ac:dyDescent="0.3">
      <c r="A15" s="78"/>
      <c r="B15" s="79"/>
      <c r="C15" s="79"/>
      <c r="D15" s="94"/>
      <c r="E15" s="89"/>
      <c r="F15" s="89"/>
      <c r="G15" s="89"/>
      <c r="H15" s="89"/>
      <c r="I15" s="90"/>
      <c r="J15" s="91">
        <f t="shared" si="0"/>
        <v>0</v>
      </c>
    </row>
    <row r="16" spans="1:10" ht="18" x14ac:dyDescent="0.3">
      <c r="A16" s="78"/>
      <c r="B16" s="79"/>
      <c r="C16" s="79"/>
      <c r="D16" s="88"/>
      <c r="E16" s="89"/>
      <c r="F16" s="89"/>
      <c r="G16" s="89"/>
      <c r="H16" s="89"/>
      <c r="I16" s="90"/>
      <c r="J16" s="91">
        <f t="shared" si="0"/>
        <v>0</v>
      </c>
    </row>
    <row r="17" spans="1:10" ht="18" x14ac:dyDescent="0.3">
      <c r="A17" s="78"/>
      <c r="B17" s="79"/>
      <c r="C17" s="79"/>
      <c r="D17" s="94"/>
      <c r="E17" s="89"/>
      <c r="F17" s="89"/>
      <c r="G17" s="89"/>
      <c r="H17" s="89"/>
      <c r="I17" s="93"/>
      <c r="J17" s="91">
        <f t="shared" si="0"/>
        <v>0</v>
      </c>
    </row>
    <row r="18" spans="1:10" ht="18" x14ac:dyDescent="0.3">
      <c r="A18" s="78"/>
      <c r="B18" s="79"/>
      <c r="C18" s="79"/>
      <c r="D18" s="94"/>
      <c r="E18" s="89"/>
      <c r="F18" s="89"/>
      <c r="G18" s="89"/>
      <c r="H18" s="89"/>
      <c r="I18" s="93"/>
      <c r="J18" s="91">
        <f t="shared" si="0"/>
        <v>0</v>
      </c>
    </row>
    <row r="19" spans="1:10" ht="18" x14ac:dyDescent="0.3">
      <c r="A19" s="78"/>
      <c r="B19" s="79"/>
      <c r="C19" s="79"/>
      <c r="D19" s="94"/>
      <c r="E19" s="89"/>
      <c r="F19" s="89"/>
      <c r="G19" s="89"/>
      <c r="H19" s="89"/>
      <c r="I19" s="93"/>
      <c r="J19" s="91">
        <f t="shared" si="0"/>
        <v>0</v>
      </c>
    </row>
    <row r="20" spans="1:10" ht="18" x14ac:dyDescent="0.3">
      <c r="A20" s="78"/>
      <c r="B20" s="79"/>
      <c r="C20" s="79"/>
      <c r="D20" s="94"/>
      <c r="E20" s="89"/>
      <c r="F20" s="89"/>
      <c r="G20" s="89"/>
      <c r="H20" s="89"/>
      <c r="I20" s="93"/>
      <c r="J20" s="91">
        <f t="shared" si="0"/>
        <v>0</v>
      </c>
    </row>
    <row r="21" spans="1:10" ht="18" x14ac:dyDescent="0.3">
      <c r="A21" s="78"/>
      <c r="B21" s="79"/>
      <c r="C21" s="79"/>
      <c r="D21" s="94"/>
      <c r="E21" s="89"/>
      <c r="F21" s="89"/>
      <c r="G21" s="89"/>
      <c r="H21" s="89"/>
      <c r="I21" s="93"/>
      <c r="J21" s="91">
        <f t="shared" si="0"/>
        <v>0</v>
      </c>
    </row>
    <row r="22" spans="1:10" ht="18" x14ac:dyDescent="0.3">
      <c r="A22" s="78"/>
      <c r="B22" s="79"/>
      <c r="C22" s="79"/>
      <c r="D22" s="94"/>
      <c r="E22" s="89"/>
      <c r="F22" s="89"/>
      <c r="G22" s="89"/>
      <c r="H22" s="89"/>
      <c r="I22" s="93"/>
      <c r="J22" s="91">
        <f t="shared" si="0"/>
        <v>0</v>
      </c>
    </row>
    <row r="23" spans="1:10" ht="18" x14ac:dyDescent="0.3">
      <c r="A23" s="78"/>
      <c r="B23" s="79"/>
      <c r="C23" s="79"/>
      <c r="D23" s="94"/>
      <c r="E23" s="89"/>
      <c r="F23" s="89"/>
      <c r="G23" s="89"/>
      <c r="H23" s="89"/>
      <c r="I23" s="93"/>
      <c r="J23" s="91">
        <f t="shared" si="0"/>
        <v>0</v>
      </c>
    </row>
    <row r="24" spans="1:10" ht="18" x14ac:dyDescent="0.3">
      <c r="A24" s="78"/>
      <c r="B24" s="79"/>
      <c r="C24" s="79"/>
      <c r="D24" s="94"/>
      <c r="E24" s="89"/>
      <c r="F24" s="89"/>
      <c r="G24" s="89"/>
      <c r="H24" s="89"/>
      <c r="I24" s="93"/>
      <c r="J24" s="91">
        <f t="shared" si="0"/>
        <v>0</v>
      </c>
    </row>
    <row r="25" spans="1:10" ht="18" x14ac:dyDescent="0.3">
      <c r="A25" s="78"/>
      <c r="B25" s="79"/>
      <c r="C25" s="79"/>
      <c r="D25" s="94"/>
      <c r="E25" s="89"/>
      <c r="F25" s="89"/>
      <c r="G25" s="89"/>
      <c r="H25" s="89"/>
      <c r="I25" s="93"/>
      <c r="J25" s="91">
        <f t="shared" si="0"/>
        <v>0</v>
      </c>
    </row>
    <row r="26" spans="1:10" ht="18" x14ac:dyDescent="0.3">
      <c r="A26" s="78"/>
      <c r="B26" s="79"/>
      <c r="C26" s="79"/>
      <c r="D26" s="94"/>
      <c r="E26" s="89"/>
      <c r="F26" s="89"/>
      <c r="G26" s="89"/>
      <c r="H26" s="89"/>
      <c r="I26" s="93"/>
      <c r="J26" s="91">
        <f t="shared" si="0"/>
        <v>0</v>
      </c>
    </row>
    <row r="27" spans="1:10" ht="18" x14ac:dyDescent="0.3">
      <c r="A27" s="78"/>
      <c r="B27" s="79"/>
      <c r="C27" s="79"/>
      <c r="D27" s="94"/>
      <c r="E27" s="89"/>
      <c r="F27" s="89"/>
      <c r="G27" s="89"/>
      <c r="H27" s="89"/>
      <c r="I27" s="93"/>
      <c r="J27" s="91">
        <f t="shared" si="0"/>
        <v>0</v>
      </c>
    </row>
    <row r="28" spans="1:10" ht="18" x14ac:dyDescent="0.3">
      <c r="A28" s="78"/>
      <c r="B28" s="79"/>
      <c r="C28" s="79"/>
      <c r="D28" s="94"/>
      <c r="E28" s="89"/>
      <c r="F28" s="89"/>
      <c r="G28" s="89"/>
      <c r="H28" s="89"/>
      <c r="I28" s="93"/>
      <c r="J28" s="91">
        <f t="shared" si="0"/>
        <v>0</v>
      </c>
    </row>
    <row r="29" spans="1:10" ht="18" x14ac:dyDescent="0.3">
      <c r="A29" s="78"/>
      <c r="B29" s="79"/>
      <c r="C29" s="79"/>
      <c r="D29" s="94"/>
      <c r="E29" s="89"/>
      <c r="F29" s="89"/>
      <c r="G29" s="89"/>
      <c r="H29" s="89"/>
      <c r="I29" s="93"/>
      <c r="J29" s="91">
        <f t="shared" si="0"/>
        <v>0</v>
      </c>
    </row>
    <row r="30" spans="1:10" ht="18" x14ac:dyDescent="0.3">
      <c r="A30" s="78"/>
      <c r="B30" s="79"/>
      <c r="C30" s="79"/>
      <c r="D30" s="94"/>
      <c r="E30" s="89"/>
      <c r="F30" s="89"/>
      <c r="G30" s="89"/>
      <c r="H30" s="89"/>
      <c r="I30" s="93"/>
      <c r="J30" s="91">
        <f t="shared" si="0"/>
        <v>0</v>
      </c>
    </row>
    <row r="31" spans="1:10" ht="18" x14ac:dyDescent="0.3">
      <c r="A31" s="78"/>
      <c r="B31" s="79"/>
      <c r="C31" s="79"/>
      <c r="D31" s="94"/>
      <c r="E31" s="89"/>
      <c r="F31" s="89"/>
      <c r="G31" s="89"/>
      <c r="H31" s="89"/>
      <c r="I31" s="93"/>
      <c r="J31" s="91">
        <f t="shared" si="0"/>
        <v>0</v>
      </c>
    </row>
    <row r="32" spans="1:10" ht="18" x14ac:dyDescent="0.3">
      <c r="A32" s="78"/>
      <c r="B32" s="79"/>
      <c r="C32" s="79"/>
      <c r="D32" s="94"/>
      <c r="E32" s="89"/>
      <c r="F32" s="89"/>
      <c r="G32" s="89"/>
      <c r="H32" s="89"/>
      <c r="I32" s="93"/>
      <c r="J32" s="91">
        <f t="shared" si="0"/>
        <v>0</v>
      </c>
    </row>
    <row r="33" spans="1:13" ht="18" x14ac:dyDescent="0.3">
      <c r="A33" s="78"/>
      <c r="B33" s="79"/>
      <c r="C33" s="79"/>
      <c r="D33" s="94"/>
      <c r="E33" s="89"/>
      <c r="F33" s="89"/>
      <c r="G33" s="89"/>
      <c r="H33" s="89"/>
      <c r="I33" s="93"/>
      <c r="J33" s="91">
        <f t="shared" si="0"/>
        <v>0</v>
      </c>
    </row>
    <row r="34" spans="1:13" ht="18" x14ac:dyDescent="0.3">
      <c r="A34" s="78"/>
      <c r="B34" s="79"/>
      <c r="C34" s="79"/>
      <c r="D34" s="94"/>
      <c r="E34" s="89"/>
      <c r="F34" s="89"/>
      <c r="G34" s="92"/>
      <c r="H34" s="89"/>
      <c r="I34" s="93"/>
      <c r="J34" s="91"/>
    </row>
    <row r="35" spans="1:13" ht="18" x14ac:dyDescent="0.3">
      <c r="A35" s="78"/>
      <c r="B35" s="79"/>
      <c r="C35" s="79"/>
      <c r="D35" s="94"/>
      <c r="E35" s="89"/>
      <c r="F35" s="89"/>
      <c r="G35" s="92"/>
      <c r="H35" s="89"/>
      <c r="I35" s="93"/>
      <c r="J35" s="91"/>
    </row>
    <row r="36" spans="1:13" ht="18" x14ac:dyDescent="0.3">
      <c r="A36" s="78"/>
      <c r="B36" s="79"/>
      <c r="C36" s="79"/>
      <c r="D36" s="94"/>
      <c r="E36" s="89"/>
      <c r="F36" s="89"/>
      <c r="G36" s="92"/>
      <c r="H36" s="89"/>
      <c r="I36" s="93"/>
      <c r="J36" s="91"/>
    </row>
    <row r="37" spans="1:13" ht="18" x14ac:dyDescent="0.3">
      <c r="A37" s="78"/>
      <c r="B37" s="79"/>
      <c r="C37" s="79"/>
      <c r="D37" s="94"/>
      <c r="E37" s="89"/>
      <c r="F37" s="89"/>
      <c r="G37" s="92"/>
      <c r="H37" s="89"/>
      <c r="I37" s="93"/>
      <c r="J37" s="91"/>
    </row>
    <row r="38" spans="1:13" ht="18" x14ac:dyDescent="0.3">
      <c r="A38" s="78"/>
      <c r="B38" s="79"/>
      <c r="C38" s="79"/>
      <c r="D38" s="94"/>
      <c r="E38" s="89"/>
      <c r="F38" s="89"/>
      <c r="G38" s="92"/>
      <c r="H38" s="89"/>
      <c r="I38" s="93"/>
      <c r="J38" s="91"/>
    </row>
    <row r="39" spans="1:13" ht="18" x14ac:dyDescent="0.3">
      <c r="A39" s="78"/>
      <c r="B39" s="79"/>
      <c r="C39" s="79"/>
      <c r="D39" s="95"/>
      <c r="E39" s="89"/>
      <c r="F39" s="89"/>
      <c r="G39" s="92"/>
      <c r="H39" s="89"/>
      <c r="I39" s="93"/>
      <c r="J39" s="91">
        <f t="shared" si="0"/>
        <v>0</v>
      </c>
    </row>
    <row r="40" spans="1:13" ht="18.75" thickBot="1" x14ac:dyDescent="0.35">
      <c r="A40" s="78"/>
      <c r="B40" s="79"/>
      <c r="C40" s="79"/>
      <c r="D40" s="96"/>
      <c r="E40" s="97"/>
      <c r="F40" s="97"/>
      <c r="G40" s="98"/>
      <c r="H40" s="97"/>
      <c r="I40" s="99"/>
      <c r="J40" s="100">
        <f t="shared" si="0"/>
        <v>0</v>
      </c>
      <c r="M40" s="105">
        <f>J41/1.5</f>
        <v>27.333333333333332</v>
      </c>
    </row>
    <row r="41" spans="1:13" ht="21" thickBot="1" x14ac:dyDescent="0.35">
      <c r="A41" s="78"/>
      <c r="B41" s="79"/>
      <c r="C41" s="79"/>
      <c r="D41" s="933" t="s">
        <v>10</v>
      </c>
      <c r="E41" s="934"/>
      <c r="F41" s="934"/>
      <c r="G41" s="934"/>
      <c r="H41" s="934"/>
      <c r="I41" s="935"/>
      <c r="J41" s="102">
        <f>ROUND(SUM(J8:J40),2)</f>
        <v>41</v>
      </c>
    </row>
    <row r="42" spans="1:13" ht="21" thickBot="1" x14ac:dyDescent="0.35">
      <c r="A42" s="78"/>
      <c r="B42" s="79"/>
      <c r="C42" s="79"/>
      <c r="D42" s="933" t="s">
        <v>1127</v>
      </c>
      <c r="E42" s="934"/>
      <c r="F42" s="934"/>
      <c r="G42" s="934"/>
      <c r="H42" s="934"/>
      <c r="I42" s="935"/>
      <c r="J42" s="103"/>
    </row>
    <row r="43" spans="1:13" ht="21" thickBot="1" x14ac:dyDescent="0.35">
      <c r="A43" s="78"/>
      <c r="B43" s="79"/>
      <c r="C43" s="101"/>
      <c r="D43" s="933" t="s">
        <v>1128</v>
      </c>
      <c r="E43" s="934"/>
      <c r="F43" s="934"/>
      <c r="G43" s="934"/>
      <c r="H43" s="934"/>
      <c r="I43" s="935"/>
      <c r="J43" s="104">
        <f>+J41-J42</f>
        <v>41</v>
      </c>
    </row>
    <row r="44" spans="1:13" ht="21" thickBot="1" x14ac:dyDescent="0.35">
      <c r="A44" s="936" t="s">
        <v>1129</v>
      </c>
      <c r="B44" s="937"/>
      <c r="C44" s="938"/>
      <c r="D44" s="939" t="s">
        <v>1130</v>
      </c>
      <c r="E44" s="940"/>
      <c r="F44" s="940"/>
      <c r="G44" s="940"/>
      <c r="H44" s="940"/>
      <c r="I44" s="940"/>
      <c r="J44" s="941"/>
    </row>
    <row r="45" spans="1:13" ht="38.25" customHeight="1" thickBot="1" x14ac:dyDescent="0.35">
      <c r="A45" s="942" t="str">
        <f>PPTO!G3</f>
        <v>JUNIO DE 2026</v>
      </c>
      <c r="B45" s="943"/>
      <c r="C45" s="944"/>
      <c r="D45" s="921"/>
      <c r="E45" s="922"/>
      <c r="F45" s="922"/>
      <c r="G45" s="922"/>
      <c r="H45" s="922"/>
      <c r="I45" s="922"/>
      <c r="J45" s="923"/>
    </row>
    <row r="46" spans="1:13" ht="19.5" thickBot="1" x14ac:dyDescent="0.35">
      <c r="A46" s="918"/>
      <c r="B46" s="919"/>
      <c r="C46" s="920"/>
      <c r="D46" s="921" t="s">
        <v>1131</v>
      </c>
      <c r="E46" s="922"/>
      <c r="F46" s="922"/>
      <c r="G46" s="922"/>
      <c r="H46" s="922"/>
      <c r="I46" s="922"/>
      <c r="J46" s="923"/>
    </row>
  </sheetData>
  <mergeCells count="19">
    <mergeCell ref="A46:C46"/>
    <mergeCell ref="D46:J46"/>
    <mergeCell ref="D6:D7"/>
    <mergeCell ref="E6:G6"/>
    <mergeCell ref="I6:I7"/>
    <mergeCell ref="J6:J7"/>
    <mergeCell ref="D41:I41"/>
    <mergeCell ref="D42:I42"/>
    <mergeCell ref="D43:I43"/>
    <mergeCell ref="A44:C44"/>
    <mergeCell ref="D44:J44"/>
    <mergeCell ref="A45:C45"/>
    <mergeCell ref="D45:J45"/>
    <mergeCell ref="A2:J2"/>
    <mergeCell ref="A3:J3"/>
    <mergeCell ref="A4:J4"/>
    <mergeCell ref="C5:D5"/>
    <mergeCell ref="G5:H5"/>
    <mergeCell ref="I5:J5"/>
  </mergeCells>
  <conditionalFormatting sqref="J8:J40">
    <cfRule type="cellIs" dxfId="39" priority="1" operator="equal">
      <formula>0</formula>
    </cfRule>
  </conditionalFormatting>
  <pageMargins left="0.7" right="0.7" top="0.75" bottom="0.75" header="0.3" footer="0.3"/>
  <pageSetup scale="53" orientation="landscape"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6996E9-1AA3-4BCC-A6B1-2CE610069B49}">
  <sheetPr>
    <tabColor rgb="FF92D050"/>
    <pageSetUpPr fitToPage="1"/>
  </sheetPr>
  <dimension ref="A1:M52"/>
  <sheetViews>
    <sheetView showOutlineSymbols="0" view="pageBreakPreview" topLeftCell="A6" zoomScale="60" zoomScaleNormal="70" workbookViewId="0">
      <selection activeCell="M47" sqref="M47"/>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05.75" customHeight="1" thickBot="1" x14ac:dyDescent="0.35">
      <c r="A5" s="72" t="s">
        <v>5</v>
      </c>
      <c r="B5" s="73">
        <v>6.6</v>
      </c>
      <c r="C5" s="913" t="str">
        <f>+VLOOKUP(B5,PPTO!B8:G94,2,FALSE)</f>
        <v xml:space="preserve">Suministro, transporte e instalación de salida para luminaria OJO BUEY TIPO INTERIOR (Panel led redondo 120V 12W), incrustada en losa, pared o mampostería.  Incluye  tubería PVC 1/2", según planos, accesorios, alambre de cobre THHN-AWG-LS #12, y todos los elementos para el correcto funcionamiento. </v>
      </c>
      <c r="D5" s="914"/>
      <c r="E5" s="72" t="s">
        <v>7</v>
      </c>
      <c r="F5" s="74" t="str">
        <f>+VLOOKUP(B5,PPTO!B8:G94,3,FALSE)</f>
        <v>UN</v>
      </c>
      <c r="G5" s="915" t="s">
        <v>1120</v>
      </c>
      <c r="H5" s="915"/>
      <c r="I5" s="916">
        <f>+VLOOKUP(B5,PPTO!B8:G94,5,FALSE)</f>
        <v>91268.663682495622</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8" x14ac:dyDescent="0.3">
      <c r="A8" s="78"/>
      <c r="B8" s="79"/>
      <c r="C8" s="79"/>
      <c r="D8" s="88" t="s">
        <v>1214</v>
      </c>
      <c r="E8" s="89"/>
      <c r="F8" s="89"/>
      <c r="G8" s="89"/>
      <c r="H8" s="89"/>
      <c r="I8" s="90">
        <v>22</v>
      </c>
      <c r="J8" s="87">
        <f>+PRODUCT(E8:I8)</f>
        <v>22</v>
      </c>
    </row>
    <row r="9" spans="1:10" ht="18" x14ac:dyDescent="0.3">
      <c r="A9" s="78"/>
      <c r="B9" s="79"/>
      <c r="C9" s="79"/>
      <c r="D9" s="94" t="s">
        <v>1215</v>
      </c>
      <c r="E9" s="89"/>
      <c r="F9" s="89"/>
      <c r="G9" s="89"/>
      <c r="H9" s="89"/>
      <c r="I9" s="93">
        <v>1</v>
      </c>
      <c r="J9" s="91">
        <f t="shared" ref="J9:J46" si="0">+PRODUCT(E9:I9)</f>
        <v>1</v>
      </c>
    </row>
    <row r="10" spans="1:10" ht="18" x14ac:dyDescent="0.3">
      <c r="A10" s="78"/>
      <c r="B10" s="79"/>
      <c r="C10" s="79"/>
      <c r="D10" s="94"/>
      <c r="E10" s="89"/>
      <c r="F10" s="89"/>
      <c r="G10" s="89"/>
      <c r="H10" s="89"/>
      <c r="I10" s="93"/>
      <c r="J10" s="91">
        <f t="shared" si="0"/>
        <v>0</v>
      </c>
    </row>
    <row r="11" spans="1:10" ht="18" x14ac:dyDescent="0.3">
      <c r="A11" s="78"/>
      <c r="B11" s="79"/>
      <c r="C11" s="79"/>
      <c r="D11" s="94"/>
      <c r="E11" s="89"/>
      <c r="F11" s="89"/>
      <c r="G11" s="89"/>
      <c r="H11" s="89"/>
      <c r="I11" s="93"/>
      <c r="J11" s="91">
        <f t="shared" si="0"/>
        <v>0</v>
      </c>
    </row>
    <row r="12" spans="1:10" ht="18" x14ac:dyDescent="0.3">
      <c r="A12" s="78"/>
      <c r="B12" s="79"/>
      <c r="C12" s="79"/>
      <c r="D12" s="94"/>
      <c r="E12" s="89"/>
      <c r="F12" s="89"/>
      <c r="G12" s="89"/>
      <c r="H12" s="89"/>
      <c r="I12" s="93"/>
      <c r="J12" s="91">
        <f t="shared" si="0"/>
        <v>0</v>
      </c>
    </row>
    <row r="13" spans="1:10" ht="18" x14ac:dyDescent="0.3">
      <c r="A13" s="78"/>
      <c r="B13" s="79"/>
      <c r="C13" s="79"/>
      <c r="D13" s="94"/>
      <c r="E13" s="89"/>
      <c r="F13" s="89"/>
      <c r="G13" s="89"/>
      <c r="H13" s="89"/>
      <c r="I13" s="93"/>
      <c r="J13" s="91">
        <f t="shared" si="0"/>
        <v>0</v>
      </c>
    </row>
    <row r="14" spans="1:10" ht="18" x14ac:dyDescent="0.3">
      <c r="A14" s="78"/>
      <c r="B14" s="79"/>
      <c r="C14" s="79"/>
      <c r="D14" s="94"/>
      <c r="E14" s="89"/>
      <c r="F14" s="89"/>
      <c r="G14" s="89"/>
      <c r="H14" s="89"/>
      <c r="I14" s="93"/>
      <c r="J14" s="91">
        <f t="shared" si="0"/>
        <v>0</v>
      </c>
    </row>
    <row r="15" spans="1:10" ht="18" x14ac:dyDescent="0.3">
      <c r="A15" s="78"/>
      <c r="B15" s="79"/>
      <c r="C15" s="79"/>
      <c r="D15" s="94"/>
      <c r="E15" s="89"/>
      <c r="F15" s="89"/>
      <c r="G15" s="89"/>
      <c r="H15" s="89"/>
      <c r="I15" s="93"/>
      <c r="J15" s="91">
        <f t="shared" si="0"/>
        <v>0</v>
      </c>
    </row>
    <row r="16" spans="1:10" ht="18" x14ac:dyDescent="0.3">
      <c r="A16" s="78"/>
      <c r="B16" s="79"/>
      <c r="C16" s="79"/>
      <c r="D16" s="94"/>
      <c r="E16" s="89"/>
      <c r="F16" s="89"/>
      <c r="G16" s="89"/>
      <c r="H16" s="89"/>
      <c r="I16" s="93"/>
      <c r="J16" s="91">
        <f t="shared" si="0"/>
        <v>0</v>
      </c>
    </row>
    <row r="17" spans="1:10" ht="18" x14ac:dyDescent="0.3">
      <c r="A17" s="78"/>
      <c r="B17" s="79"/>
      <c r="C17" s="79"/>
      <c r="D17" s="94"/>
      <c r="E17" s="89"/>
      <c r="F17" s="89"/>
      <c r="G17" s="89"/>
      <c r="H17" s="89"/>
      <c r="I17" s="93"/>
      <c r="J17" s="91">
        <f t="shared" si="0"/>
        <v>0</v>
      </c>
    </row>
    <row r="18" spans="1:10" ht="18" x14ac:dyDescent="0.3">
      <c r="A18" s="78"/>
      <c r="B18" s="79"/>
      <c r="C18" s="79"/>
      <c r="D18" s="94"/>
      <c r="E18" s="89"/>
      <c r="F18" s="89"/>
      <c r="G18" s="89"/>
      <c r="H18" s="89"/>
      <c r="I18" s="93"/>
      <c r="J18" s="91">
        <f t="shared" si="0"/>
        <v>0</v>
      </c>
    </row>
    <row r="19" spans="1:10" ht="18" x14ac:dyDescent="0.3">
      <c r="A19" s="78"/>
      <c r="B19" s="79"/>
      <c r="C19" s="79"/>
      <c r="D19" s="95"/>
      <c r="E19" s="89"/>
      <c r="F19" s="89"/>
      <c r="G19" s="89"/>
      <c r="H19" s="89"/>
      <c r="I19" s="93"/>
      <c r="J19" s="91">
        <f t="shared" si="0"/>
        <v>0</v>
      </c>
    </row>
    <row r="20" spans="1:10" ht="18" x14ac:dyDescent="0.3">
      <c r="A20" s="78"/>
      <c r="B20" s="79"/>
      <c r="C20" s="79"/>
      <c r="D20" s="88"/>
      <c r="E20" s="89"/>
      <c r="F20" s="89"/>
      <c r="G20" s="89"/>
      <c r="H20" s="89"/>
      <c r="I20" s="90"/>
      <c r="J20" s="91">
        <f t="shared" si="0"/>
        <v>0</v>
      </c>
    </row>
    <row r="21" spans="1:10" ht="18" x14ac:dyDescent="0.3">
      <c r="A21" s="78"/>
      <c r="B21" s="79"/>
      <c r="C21" s="79"/>
      <c r="D21" s="88"/>
      <c r="E21" s="89"/>
      <c r="F21" s="89"/>
      <c r="G21" s="89"/>
      <c r="H21" s="89"/>
      <c r="I21" s="90"/>
      <c r="J21" s="91">
        <f t="shared" si="0"/>
        <v>0</v>
      </c>
    </row>
    <row r="22" spans="1:10" ht="18" x14ac:dyDescent="0.3">
      <c r="A22" s="78"/>
      <c r="B22" s="79"/>
      <c r="C22" s="79"/>
      <c r="D22" s="88"/>
      <c r="E22" s="89"/>
      <c r="F22" s="89"/>
      <c r="G22" s="89"/>
      <c r="H22" s="89"/>
      <c r="I22" s="90"/>
      <c r="J22" s="91">
        <f t="shared" si="0"/>
        <v>0</v>
      </c>
    </row>
    <row r="23" spans="1:10" ht="18" x14ac:dyDescent="0.3">
      <c r="A23" s="78"/>
      <c r="B23" s="79"/>
      <c r="C23" s="79"/>
      <c r="D23" s="94"/>
      <c r="E23" s="89"/>
      <c r="F23" s="89"/>
      <c r="G23" s="89"/>
      <c r="H23" s="89"/>
      <c r="I23" s="93"/>
      <c r="J23" s="91">
        <f t="shared" si="0"/>
        <v>0</v>
      </c>
    </row>
    <row r="24" spans="1:10" ht="18" x14ac:dyDescent="0.3">
      <c r="A24" s="78"/>
      <c r="B24" s="79"/>
      <c r="C24" s="79"/>
      <c r="D24" s="94"/>
      <c r="E24" s="89"/>
      <c r="F24" s="89"/>
      <c r="G24" s="89"/>
      <c r="H24" s="89"/>
      <c r="I24" s="93"/>
      <c r="J24" s="91">
        <f t="shared" si="0"/>
        <v>0</v>
      </c>
    </row>
    <row r="25" spans="1:10" ht="18" x14ac:dyDescent="0.3">
      <c r="A25" s="78"/>
      <c r="B25" s="79"/>
      <c r="C25" s="79"/>
      <c r="D25" s="94"/>
      <c r="E25" s="89"/>
      <c r="F25" s="89"/>
      <c r="G25" s="89"/>
      <c r="H25" s="89"/>
      <c r="I25" s="93"/>
      <c r="J25" s="91">
        <f t="shared" si="0"/>
        <v>0</v>
      </c>
    </row>
    <row r="26" spans="1:10" ht="18" x14ac:dyDescent="0.3">
      <c r="A26" s="78"/>
      <c r="B26" s="79"/>
      <c r="C26" s="79"/>
      <c r="D26" s="94"/>
      <c r="E26" s="89"/>
      <c r="F26" s="89"/>
      <c r="G26" s="89"/>
      <c r="H26" s="89"/>
      <c r="I26" s="93"/>
      <c r="J26" s="91">
        <f t="shared" si="0"/>
        <v>0</v>
      </c>
    </row>
    <row r="27" spans="1:10" ht="18" x14ac:dyDescent="0.3">
      <c r="A27" s="78"/>
      <c r="B27" s="79"/>
      <c r="C27" s="79"/>
      <c r="D27" s="94"/>
      <c r="E27" s="89"/>
      <c r="F27" s="89"/>
      <c r="G27" s="89"/>
      <c r="H27" s="89"/>
      <c r="I27" s="93"/>
      <c r="J27" s="91">
        <f t="shared" si="0"/>
        <v>0</v>
      </c>
    </row>
    <row r="28" spans="1:10" ht="18" x14ac:dyDescent="0.3">
      <c r="A28" s="78"/>
      <c r="B28" s="79"/>
      <c r="C28" s="79"/>
      <c r="D28" s="94"/>
      <c r="E28" s="89"/>
      <c r="F28" s="89"/>
      <c r="G28" s="89"/>
      <c r="H28" s="89"/>
      <c r="I28" s="93"/>
      <c r="J28" s="91">
        <f t="shared" si="0"/>
        <v>0</v>
      </c>
    </row>
    <row r="29" spans="1:10" ht="18" x14ac:dyDescent="0.3">
      <c r="A29" s="78"/>
      <c r="B29" s="79"/>
      <c r="C29" s="79"/>
      <c r="D29" s="94"/>
      <c r="E29" s="89"/>
      <c r="F29" s="89"/>
      <c r="G29" s="89"/>
      <c r="H29" s="89"/>
      <c r="I29" s="93"/>
      <c r="J29" s="91">
        <f t="shared" si="0"/>
        <v>0</v>
      </c>
    </row>
    <row r="30" spans="1:10" ht="18" x14ac:dyDescent="0.3">
      <c r="A30" s="78"/>
      <c r="B30" s="79"/>
      <c r="C30" s="79"/>
      <c r="D30" s="94"/>
      <c r="E30" s="89"/>
      <c r="F30" s="89"/>
      <c r="G30" s="89"/>
      <c r="H30" s="89"/>
      <c r="I30" s="93"/>
      <c r="J30" s="91">
        <f t="shared" si="0"/>
        <v>0</v>
      </c>
    </row>
    <row r="31" spans="1:10" ht="18" x14ac:dyDescent="0.3">
      <c r="A31" s="78"/>
      <c r="B31" s="79"/>
      <c r="C31" s="79"/>
      <c r="D31" s="94"/>
      <c r="E31" s="89"/>
      <c r="F31" s="89"/>
      <c r="G31" s="89"/>
      <c r="H31" s="89"/>
      <c r="I31" s="93"/>
      <c r="J31" s="91">
        <f t="shared" si="0"/>
        <v>0</v>
      </c>
    </row>
    <row r="32" spans="1:10" ht="18" x14ac:dyDescent="0.3">
      <c r="A32" s="78"/>
      <c r="B32" s="79"/>
      <c r="C32" s="79"/>
      <c r="D32" s="94"/>
      <c r="E32" s="89"/>
      <c r="F32" s="89"/>
      <c r="G32" s="89"/>
      <c r="H32" s="89"/>
      <c r="I32" s="93"/>
      <c r="J32" s="91">
        <f t="shared" si="0"/>
        <v>0</v>
      </c>
    </row>
    <row r="33" spans="1:13" ht="18" x14ac:dyDescent="0.3">
      <c r="A33" s="78"/>
      <c r="B33" s="79"/>
      <c r="C33" s="79"/>
      <c r="D33" s="94"/>
      <c r="E33" s="89"/>
      <c r="F33" s="89"/>
      <c r="G33" s="89"/>
      <c r="H33" s="89"/>
      <c r="I33" s="93"/>
      <c r="J33" s="91">
        <f t="shared" si="0"/>
        <v>0</v>
      </c>
    </row>
    <row r="34" spans="1:13" ht="18" x14ac:dyDescent="0.3">
      <c r="A34" s="78"/>
      <c r="B34" s="79"/>
      <c r="C34" s="79"/>
      <c r="D34" s="94"/>
      <c r="E34" s="89"/>
      <c r="F34" s="89"/>
      <c r="G34" s="89"/>
      <c r="H34" s="89"/>
      <c r="I34" s="93"/>
      <c r="J34" s="91">
        <f t="shared" si="0"/>
        <v>0</v>
      </c>
    </row>
    <row r="35" spans="1:13" ht="18" x14ac:dyDescent="0.3">
      <c r="A35" s="78"/>
      <c r="B35" s="79"/>
      <c r="C35" s="79"/>
      <c r="D35" s="94"/>
      <c r="E35" s="89"/>
      <c r="F35" s="89"/>
      <c r="G35" s="89"/>
      <c r="H35" s="89"/>
      <c r="I35" s="93"/>
      <c r="J35" s="91">
        <f t="shared" si="0"/>
        <v>0</v>
      </c>
    </row>
    <row r="36" spans="1:13" ht="18" x14ac:dyDescent="0.3">
      <c r="A36" s="78"/>
      <c r="B36" s="79"/>
      <c r="C36" s="79"/>
      <c r="D36" s="94"/>
      <c r="E36" s="89"/>
      <c r="F36" s="89"/>
      <c r="G36" s="89"/>
      <c r="H36" s="89"/>
      <c r="I36" s="93"/>
      <c r="J36" s="91">
        <f t="shared" si="0"/>
        <v>0</v>
      </c>
    </row>
    <row r="37" spans="1:13" ht="18" x14ac:dyDescent="0.3">
      <c r="A37" s="78"/>
      <c r="B37" s="79"/>
      <c r="C37" s="79"/>
      <c r="D37" s="94"/>
      <c r="E37" s="89"/>
      <c r="F37" s="89"/>
      <c r="G37" s="89"/>
      <c r="H37" s="89"/>
      <c r="I37" s="93"/>
      <c r="J37" s="91">
        <f t="shared" si="0"/>
        <v>0</v>
      </c>
    </row>
    <row r="38" spans="1:13" ht="18" x14ac:dyDescent="0.3">
      <c r="A38" s="78"/>
      <c r="B38" s="79"/>
      <c r="C38" s="79"/>
      <c r="D38" s="94"/>
      <c r="E38" s="89"/>
      <c r="F38" s="89"/>
      <c r="G38" s="89"/>
      <c r="H38" s="89"/>
      <c r="I38" s="93"/>
      <c r="J38" s="91">
        <f t="shared" si="0"/>
        <v>0</v>
      </c>
    </row>
    <row r="39" spans="1:13" ht="18" x14ac:dyDescent="0.3">
      <c r="A39" s="78"/>
      <c r="B39" s="79"/>
      <c r="C39" s="79"/>
      <c r="D39" s="94"/>
      <c r="E39" s="89"/>
      <c r="F39" s="89"/>
      <c r="G39" s="89"/>
      <c r="H39" s="89"/>
      <c r="I39" s="93"/>
      <c r="J39" s="91">
        <f t="shared" si="0"/>
        <v>0</v>
      </c>
    </row>
    <row r="40" spans="1:13" ht="18" x14ac:dyDescent="0.3">
      <c r="A40" s="78"/>
      <c r="B40" s="79"/>
      <c r="C40" s="79"/>
      <c r="D40" s="94"/>
      <c r="E40" s="89"/>
      <c r="F40" s="89"/>
      <c r="G40" s="92"/>
      <c r="H40" s="89"/>
      <c r="I40" s="93"/>
      <c r="J40" s="91"/>
    </row>
    <row r="41" spans="1:13" ht="18" x14ac:dyDescent="0.3">
      <c r="A41" s="78"/>
      <c r="B41" s="79"/>
      <c r="C41" s="79"/>
      <c r="D41" s="94"/>
      <c r="E41" s="89"/>
      <c r="F41" s="89"/>
      <c r="G41" s="92"/>
      <c r="H41" s="89"/>
      <c r="I41" s="93"/>
      <c r="J41" s="91"/>
    </row>
    <row r="42" spans="1:13" ht="18" x14ac:dyDescent="0.3">
      <c r="A42" s="78"/>
      <c r="B42" s="79"/>
      <c r="C42" s="79"/>
      <c r="D42" s="94"/>
      <c r="E42" s="89"/>
      <c r="F42" s="89"/>
      <c r="G42" s="92"/>
      <c r="H42" s="89"/>
      <c r="I42" s="93"/>
      <c r="J42" s="91"/>
    </row>
    <row r="43" spans="1:13" ht="18" x14ac:dyDescent="0.3">
      <c r="A43" s="78"/>
      <c r="B43" s="79"/>
      <c r="C43" s="79"/>
      <c r="D43" s="94"/>
      <c r="E43" s="89"/>
      <c r="F43" s="89"/>
      <c r="G43" s="92"/>
      <c r="H43" s="89"/>
      <c r="I43" s="93"/>
      <c r="J43" s="91"/>
    </row>
    <row r="44" spans="1:13" ht="18" x14ac:dyDescent="0.3">
      <c r="A44" s="78"/>
      <c r="B44" s="79"/>
      <c r="C44" s="79"/>
      <c r="D44" s="94"/>
      <c r="E44" s="89"/>
      <c r="F44" s="89"/>
      <c r="G44" s="92"/>
      <c r="H44" s="89"/>
      <c r="I44" s="93"/>
      <c r="J44" s="91"/>
    </row>
    <row r="45" spans="1:13" ht="18" x14ac:dyDescent="0.3">
      <c r="A45" s="78"/>
      <c r="B45" s="79"/>
      <c r="C45" s="79"/>
      <c r="D45" s="95"/>
      <c r="E45" s="89"/>
      <c r="F45" s="89"/>
      <c r="G45" s="92"/>
      <c r="H45" s="89"/>
      <c r="I45" s="93"/>
      <c r="J45" s="91">
        <f t="shared" si="0"/>
        <v>0</v>
      </c>
    </row>
    <row r="46" spans="1:13" ht="18.75" thickBot="1" x14ac:dyDescent="0.35">
      <c r="A46" s="78"/>
      <c r="B46" s="79"/>
      <c r="C46" s="79"/>
      <c r="D46" s="96"/>
      <c r="E46" s="97"/>
      <c r="F46" s="97"/>
      <c r="G46" s="98"/>
      <c r="H46" s="97"/>
      <c r="I46" s="99"/>
      <c r="J46" s="100">
        <f t="shared" si="0"/>
        <v>0</v>
      </c>
      <c r="M46" s="105"/>
    </row>
    <row r="47" spans="1:13" ht="21" thickBot="1" x14ac:dyDescent="0.35">
      <c r="A47" s="78"/>
      <c r="B47" s="79"/>
      <c r="C47" s="79"/>
      <c r="D47" s="933" t="s">
        <v>10</v>
      </c>
      <c r="E47" s="934"/>
      <c r="F47" s="934"/>
      <c r="G47" s="934"/>
      <c r="H47" s="934"/>
      <c r="I47" s="935"/>
      <c r="J47" s="102">
        <f>ROUND(SUM(J8:J46),2)</f>
        <v>23</v>
      </c>
    </row>
    <row r="48" spans="1:13" ht="21" thickBot="1" x14ac:dyDescent="0.35">
      <c r="A48" s="78"/>
      <c r="B48" s="79"/>
      <c r="C48" s="79"/>
      <c r="D48" s="933" t="s">
        <v>1127</v>
      </c>
      <c r="E48" s="934"/>
      <c r="F48" s="934"/>
      <c r="G48" s="934"/>
      <c r="H48" s="934"/>
      <c r="I48" s="935"/>
      <c r="J48" s="103"/>
    </row>
    <row r="49" spans="1:10" ht="21" thickBot="1" x14ac:dyDescent="0.35">
      <c r="A49" s="78"/>
      <c r="B49" s="79"/>
      <c r="C49" s="101"/>
      <c r="D49" s="933" t="s">
        <v>1128</v>
      </c>
      <c r="E49" s="934"/>
      <c r="F49" s="934"/>
      <c r="G49" s="934"/>
      <c r="H49" s="934"/>
      <c r="I49" s="935"/>
      <c r="J49" s="104">
        <f>+J47-J48</f>
        <v>23</v>
      </c>
    </row>
    <row r="50" spans="1:10" ht="21" thickBot="1" x14ac:dyDescent="0.35">
      <c r="A50" s="936" t="s">
        <v>1129</v>
      </c>
      <c r="B50" s="937"/>
      <c r="C50" s="938"/>
      <c r="D50" s="939" t="s">
        <v>1130</v>
      </c>
      <c r="E50" s="940"/>
      <c r="F50" s="940"/>
      <c r="G50" s="940"/>
      <c r="H50" s="940"/>
      <c r="I50" s="940"/>
      <c r="J50" s="941"/>
    </row>
    <row r="51" spans="1:10" ht="38.25" customHeight="1" thickBot="1" x14ac:dyDescent="0.35">
      <c r="A51" s="942" t="str">
        <f>PPTO!G3</f>
        <v>JUNIO DE 2026</v>
      </c>
      <c r="B51" s="943"/>
      <c r="C51" s="944"/>
      <c r="D51" s="921"/>
      <c r="E51" s="922"/>
      <c r="F51" s="922"/>
      <c r="G51" s="922"/>
      <c r="H51" s="922"/>
      <c r="I51" s="922"/>
      <c r="J51" s="923"/>
    </row>
    <row r="52" spans="1:10" ht="19.5" thickBot="1" x14ac:dyDescent="0.35">
      <c r="A52" s="918"/>
      <c r="B52" s="919"/>
      <c r="C52" s="920"/>
      <c r="D52" s="921" t="s">
        <v>1131</v>
      </c>
      <c r="E52" s="922"/>
      <c r="F52" s="922"/>
      <c r="G52" s="922"/>
      <c r="H52" s="922"/>
      <c r="I52" s="922"/>
      <c r="J52" s="923"/>
    </row>
  </sheetData>
  <mergeCells count="19">
    <mergeCell ref="A52:C52"/>
    <mergeCell ref="D52:J52"/>
    <mergeCell ref="D6:D7"/>
    <mergeCell ref="E6:G6"/>
    <mergeCell ref="I6:I7"/>
    <mergeCell ref="J6:J7"/>
    <mergeCell ref="D47:I47"/>
    <mergeCell ref="D48:I48"/>
    <mergeCell ref="D49:I49"/>
    <mergeCell ref="A50:C50"/>
    <mergeCell ref="D50:J50"/>
    <mergeCell ref="A51:C51"/>
    <mergeCell ref="D51:J51"/>
    <mergeCell ref="A2:J2"/>
    <mergeCell ref="A3:J3"/>
    <mergeCell ref="A4:J4"/>
    <mergeCell ref="C5:D5"/>
    <mergeCell ref="G5:H5"/>
    <mergeCell ref="I5:J5"/>
  </mergeCells>
  <conditionalFormatting sqref="J8:J46">
    <cfRule type="cellIs" dxfId="38" priority="1" operator="equal">
      <formula>0</formula>
    </cfRule>
  </conditionalFormatting>
  <pageMargins left="0.7" right="0.7" top="0.75" bottom="0.75" header="0.3" footer="0.3"/>
  <pageSetup scale="50" orientation="landscape"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62F6E1-83D6-44C8-A5A0-ACFD3F2E5558}">
  <sheetPr>
    <tabColor rgb="FF92D050"/>
    <pageSetUpPr fitToPage="1"/>
  </sheetPr>
  <dimension ref="A1:M52"/>
  <sheetViews>
    <sheetView showOutlineSymbols="0" view="pageBreakPreview" zoomScale="60" zoomScaleNormal="70" workbookViewId="0">
      <selection activeCell="D12" sqref="D12"/>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05.75" customHeight="1" thickBot="1" x14ac:dyDescent="0.35">
      <c r="A5" s="72" t="s">
        <v>5</v>
      </c>
      <c r="B5" s="73">
        <v>6.7</v>
      </c>
      <c r="C5" s="913" t="str">
        <f>+VLOOKUP(B5,PPTO!B8:G94,2,FALSE)</f>
        <v xml:space="preserve">Suministro, transporte e instalación de salida para luminaria OJO BUEY TIPO INTERIOR Panel led redondo 120V 16W), incrustada en losa, pared o mampostería.  Incluye  tubería PVC 1/2", según planos, accesorios, alambre de cobre THHN-AWG-LS #12, y todos los elementos para el correcto funcionamiento. </v>
      </c>
      <c r="D5" s="914"/>
      <c r="E5" s="72" t="s">
        <v>7</v>
      </c>
      <c r="F5" s="74" t="str">
        <f>+VLOOKUP(B5,PPTO!B8:G94,3,FALSE)</f>
        <v>UN</v>
      </c>
      <c r="G5" s="915" t="s">
        <v>1120</v>
      </c>
      <c r="H5" s="915"/>
      <c r="I5" s="916">
        <f>+VLOOKUP(B5,PPTO!B8:G94,5,FALSE)</f>
        <v>96268.663682495622</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8" x14ac:dyDescent="0.3">
      <c r="A8" s="78"/>
      <c r="B8" s="79"/>
      <c r="C8" s="79"/>
      <c r="D8" s="88" t="s">
        <v>1216</v>
      </c>
      <c r="E8" s="89"/>
      <c r="F8" s="89"/>
      <c r="G8" s="89"/>
      <c r="H8" s="89"/>
      <c r="I8" s="90">
        <v>2</v>
      </c>
      <c r="J8" s="87">
        <f>+PRODUCT(E8:I8)</f>
        <v>2</v>
      </c>
    </row>
    <row r="9" spans="1:10" ht="18" x14ac:dyDescent="0.3">
      <c r="A9" s="78"/>
      <c r="B9" s="79"/>
      <c r="C9" s="79"/>
      <c r="D9" s="94" t="s">
        <v>1207</v>
      </c>
      <c r="E9" s="89"/>
      <c r="F9" s="89"/>
      <c r="G9" s="89"/>
      <c r="H9" s="89"/>
      <c r="I9" s="93">
        <v>12</v>
      </c>
      <c r="J9" s="91">
        <f t="shared" ref="J9:J46" si="0">+PRODUCT(E9:I9)</f>
        <v>12</v>
      </c>
    </row>
    <row r="10" spans="1:10" ht="18" x14ac:dyDescent="0.3">
      <c r="A10" s="78"/>
      <c r="B10" s="79"/>
      <c r="C10" s="79"/>
      <c r="D10" s="94" t="s">
        <v>1204</v>
      </c>
      <c r="E10" s="89"/>
      <c r="F10" s="89"/>
      <c r="G10" s="89"/>
      <c r="H10" s="89"/>
      <c r="I10" s="93">
        <v>6</v>
      </c>
      <c r="J10" s="91">
        <f t="shared" si="0"/>
        <v>6</v>
      </c>
    </row>
    <row r="11" spans="1:10" ht="18" x14ac:dyDescent="0.3">
      <c r="A11" s="78"/>
      <c r="B11" s="79"/>
      <c r="C11" s="79"/>
      <c r="D11" s="94" t="s">
        <v>1205</v>
      </c>
      <c r="E11" s="89"/>
      <c r="F11" s="89"/>
      <c r="G11" s="89"/>
      <c r="H11" s="89"/>
      <c r="I11" s="93">
        <v>9</v>
      </c>
      <c r="J11" s="91">
        <f t="shared" si="0"/>
        <v>9</v>
      </c>
    </row>
    <row r="12" spans="1:10" ht="18" x14ac:dyDescent="0.3">
      <c r="A12" s="78"/>
      <c r="B12" s="79"/>
      <c r="C12" s="79"/>
      <c r="D12" s="94"/>
      <c r="E12" s="89"/>
      <c r="F12" s="89"/>
      <c r="G12" s="89"/>
      <c r="H12" s="89"/>
      <c r="I12" s="93"/>
      <c r="J12" s="91">
        <f t="shared" si="0"/>
        <v>0</v>
      </c>
    </row>
    <row r="13" spans="1:10" ht="18" x14ac:dyDescent="0.3">
      <c r="A13" s="78"/>
      <c r="B13" s="79"/>
      <c r="C13" s="79"/>
      <c r="D13" s="94"/>
      <c r="E13" s="89"/>
      <c r="F13" s="89"/>
      <c r="G13" s="89"/>
      <c r="H13" s="89"/>
      <c r="I13" s="93"/>
      <c r="J13" s="91">
        <f t="shared" si="0"/>
        <v>0</v>
      </c>
    </row>
    <row r="14" spans="1:10" ht="18" x14ac:dyDescent="0.3">
      <c r="A14" s="78"/>
      <c r="B14" s="79"/>
      <c r="C14" s="79"/>
      <c r="D14" s="94"/>
      <c r="E14" s="89"/>
      <c r="F14" s="89"/>
      <c r="G14" s="89"/>
      <c r="H14" s="89"/>
      <c r="I14" s="93"/>
      <c r="J14" s="91">
        <f t="shared" si="0"/>
        <v>0</v>
      </c>
    </row>
    <row r="15" spans="1:10" ht="18" x14ac:dyDescent="0.3">
      <c r="A15" s="78"/>
      <c r="B15" s="79"/>
      <c r="C15" s="79"/>
      <c r="D15" s="94"/>
      <c r="E15" s="89"/>
      <c r="F15" s="89"/>
      <c r="G15" s="89"/>
      <c r="H15" s="89"/>
      <c r="I15" s="93"/>
      <c r="J15" s="91">
        <f t="shared" si="0"/>
        <v>0</v>
      </c>
    </row>
    <row r="16" spans="1:10" ht="18" x14ac:dyDescent="0.3">
      <c r="A16" s="78"/>
      <c r="B16" s="79"/>
      <c r="C16" s="79"/>
      <c r="D16" s="94"/>
      <c r="E16" s="89"/>
      <c r="F16" s="89"/>
      <c r="G16" s="89"/>
      <c r="H16" s="89"/>
      <c r="I16" s="93"/>
      <c r="J16" s="91">
        <f t="shared" si="0"/>
        <v>0</v>
      </c>
    </row>
    <row r="17" spans="1:10" ht="18" x14ac:dyDescent="0.3">
      <c r="A17" s="78"/>
      <c r="B17" s="79"/>
      <c r="C17" s="79"/>
      <c r="D17" s="94"/>
      <c r="E17" s="89"/>
      <c r="F17" s="89"/>
      <c r="G17" s="89"/>
      <c r="H17" s="89"/>
      <c r="I17" s="93"/>
      <c r="J17" s="91">
        <f t="shared" si="0"/>
        <v>0</v>
      </c>
    </row>
    <row r="18" spans="1:10" ht="18" x14ac:dyDescent="0.3">
      <c r="A18" s="78"/>
      <c r="B18" s="79"/>
      <c r="C18" s="79"/>
      <c r="D18" s="94"/>
      <c r="E18" s="89"/>
      <c r="F18" s="89"/>
      <c r="G18" s="89"/>
      <c r="H18" s="89"/>
      <c r="I18" s="93"/>
      <c r="J18" s="91">
        <f t="shared" si="0"/>
        <v>0</v>
      </c>
    </row>
    <row r="19" spans="1:10" ht="18" x14ac:dyDescent="0.3">
      <c r="A19" s="78"/>
      <c r="B19" s="79"/>
      <c r="C19" s="79"/>
      <c r="D19" s="95"/>
      <c r="E19" s="89"/>
      <c r="F19" s="89"/>
      <c r="G19" s="89"/>
      <c r="H19" s="89"/>
      <c r="I19" s="93"/>
      <c r="J19" s="91">
        <f t="shared" si="0"/>
        <v>0</v>
      </c>
    </row>
    <row r="20" spans="1:10" ht="18" x14ac:dyDescent="0.3">
      <c r="A20" s="78"/>
      <c r="B20" s="79"/>
      <c r="C20" s="79"/>
      <c r="D20" s="88"/>
      <c r="E20" s="89"/>
      <c r="F20" s="89"/>
      <c r="G20" s="89"/>
      <c r="H20" s="89"/>
      <c r="I20" s="90"/>
      <c r="J20" s="91">
        <f t="shared" si="0"/>
        <v>0</v>
      </c>
    </row>
    <row r="21" spans="1:10" ht="18" x14ac:dyDescent="0.3">
      <c r="A21" s="78"/>
      <c r="B21" s="79"/>
      <c r="C21" s="79"/>
      <c r="D21" s="88"/>
      <c r="E21" s="89"/>
      <c r="F21" s="89"/>
      <c r="G21" s="89"/>
      <c r="H21" s="89"/>
      <c r="I21" s="90"/>
      <c r="J21" s="91">
        <f t="shared" si="0"/>
        <v>0</v>
      </c>
    </row>
    <row r="22" spans="1:10" ht="18" x14ac:dyDescent="0.3">
      <c r="A22" s="78"/>
      <c r="B22" s="79"/>
      <c r="C22" s="79"/>
      <c r="D22" s="88"/>
      <c r="E22" s="89"/>
      <c r="F22" s="89"/>
      <c r="G22" s="89"/>
      <c r="H22" s="89"/>
      <c r="I22" s="90"/>
      <c r="J22" s="91">
        <f t="shared" si="0"/>
        <v>0</v>
      </c>
    </row>
    <row r="23" spans="1:10" ht="18" x14ac:dyDescent="0.3">
      <c r="A23" s="78"/>
      <c r="B23" s="79"/>
      <c r="C23" s="79"/>
      <c r="D23" s="94"/>
      <c r="E23" s="89"/>
      <c r="F23" s="89"/>
      <c r="G23" s="89"/>
      <c r="H23" s="89"/>
      <c r="I23" s="93"/>
      <c r="J23" s="91">
        <f t="shared" si="0"/>
        <v>0</v>
      </c>
    </row>
    <row r="24" spans="1:10" ht="18" x14ac:dyDescent="0.3">
      <c r="A24" s="78"/>
      <c r="B24" s="79"/>
      <c r="C24" s="79"/>
      <c r="D24" s="94"/>
      <c r="E24" s="89"/>
      <c r="F24" s="89"/>
      <c r="G24" s="89"/>
      <c r="H24" s="89"/>
      <c r="I24" s="93"/>
      <c r="J24" s="91">
        <f t="shared" si="0"/>
        <v>0</v>
      </c>
    </row>
    <row r="25" spans="1:10" ht="18" x14ac:dyDescent="0.3">
      <c r="A25" s="78"/>
      <c r="B25" s="79"/>
      <c r="C25" s="79"/>
      <c r="D25" s="94"/>
      <c r="E25" s="89"/>
      <c r="F25" s="89"/>
      <c r="G25" s="89"/>
      <c r="H25" s="89"/>
      <c r="I25" s="93"/>
      <c r="J25" s="91">
        <f t="shared" si="0"/>
        <v>0</v>
      </c>
    </row>
    <row r="26" spans="1:10" ht="18" x14ac:dyDescent="0.3">
      <c r="A26" s="78"/>
      <c r="B26" s="79"/>
      <c r="C26" s="79"/>
      <c r="D26" s="94"/>
      <c r="E26" s="89"/>
      <c r="F26" s="89"/>
      <c r="G26" s="89"/>
      <c r="H26" s="89"/>
      <c r="I26" s="93"/>
      <c r="J26" s="91">
        <f t="shared" si="0"/>
        <v>0</v>
      </c>
    </row>
    <row r="27" spans="1:10" ht="18" x14ac:dyDescent="0.3">
      <c r="A27" s="78"/>
      <c r="B27" s="79"/>
      <c r="C27" s="79"/>
      <c r="D27" s="94"/>
      <c r="E27" s="89"/>
      <c r="F27" s="89"/>
      <c r="G27" s="89"/>
      <c r="H27" s="89"/>
      <c r="I27" s="93"/>
      <c r="J27" s="91">
        <f t="shared" si="0"/>
        <v>0</v>
      </c>
    </row>
    <row r="28" spans="1:10" ht="18" x14ac:dyDescent="0.3">
      <c r="A28" s="78"/>
      <c r="B28" s="79"/>
      <c r="C28" s="79"/>
      <c r="D28" s="94"/>
      <c r="E28" s="89"/>
      <c r="F28" s="89"/>
      <c r="G28" s="89"/>
      <c r="H28" s="89"/>
      <c r="I28" s="93"/>
      <c r="J28" s="91">
        <f t="shared" si="0"/>
        <v>0</v>
      </c>
    </row>
    <row r="29" spans="1:10" ht="18" x14ac:dyDescent="0.3">
      <c r="A29" s="78"/>
      <c r="B29" s="79"/>
      <c r="C29" s="79"/>
      <c r="D29" s="94"/>
      <c r="E29" s="89"/>
      <c r="F29" s="89"/>
      <c r="G29" s="89"/>
      <c r="H29" s="89"/>
      <c r="I29" s="93"/>
      <c r="J29" s="91">
        <f t="shared" si="0"/>
        <v>0</v>
      </c>
    </row>
    <row r="30" spans="1:10" ht="18" x14ac:dyDescent="0.3">
      <c r="A30" s="78"/>
      <c r="B30" s="79"/>
      <c r="C30" s="79"/>
      <c r="D30" s="94"/>
      <c r="E30" s="89"/>
      <c r="F30" s="89"/>
      <c r="G30" s="89"/>
      <c r="H30" s="89"/>
      <c r="I30" s="93"/>
      <c r="J30" s="91">
        <f t="shared" si="0"/>
        <v>0</v>
      </c>
    </row>
    <row r="31" spans="1:10" ht="18" x14ac:dyDescent="0.3">
      <c r="A31" s="78"/>
      <c r="B31" s="79"/>
      <c r="C31" s="79"/>
      <c r="D31" s="94"/>
      <c r="E31" s="89"/>
      <c r="F31" s="89"/>
      <c r="G31" s="89"/>
      <c r="H31" s="89"/>
      <c r="I31" s="93"/>
      <c r="J31" s="91">
        <f t="shared" si="0"/>
        <v>0</v>
      </c>
    </row>
    <row r="32" spans="1:10" ht="18" x14ac:dyDescent="0.3">
      <c r="A32" s="78"/>
      <c r="B32" s="79"/>
      <c r="C32" s="79"/>
      <c r="D32" s="94"/>
      <c r="E32" s="89"/>
      <c r="F32" s="89"/>
      <c r="G32" s="89"/>
      <c r="H32" s="89"/>
      <c r="I32" s="93"/>
      <c r="J32" s="91">
        <f t="shared" si="0"/>
        <v>0</v>
      </c>
    </row>
    <row r="33" spans="1:13" ht="18" x14ac:dyDescent="0.3">
      <c r="A33" s="78"/>
      <c r="B33" s="79"/>
      <c r="C33" s="79"/>
      <c r="D33" s="94"/>
      <c r="E33" s="89"/>
      <c r="F33" s="89"/>
      <c r="G33" s="89"/>
      <c r="H33" s="89"/>
      <c r="I33" s="93"/>
      <c r="J33" s="91">
        <f t="shared" si="0"/>
        <v>0</v>
      </c>
    </row>
    <row r="34" spans="1:13" ht="18" x14ac:dyDescent="0.3">
      <c r="A34" s="78"/>
      <c r="B34" s="79"/>
      <c r="C34" s="79"/>
      <c r="D34" s="94"/>
      <c r="E34" s="89"/>
      <c r="F34" s="89"/>
      <c r="G34" s="89"/>
      <c r="H34" s="89"/>
      <c r="I34" s="93"/>
      <c r="J34" s="91">
        <f t="shared" si="0"/>
        <v>0</v>
      </c>
    </row>
    <row r="35" spans="1:13" ht="18" x14ac:dyDescent="0.3">
      <c r="A35" s="78"/>
      <c r="B35" s="79"/>
      <c r="C35" s="79"/>
      <c r="D35" s="94"/>
      <c r="E35" s="89"/>
      <c r="F35" s="89"/>
      <c r="G35" s="89"/>
      <c r="H35" s="89"/>
      <c r="I35" s="93"/>
      <c r="J35" s="91">
        <f t="shared" si="0"/>
        <v>0</v>
      </c>
    </row>
    <row r="36" spans="1:13" ht="18" x14ac:dyDescent="0.3">
      <c r="A36" s="78"/>
      <c r="B36" s="79"/>
      <c r="C36" s="79"/>
      <c r="D36" s="94"/>
      <c r="E36" s="89"/>
      <c r="F36" s="89"/>
      <c r="G36" s="89"/>
      <c r="H36" s="89"/>
      <c r="I36" s="93"/>
      <c r="J36" s="91">
        <f t="shared" si="0"/>
        <v>0</v>
      </c>
    </row>
    <row r="37" spans="1:13" ht="18" x14ac:dyDescent="0.3">
      <c r="A37" s="78"/>
      <c r="B37" s="79"/>
      <c r="C37" s="79"/>
      <c r="D37" s="94"/>
      <c r="E37" s="89"/>
      <c r="F37" s="89"/>
      <c r="G37" s="89"/>
      <c r="H37" s="89"/>
      <c r="I37" s="93"/>
      <c r="J37" s="91">
        <f t="shared" si="0"/>
        <v>0</v>
      </c>
    </row>
    <row r="38" spans="1:13" ht="18" x14ac:dyDescent="0.3">
      <c r="A38" s="78"/>
      <c r="B38" s="79"/>
      <c r="C38" s="79"/>
      <c r="D38" s="94"/>
      <c r="E38" s="89"/>
      <c r="F38" s="89"/>
      <c r="G38" s="89"/>
      <c r="H38" s="89"/>
      <c r="I38" s="93"/>
      <c r="J38" s="91">
        <f t="shared" si="0"/>
        <v>0</v>
      </c>
    </row>
    <row r="39" spans="1:13" ht="18" x14ac:dyDescent="0.3">
      <c r="A39" s="78"/>
      <c r="B39" s="79"/>
      <c r="C39" s="79"/>
      <c r="D39" s="94"/>
      <c r="E39" s="89"/>
      <c r="F39" s="89"/>
      <c r="G39" s="89"/>
      <c r="H39" s="89"/>
      <c r="I39" s="93"/>
      <c r="J39" s="91">
        <f t="shared" si="0"/>
        <v>0</v>
      </c>
    </row>
    <row r="40" spans="1:13" ht="18" x14ac:dyDescent="0.3">
      <c r="A40" s="78"/>
      <c r="B40" s="79"/>
      <c r="C40" s="79"/>
      <c r="D40" s="94"/>
      <c r="E40" s="89"/>
      <c r="F40" s="89"/>
      <c r="G40" s="92"/>
      <c r="H40" s="89"/>
      <c r="I40" s="93"/>
      <c r="J40" s="91"/>
    </row>
    <row r="41" spans="1:13" ht="18" x14ac:dyDescent="0.3">
      <c r="A41" s="78"/>
      <c r="B41" s="79"/>
      <c r="C41" s="79"/>
      <c r="D41" s="94"/>
      <c r="E41" s="89"/>
      <c r="F41" s="89"/>
      <c r="G41" s="92"/>
      <c r="H41" s="89"/>
      <c r="I41" s="93"/>
      <c r="J41" s="91"/>
    </row>
    <row r="42" spans="1:13" ht="18" x14ac:dyDescent="0.3">
      <c r="A42" s="78"/>
      <c r="B42" s="79"/>
      <c r="C42" s="79"/>
      <c r="D42" s="94"/>
      <c r="E42" s="89"/>
      <c r="F42" s="89"/>
      <c r="G42" s="92"/>
      <c r="H42" s="89"/>
      <c r="I42" s="93"/>
      <c r="J42" s="91"/>
    </row>
    <row r="43" spans="1:13" ht="18" x14ac:dyDescent="0.3">
      <c r="A43" s="78"/>
      <c r="B43" s="79"/>
      <c r="C43" s="79"/>
      <c r="D43" s="94"/>
      <c r="E43" s="89"/>
      <c r="F43" s="89"/>
      <c r="G43" s="92"/>
      <c r="H43" s="89"/>
      <c r="I43" s="93"/>
      <c r="J43" s="91"/>
    </row>
    <row r="44" spans="1:13" ht="18" x14ac:dyDescent="0.3">
      <c r="A44" s="78"/>
      <c r="B44" s="79"/>
      <c r="C44" s="79"/>
      <c r="D44" s="94"/>
      <c r="E44" s="89"/>
      <c r="F44" s="89"/>
      <c r="G44" s="92"/>
      <c r="H44" s="89"/>
      <c r="I44" s="93"/>
      <c r="J44" s="91"/>
    </row>
    <row r="45" spans="1:13" ht="18" x14ac:dyDescent="0.3">
      <c r="A45" s="78"/>
      <c r="B45" s="79"/>
      <c r="C45" s="79"/>
      <c r="D45" s="95"/>
      <c r="E45" s="89"/>
      <c r="F45" s="89"/>
      <c r="G45" s="92"/>
      <c r="H45" s="89"/>
      <c r="I45" s="93"/>
      <c r="J45" s="91">
        <f t="shared" si="0"/>
        <v>0</v>
      </c>
    </row>
    <row r="46" spans="1:13" ht="18.75" thickBot="1" x14ac:dyDescent="0.35">
      <c r="A46" s="78"/>
      <c r="B46" s="79"/>
      <c r="C46" s="79"/>
      <c r="D46" s="96"/>
      <c r="E46" s="97"/>
      <c r="F46" s="97"/>
      <c r="G46" s="98"/>
      <c r="H46" s="97"/>
      <c r="I46" s="99"/>
      <c r="J46" s="100">
        <f t="shared" si="0"/>
        <v>0</v>
      </c>
      <c r="M46" s="105">
        <f>J47/1.5</f>
        <v>19.333333333333332</v>
      </c>
    </row>
    <row r="47" spans="1:13" ht="21" thickBot="1" x14ac:dyDescent="0.35">
      <c r="A47" s="78"/>
      <c r="B47" s="79"/>
      <c r="C47" s="79"/>
      <c r="D47" s="933" t="s">
        <v>10</v>
      </c>
      <c r="E47" s="934"/>
      <c r="F47" s="934"/>
      <c r="G47" s="934"/>
      <c r="H47" s="934"/>
      <c r="I47" s="935"/>
      <c r="J47" s="102">
        <f>ROUND(SUM(J8:J46),2)</f>
        <v>29</v>
      </c>
    </row>
    <row r="48" spans="1:13" ht="21" thickBot="1" x14ac:dyDescent="0.35">
      <c r="A48" s="78"/>
      <c r="B48" s="79"/>
      <c r="C48" s="79"/>
      <c r="D48" s="933" t="s">
        <v>1127</v>
      </c>
      <c r="E48" s="934"/>
      <c r="F48" s="934"/>
      <c r="G48" s="934"/>
      <c r="H48" s="934"/>
      <c r="I48" s="935"/>
      <c r="J48" s="103"/>
    </row>
    <row r="49" spans="1:10" ht="21" thickBot="1" x14ac:dyDescent="0.35">
      <c r="A49" s="78"/>
      <c r="B49" s="79"/>
      <c r="C49" s="101"/>
      <c r="D49" s="933" t="s">
        <v>1128</v>
      </c>
      <c r="E49" s="934"/>
      <c r="F49" s="934"/>
      <c r="G49" s="934"/>
      <c r="H49" s="934"/>
      <c r="I49" s="935"/>
      <c r="J49" s="104">
        <f>+J47-J48</f>
        <v>29</v>
      </c>
    </row>
    <row r="50" spans="1:10" ht="21" thickBot="1" x14ac:dyDescent="0.35">
      <c r="A50" s="936" t="s">
        <v>1129</v>
      </c>
      <c r="B50" s="937"/>
      <c r="C50" s="938"/>
      <c r="D50" s="939" t="s">
        <v>1130</v>
      </c>
      <c r="E50" s="940"/>
      <c r="F50" s="940"/>
      <c r="G50" s="940"/>
      <c r="H50" s="940"/>
      <c r="I50" s="940"/>
      <c r="J50" s="941"/>
    </row>
    <row r="51" spans="1:10" ht="38.25" customHeight="1" thickBot="1" x14ac:dyDescent="0.35">
      <c r="A51" s="942" t="str">
        <f>PPTO!G3</f>
        <v>JUNIO DE 2026</v>
      </c>
      <c r="B51" s="943"/>
      <c r="C51" s="944"/>
      <c r="D51" s="921"/>
      <c r="E51" s="922"/>
      <c r="F51" s="922"/>
      <c r="G51" s="922"/>
      <c r="H51" s="922"/>
      <c r="I51" s="922"/>
      <c r="J51" s="923"/>
    </row>
    <row r="52" spans="1:10" ht="19.5" thickBot="1" x14ac:dyDescent="0.35">
      <c r="A52" s="918"/>
      <c r="B52" s="919"/>
      <c r="C52" s="920"/>
      <c r="D52" s="921" t="s">
        <v>1131</v>
      </c>
      <c r="E52" s="922"/>
      <c r="F52" s="922"/>
      <c r="G52" s="922"/>
      <c r="H52" s="922"/>
      <c r="I52" s="922"/>
      <c r="J52" s="923"/>
    </row>
  </sheetData>
  <mergeCells count="19">
    <mergeCell ref="A52:C52"/>
    <mergeCell ref="D52:J52"/>
    <mergeCell ref="D6:D7"/>
    <mergeCell ref="E6:G6"/>
    <mergeCell ref="I6:I7"/>
    <mergeCell ref="J6:J7"/>
    <mergeCell ref="D47:I47"/>
    <mergeCell ref="D48:I48"/>
    <mergeCell ref="D49:I49"/>
    <mergeCell ref="A50:C50"/>
    <mergeCell ref="D50:J50"/>
    <mergeCell ref="A51:C51"/>
    <mergeCell ref="D51:J51"/>
    <mergeCell ref="A2:J2"/>
    <mergeCell ref="A3:J3"/>
    <mergeCell ref="A4:J4"/>
    <mergeCell ref="C5:D5"/>
    <mergeCell ref="G5:H5"/>
    <mergeCell ref="I5:J5"/>
  </mergeCells>
  <conditionalFormatting sqref="J8:J46">
    <cfRule type="cellIs" dxfId="37" priority="1" operator="equal">
      <formula>0</formula>
    </cfRule>
  </conditionalFormatting>
  <pageMargins left="0.7" right="0.7" top="0.75" bottom="0.75" header="0.3" footer="0.3"/>
  <pageSetup scale="50" orientation="landscape"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DBDFE8-765C-4D21-A06A-CC3F28FF871F}">
  <sheetPr>
    <tabColor rgb="FF92D050"/>
    <pageSetUpPr fitToPage="1"/>
  </sheetPr>
  <dimension ref="A1:M52"/>
  <sheetViews>
    <sheetView showOutlineSymbols="0" view="pageBreakPreview" topLeftCell="A23" zoomScale="60" zoomScaleNormal="70" workbookViewId="0">
      <selection activeCell="M47" sqref="M47"/>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05.75" customHeight="1" thickBot="1" x14ac:dyDescent="0.35">
      <c r="A5" s="72" t="s">
        <v>5</v>
      </c>
      <c r="B5" s="73">
        <v>6.8</v>
      </c>
      <c r="C5" s="913" t="str">
        <f>+VLOOKUP(B5,PPTO!B8:G94,2,FALSE)</f>
        <v>Suministro, transporte e instalación de Tubería PVC de 1" para alimentación de circuitos, incluye  elementos para el correcto funcionamiento.</v>
      </c>
      <c r="D5" s="914"/>
      <c r="E5" s="72" t="s">
        <v>7</v>
      </c>
      <c r="F5" s="74" t="str">
        <f>+VLOOKUP(B5,PPTO!B8:G94,3,FALSE)</f>
        <v>ML</v>
      </c>
      <c r="G5" s="915" t="s">
        <v>1120</v>
      </c>
      <c r="H5" s="915"/>
      <c r="I5" s="916">
        <f>+VLOOKUP(B5,PPTO!B8:G94,5,FALSE)</f>
        <v>52467.249552374342</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8" x14ac:dyDescent="0.3">
      <c r="A8" s="78"/>
      <c r="B8" s="79"/>
      <c r="C8" s="79"/>
      <c r="D8" s="88"/>
      <c r="E8" s="89"/>
      <c r="F8" s="89"/>
      <c r="G8" s="89"/>
      <c r="H8" s="89"/>
      <c r="I8" s="90"/>
      <c r="J8" s="87">
        <f>+PRODUCT(E8:I8)</f>
        <v>0</v>
      </c>
    </row>
    <row r="9" spans="1:10" ht="18" x14ac:dyDescent="0.3">
      <c r="A9" s="78"/>
      <c r="B9" s="79"/>
      <c r="C9" s="79"/>
      <c r="D9" s="94" t="s">
        <v>1212</v>
      </c>
      <c r="E9" s="89"/>
      <c r="F9" s="89">
        <f>+(4.53*4)+2.03+21.59</f>
        <v>41.74</v>
      </c>
      <c r="G9" s="89"/>
      <c r="H9" s="89"/>
      <c r="I9" s="93"/>
      <c r="J9" s="91">
        <f t="shared" ref="J9:J46" si="0">+PRODUCT(E9:I9)</f>
        <v>41.74</v>
      </c>
    </row>
    <row r="10" spans="1:10" ht="18" x14ac:dyDescent="0.3">
      <c r="A10" s="78"/>
      <c r="B10" s="79"/>
      <c r="C10" s="79"/>
      <c r="D10" s="94" t="s">
        <v>1217</v>
      </c>
      <c r="E10" s="89"/>
      <c r="F10" s="89">
        <f>14.97+8.15</f>
        <v>23.12</v>
      </c>
      <c r="G10" s="89"/>
      <c r="H10" s="89"/>
      <c r="I10" s="93"/>
      <c r="J10" s="91">
        <f t="shared" si="0"/>
        <v>23.12</v>
      </c>
    </row>
    <row r="11" spans="1:10" ht="18" x14ac:dyDescent="0.3">
      <c r="A11" s="78"/>
      <c r="B11" s="79"/>
      <c r="C11" s="79"/>
      <c r="D11" s="94" t="s">
        <v>1206</v>
      </c>
      <c r="E11" s="89"/>
      <c r="F11" s="89">
        <f>9.84+6.58+5.85</f>
        <v>22.270000000000003</v>
      </c>
      <c r="G11" s="89"/>
      <c r="H11" s="89"/>
      <c r="I11" s="93"/>
      <c r="J11" s="91">
        <f t="shared" si="0"/>
        <v>22.270000000000003</v>
      </c>
    </row>
    <row r="12" spans="1:10" ht="18" x14ac:dyDescent="0.3">
      <c r="A12" s="78"/>
      <c r="B12" s="79"/>
      <c r="C12" s="79"/>
      <c r="D12" s="94" t="s">
        <v>1216</v>
      </c>
      <c r="E12" s="89"/>
      <c r="F12" s="89">
        <f>3.79+1.75</f>
        <v>5.54</v>
      </c>
      <c r="G12" s="89"/>
      <c r="H12" s="89"/>
      <c r="I12" s="93"/>
      <c r="J12" s="91">
        <f t="shared" si="0"/>
        <v>5.54</v>
      </c>
    </row>
    <row r="13" spans="1:10" ht="18" x14ac:dyDescent="0.3">
      <c r="A13" s="78"/>
      <c r="B13" s="79"/>
      <c r="C13" s="79"/>
      <c r="D13" s="94" t="s">
        <v>1215</v>
      </c>
      <c r="E13" s="89"/>
      <c r="F13" s="89">
        <v>0</v>
      </c>
      <c r="G13" s="89"/>
      <c r="H13" s="89"/>
      <c r="I13" s="93"/>
      <c r="J13" s="91">
        <f t="shared" si="0"/>
        <v>0</v>
      </c>
    </row>
    <row r="14" spans="1:10" ht="18" x14ac:dyDescent="0.3">
      <c r="A14" s="78"/>
      <c r="B14" s="79"/>
      <c r="C14" s="79"/>
      <c r="D14" s="94" t="s">
        <v>1202</v>
      </c>
      <c r="E14" s="89"/>
      <c r="F14" s="89">
        <f>14.13+4.42</f>
        <v>18.55</v>
      </c>
      <c r="G14" s="89"/>
      <c r="H14" s="89"/>
      <c r="I14" s="93"/>
      <c r="J14" s="91">
        <f t="shared" si="0"/>
        <v>18.55</v>
      </c>
    </row>
    <row r="15" spans="1:10" ht="18" x14ac:dyDescent="0.3">
      <c r="A15" s="78"/>
      <c r="B15" s="79"/>
      <c r="C15" s="79"/>
      <c r="D15" s="94" t="s">
        <v>1207</v>
      </c>
      <c r="E15" s="89"/>
      <c r="F15" s="89">
        <v>27.43</v>
      </c>
      <c r="G15" s="89"/>
      <c r="H15" s="89"/>
      <c r="I15" s="93"/>
      <c r="J15" s="91">
        <f t="shared" si="0"/>
        <v>27.43</v>
      </c>
    </row>
    <row r="16" spans="1:10" ht="18" x14ac:dyDescent="0.3">
      <c r="A16" s="78"/>
      <c r="B16" s="79"/>
      <c r="C16" s="79"/>
      <c r="D16" s="94" t="s">
        <v>1213</v>
      </c>
      <c r="E16" s="89"/>
      <c r="F16" s="89">
        <f>3.19+6.67</f>
        <v>9.86</v>
      </c>
      <c r="G16" s="89"/>
      <c r="H16" s="89"/>
      <c r="I16" s="93"/>
      <c r="J16" s="91">
        <f t="shared" si="0"/>
        <v>9.86</v>
      </c>
    </row>
    <row r="17" spans="1:10" ht="18" x14ac:dyDescent="0.3">
      <c r="A17" s="78"/>
      <c r="B17" s="79"/>
      <c r="C17" s="79"/>
      <c r="D17" s="88" t="s">
        <v>1203</v>
      </c>
      <c r="E17" s="89"/>
      <c r="F17" s="89">
        <f>3.56+10.16+2.49+10.16</f>
        <v>26.37</v>
      </c>
      <c r="G17" s="89"/>
      <c r="H17" s="89"/>
      <c r="I17" s="93"/>
      <c r="J17" s="91">
        <f t="shared" si="0"/>
        <v>26.37</v>
      </c>
    </row>
    <row r="18" spans="1:10" ht="18" x14ac:dyDescent="0.3">
      <c r="A18" s="78"/>
      <c r="B18" s="79"/>
      <c r="C18" s="79"/>
      <c r="D18" s="94" t="s">
        <v>1218</v>
      </c>
      <c r="E18" s="89"/>
      <c r="F18" s="89">
        <f>0.93+11.72</f>
        <v>12.65</v>
      </c>
      <c r="G18" s="89"/>
      <c r="H18" s="89"/>
      <c r="I18" s="93"/>
      <c r="J18" s="91">
        <f t="shared" si="0"/>
        <v>12.65</v>
      </c>
    </row>
    <row r="19" spans="1:10" ht="18" x14ac:dyDescent="0.3">
      <c r="A19" s="78"/>
      <c r="B19" s="79"/>
      <c r="C19" s="79"/>
      <c r="D19" s="94"/>
      <c r="E19" s="89"/>
      <c r="F19" s="89"/>
      <c r="G19" s="89"/>
      <c r="H19" s="89"/>
      <c r="I19" s="93"/>
      <c r="J19" s="91">
        <f t="shared" si="0"/>
        <v>0</v>
      </c>
    </row>
    <row r="20" spans="1:10" ht="18" x14ac:dyDescent="0.3">
      <c r="A20" s="78"/>
      <c r="B20" s="79"/>
      <c r="C20" s="79"/>
      <c r="D20" s="94"/>
      <c r="E20" s="89"/>
      <c r="F20" s="89"/>
      <c r="G20" s="89"/>
      <c r="H20" s="89"/>
      <c r="I20" s="90"/>
      <c r="J20" s="91">
        <f t="shared" si="0"/>
        <v>0</v>
      </c>
    </row>
    <row r="21" spans="1:10" ht="18" x14ac:dyDescent="0.3">
      <c r="A21" s="78"/>
      <c r="B21" s="79"/>
      <c r="C21" s="79"/>
      <c r="D21" s="88"/>
      <c r="E21" s="89"/>
      <c r="F21" s="89"/>
      <c r="G21" s="89"/>
      <c r="H21" s="89"/>
      <c r="I21" s="90"/>
      <c r="J21" s="91">
        <f t="shared" si="0"/>
        <v>0</v>
      </c>
    </row>
    <row r="22" spans="1:10" ht="18" x14ac:dyDescent="0.3">
      <c r="A22" s="78"/>
      <c r="B22" s="79"/>
      <c r="C22" s="79"/>
      <c r="D22" s="88"/>
      <c r="E22" s="89"/>
      <c r="F22" s="89"/>
      <c r="G22" s="89"/>
      <c r="H22" s="89"/>
      <c r="I22" s="90"/>
      <c r="J22" s="91">
        <f t="shared" si="0"/>
        <v>0</v>
      </c>
    </row>
    <row r="23" spans="1:10" ht="18" x14ac:dyDescent="0.3">
      <c r="A23" s="78"/>
      <c r="B23" s="79"/>
      <c r="C23" s="79"/>
      <c r="D23" s="94"/>
      <c r="E23" s="89"/>
      <c r="F23" s="89"/>
      <c r="G23" s="89"/>
      <c r="H23" s="89"/>
      <c r="I23" s="93"/>
      <c r="J23" s="91">
        <f t="shared" si="0"/>
        <v>0</v>
      </c>
    </row>
    <row r="24" spans="1:10" ht="18" x14ac:dyDescent="0.3">
      <c r="A24" s="78"/>
      <c r="B24" s="79"/>
      <c r="C24" s="79"/>
      <c r="D24" s="94"/>
      <c r="E24" s="89"/>
      <c r="F24" s="89"/>
      <c r="G24" s="89"/>
      <c r="H24" s="89"/>
      <c r="I24" s="93"/>
      <c r="J24" s="91">
        <f t="shared" si="0"/>
        <v>0</v>
      </c>
    </row>
    <row r="25" spans="1:10" ht="18" x14ac:dyDescent="0.3">
      <c r="A25" s="78"/>
      <c r="B25" s="79"/>
      <c r="C25" s="79"/>
      <c r="D25" s="94"/>
      <c r="E25" s="89"/>
      <c r="F25" s="89"/>
      <c r="G25" s="89"/>
      <c r="H25" s="89"/>
      <c r="I25" s="93"/>
      <c r="J25" s="91">
        <f t="shared" si="0"/>
        <v>0</v>
      </c>
    </row>
    <row r="26" spans="1:10" ht="18" x14ac:dyDescent="0.3">
      <c r="A26" s="78"/>
      <c r="B26" s="79"/>
      <c r="C26" s="79"/>
      <c r="D26" s="94"/>
      <c r="E26" s="89"/>
      <c r="F26" s="89"/>
      <c r="G26" s="89"/>
      <c r="H26" s="89"/>
      <c r="I26" s="93"/>
      <c r="J26" s="91">
        <f t="shared" si="0"/>
        <v>0</v>
      </c>
    </row>
    <row r="27" spans="1:10" ht="18" x14ac:dyDescent="0.3">
      <c r="A27" s="78"/>
      <c r="B27" s="79"/>
      <c r="C27" s="79"/>
      <c r="D27" s="94"/>
      <c r="E27" s="89"/>
      <c r="F27" s="89"/>
      <c r="G27" s="89"/>
      <c r="H27" s="89"/>
      <c r="I27" s="93"/>
      <c r="J27" s="91">
        <f t="shared" si="0"/>
        <v>0</v>
      </c>
    </row>
    <row r="28" spans="1:10" ht="18" x14ac:dyDescent="0.3">
      <c r="A28" s="78"/>
      <c r="B28" s="79"/>
      <c r="C28" s="79"/>
      <c r="D28" s="94"/>
      <c r="E28" s="89"/>
      <c r="F28" s="89"/>
      <c r="G28" s="89"/>
      <c r="H28" s="89"/>
      <c r="I28" s="93"/>
      <c r="J28" s="91">
        <f t="shared" si="0"/>
        <v>0</v>
      </c>
    </row>
    <row r="29" spans="1:10" ht="18" x14ac:dyDescent="0.3">
      <c r="A29" s="78"/>
      <c r="B29" s="79"/>
      <c r="C29" s="79"/>
      <c r="D29" s="94"/>
      <c r="E29" s="89"/>
      <c r="F29" s="89"/>
      <c r="G29" s="89"/>
      <c r="H29" s="89"/>
      <c r="I29" s="93"/>
      <c r="J29" s="91">
        <f t="shared" si="0"/>
        <v>0</v>
      </c>
    </row>
    <row r="30" spans="1:10" ht="18" x14ac:dyDescent="0.3">
      <c r="A30" s="78"/>
      <c r="B30" s="79"/>
      <c r="C30" s="79"/>
      <c r="D30" s="94"/>
      <c r="E30" s="89"/>
      <c r="F30" s="89"/>
      <c r="G30" s="89"/>
      <c r="H30" s="89"/>
      <c r="I30" s="93"/>
      <c r="J30" s="91">
        <f t="shared" si="0"/>
        <v>0</v>
      </c>
    </row>
    <row r="31" spans="1:10" ht="18" x14ac:dyDescent="0.3">
      <c r="A31" s="78"/>
      <c r="B31" s="79"/>
      <c r="C31" s="79"/>
      <c r="D31" s="94"/>
      <c r="E31" s="89"/>
      <c r="F31" s="89"/>
      <c r="G31" s="89"/>
      <c r="H31" s="89"/>
      <c r="I31" s="93"/>
      <c r="J31" s="91">
        <f t="shared" si="0"/>
        <v>0</v>
      </c>
    </row>
    <row r="32" spans="1:10" ht="18" x14ac:dyDescent="0.3">
      <c r="A32" s="78"/>
      <c r="B32" s="79"/>
      <c r="C32" s="79"/>
      <c r="D32" s="94"/>
      <c r="E32" s="89"/>
      <c r="F32" s="89"/>
      <c r="G32" s="89"/>
      <c r="H32" s="89"/>
      <c r="I32" s="93"/>
      <c r="J32" s="91">
        <f t="shared" si="0"/>
        <v>0</v>
      </c>
    </row>
    <row r="33" spans="1:13" ht="18" x14ac:dyDescent="0.3">
      <c r="A33" s="78"/>
      <c r="B33" s="79"/>
      <c r="C33" s="79"/>
      <c r="D33" s="94"/>
      <c r="E33" s="89"/>
      <c r="F33" s="89"/>
      <c r="G33" s="89"/>
      <c r="H33" s="89"/>
      <c r="I33" s="93"/>
      <c r="J33" s="91">
        <f t="shared" si="0"/>
        <v>0</v>
      </c>
    </row>
    <row r="34" spans="1:13" ht="18" x14ac:dyDescent="0.3">
      <c r="A34" s="78"/>
      <c r="B34" s="79"/>
      <c r="C34" s="79"/>
      <c r="D34" s="94"/>
      <c r="E34" s="89"/>
      <c r="F34" s="89"/>
      <c r="G34" s="89"/>
      <c r="H34" s="89"/>
      <c r="I34" s="93"/>
      <c r="J34" s="91">
        <f t="shared" si="0"/>
        <v>0</v>
      </c>
    </row>
    <row r="35" spans="1:13" ht="18" x14ac:dyDescent="0.3">
      <c r="A35" s="78"/>
      <c r="B35" s="79"/>
      <c r="C35" s="79"/>
      <c r="D35" s="94"/>
      <c r="E35" s="89"/>
      <c r="F35" s="89"/>
      <c r="G35" s="89"/>
      <c r="H35" s="89"/>
      <c r="I35" s="93"/>
      <c r="J35" s="91">
        <f t="shared" si="0"/>
        <v>0</v>
      </c>
    </row>
    <row r="36" spans="1:13" ht="18" x14ac:dyDescent="0.3">
      <c r="A36" s="78"/>
      <c r="B36" s="79"/>
      <c r="C36" s="79"/>
      <c r="D36" s="94"/>
      <c r="E36" s="89"/>
      <c r="F36" s="89"/>
      <c r="G36" s="89"/>
      <c r="H36" s="89"/>
      <c r="I36" s="93"/>
      <c r="J36" s="91">
        <f t="shared" si="0"/>
        <v>0</v>
      </c>
    </row>
    <row r="37" spans="1:13" ht="18" x14ac:dyDescent="0.3">
      <c r="A37" s="78"/>
      <c r="B37" s="79"/>
      <c r="C37" s="79"/>
      <c r="D37" s="94"/>
      <c r="E37" s="89"/>
      <c r="F37" s="89"/>
      <c r="G37" s="89"/>
      <c r="H37" s="89"/>
      <c r="I37" s="93"/>
      <c r="J37" s="91">
        <f t="shared" si="0"/>
        <v>0</v>
      </c>
    </row>
    <row r="38" spans="1:13" ht="18" x14ac:dyDescent="0.3">
      <c r="A38" s="78"/>
      <c r="B38" s="79"/>
      <c r="C38" s="79"/>
      <c r="D38" s="94"/>
      <c r="E38" s="89"/>
      <c r="F38" s="89"/>
      <c r="G38" s="89"/>
      <c r="H38" s="89"/>
      <c r="I38" s="93"/>
      <c r="J38" s="91">
        <f t="shared" si="0"/>
        <v>0</v>
      </c>
    </row>
    <row r="39" spans="1:13" ht="18" x14ac:dyDescent="0.3">
      <c r="A39" s="78"/>
      <c r="B39" s="79"/>
      <c r="C39" s="79"/>
      <c r="D39" s="94"/>
      <c r="E39" s="89"/>
      <c r="F39" s="89"/>
      <c r="G39" s="89"/>
      <c r="H39" s="89"/>
      <c r="I39" s="93"/>
      <c r="J39" s="91">
        <f t="shared" si="0"/>
        <v>0</v>
      </c>
    </row>
    <row r="40" spans="1:13" ht="18" x14ac:dyDescent="0.3">
      <c r="A40" s="78"/>
      <c r="B40" s="79"/>
      <c r="C40" s="79"/>
      <c r="D40" s="94"/>
      <c r="E40" s="89"/>
      <c r="F40" s="89"/>
      <c r="G40" s="92"/>
      <c r="H40" s="89"/>
      <c r="I40" s="93"/>
      <c r="J40" s="91"/>
    </row>
    <row r="41" spans="1:13" ht="18" x14ac:dyDescent="0.3">
      <c r="A41" s="78"/>
      <c r="B41" s="79"/>
      <c r="C41" s="79"/>
      <c r="D41" s="94"/>
      <c r="E41" s="89"/>
      <c r="F41" s="89"/>
      <c r="G41" s="92"/>
      <c r="H41" s="89"/>
      <c r="I41" s="93"/>
      <c r="J41" s="91"/>
    </row>
    <row r="42" spans="1:13" ht="18" x14ac:dyDescent="0.3">
      <c r="A42" s="78"/>
      <c r="B42" s="79"/>
      <c r="C42" s="79"/>
      <c r="D42" s="94"/>
      <c r="E42" s="89"/>
      <c r="F42" s="89"/>
      <c r="G42" s="92"/>
      <c r="H42" s="89"/>
      <c r="I42" s="93"/>
      <c r="J42" s="91"/>
    </row>
    <row r="43" spans="1:13" ht="18" x14ac:dyDescent="0.3">
      <c r="A43" s="78"/>
      <c r="B43" s="79"/>
      <c r="C43" s="79"/>
      <c r="D43" s="94"/>
      <c r="E43" s="89"/>
      <c r="F43" s="89"/>
      <c r="G43" s="92"/>
      <c r="H43" s="89"/>
      <c r="I43" s="93"/>
      <c r="J43" s="91"/>
    </row>
    <row r="44" spans="1:13" ht="18" x14ac:dyDescent="0.3">
      <c r="A44" s="78"/>
      <c r="B44" s="79"/>
      <c r="C44" s="79"/>
      <c r="D44" s="94"/>
      <c r="E44" s="89"/>
      <c r="F44" s="89"/>
      <c r="G44" s="92"/>
      <c r="H44" s="89"/>
      <c r="I44" s="93"/>
      <c r="J44" s="91"/>
    </row>
    <row r="45" spans="1:13" ht="18" x14ac:dyDescent="0.3">
      <c r="A45" s="78"/>
      <c r="B45" s="79"/>
      <c r="C45" s="79"/>
      <c r="D45" s="95"/>
      <c r="E45" s="89"/>
      <c r="F45" s="89"/>
      <c r="G45" s="92"/>
      <c r="H45" s="89"/>
      <c r="I45" s="93"/>
      <c r="J45" s="91">
        <f t="shared" si="0"/>
        <v>0</v>
      </c>
    </row>
    <row r="46" spans="1:13" ht="18.75" thickBot="1" x14ac:dyDescent="0.35">
      <c r="A46" s="78"/>
      <c r="B46" s="79"/>
      <c r="C46" s="79"/>
      <c r="D46" s="96"/>
      <c r="E46" s="97"/>
      <c r="F46" s="97"/>
      <c r="G46" s="98"/>
      <c r="H46" s="97"/>
      <c r="I46" s="99"/>
      <c r="J46" s="100">
        <f t="shared" si="0"/>
        <v>0</v>
      </c>
      <c r="M46" s="105"/>
    </row>
    <row r="47" spans="1:13" ht="21" thickBot="1" x14ac:dyDescent="0.35">
      <c r="A47" s="78"/>
      <c r="B47" s="79"/>
      <c r="C47" s="79"/>
      <c r="D47" s="933" t="s">
        <v>10</v>
      </c>
      <c r="E47" s="934"/>
      <c r="F47" s="934"/>
      <c r="G47" s="934"/>
      <c r="H47" s="934"/>
      <c r="I47" s="935"/>
      <c r="J47" s="102">
        <f>ROUND(SUM(J8:J46),2)</f>
        <v>187.53</v>
      </c>
    </row>
    <row r="48" spans="1:13" ht="21" thickBot="1" x14ac:dyDescent="0.35">
      <c r="A48" s="78"/>
      <c r="B48" s="79"/>
      <c r="C48" s="79"/>
      <c r="D48" s="933" t="s">
        <v>1127</v>
      </c>
      <c r="E48" s="934"/>
      <c r="F48" s="934"/>
      <c r="G48" s="934"/>
      <c r="H48" s="934"/>
      <c r="I48" s="935"/>
      <c r="J48" s="103"/>
    </row>
    <row r="49" spans="1:10" ht="21" thickBot="1" x14ac:dyDescent="0.35">
      <c r="A49" s="78"/>
      <c r="B49" s="79"/>
      <c r="C49" s="101"/>
      <c r="D49" s="933" t="s">
        <v>1128</v>
      </c>
      <c r="E49" s="934"/>
      <c r="F49" s="934"/>
      <c r="G49" s="934"/>
      <c r="H49" s="934"/>
      <c r="I49" s="935"/>
      <c r="J49" s="104">
        <f>+J47-J48</f>
        <v>187.53</v>
      </c>
    </row>
    <row r="50" spans="1:10" ht="21" thickBot="1" x14ac:dyDescent="0.35">
      <c r="A50" s="936" t="s">
        <v>1129</v>
      </c>
      <c r="B50" s="937"/>
      <c r="C50" s="938"/>
      <c r="D50" s="939" t="s">
        <v>1130</v>
      </c>
      <c r="E50" s="940"/>
      <c r="F50" s="940"/>
      <c r="G50" s="940"/>
      <c r="H50" s="940"/>
      <c r="I50" s="940"/>
      <c r="J50" s="941"/>
    </row>
    <row r="51" spans="1:10" ht="38.25" customHeight="1" thickBot="1" x14ac:dyDescent="0.35">
      <c r="A51" s="942" t="str">
        <f>PPTO!G3</f>
        <v>JUNIO DE 2026</v>
      </c>
      <c r="B51" s="943"/>
      <c r="C51" s="944"/>
      <c r="D51" s="921"/>
      <c r="E51" s="922"/>
      <c r="F51" s="922"/>
      <c r="G51" s="922"/>
      <c r="H51" s="922"/>
      <c r="I51" s="922"/>
      <c r="J51" s="923"/>
    </row>
    <row r="52" spans="1:10" ht="19.5" thickBot="1" x14ac:dyDescent="0.35">
      <c r="A52" s="918"/>
      <c r="B52" s="919"/>
      <c r="C52" s="920"/>
      <c r="D52" s="921" t="s">
        <v>1131</v>
      </c>
      <c r="E52" s="922"/>
      <c r="F52" s="922"/>
      <c r="G52" s="922"/>
      <c r="H52" s="922"/>
      <c r="I52" s="922"/>
      <c r="J52" s="923"/>
    </row>
  </sheetData>
  <mergeCells count="19">
    <mergeCell ref="A52:C52"/>
    <mergeCell ref="D52:J52"/>
    <mergeCell ref="D6:D7"/>
    <mergeCell ref="E6:G6"/>
    <mergeCell ref="I6:I7"/>
    <mergeCell ref="J6:J7"/>
    <mergeCell ref="D47:I47"/>
    <mergeCell ref="D48:I48"/>
    <mergeCell ref="D49:I49"/>
    <mergeCell ref="A50:C50"/>
    <mergeCell ref="D50:J50"/>
    <mergeCell ref="A51:C51"/>
    <mergeCell ref="D51:J51"/>
    <mergeCell ref="A2:J2"/>
    <mergeCell ref="A3:J3"/>
    <mergeCell ref="A4:J4"/>
    <mergeCell ref="C5:D5"/>
    <mergeCell ref="G5:H5"/>
    <mergeCell ref="I5:J5"/>
  </mergeCells>
  <conditionalFormatting sqref="J8:J46">
    <cfRule type="cellIs" dxfId="36" priority="1" operator="equal">
      <formula>0</formula>
    </cfRule>
  </conditionalFormatting>
  <pageMargins left="0.7" right="0.7" top="0.75" bottom="0.75" header="0.3" footer="0.3"/>
  <pageSetup scale="50" orientation="landscape"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476533-90D3-4E7C-9006-1F93BADB875E}">
  <sheetPr>
    <tabColor rgb="FF92D050"/>
    <pageSetUpPr fitToPage="1"/>
  </sheetPr>
  <dimension ref="A1:M52"/>
  <sheetViews>
    <sheetView showOutlineSymbols="0" view="pageBreakPreview" topLeftCell="A2" zoomScale="60" zoomScaleNormal="70" workbookViewId="0">
      <selection activeCell="M47" sqref="M47"/>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05.75" customHeight="1" thickBot="1" x14ac:dyDescent="0.35">
      <c r="A5" s="72" t="s">
        <v>5</v>
      </c>
      <c r="B5" s="73">
        <v>6.9</v>
      </c>
      <c r="C5" s="913" t="str">
        <f>+VLOOKUP(B5,PPTO!B8:G94,2,FALSE)</f>
        <v>Suministro, transporte e instalación de tablero de distribución especial, tablero de distribución final y tabler de distribución final regulado, con espacio para totalizador y breackers. Incluye marcación elementos para el correcto funcionamiento.</v>
      </c>
      <c r="D5" s="914"/>
      <c r="E5" s="72" t="s">
        <v>7</v>
      </c>
      <c r="F5" s="74" t="str">
        <f>+VLOOKUP(B5,PPTO!B8:G94,3,FALSE)</f>
        <v>UN</v>
      </c>
      <c r="G5" s="915" t="s">
        <v>1120</v>
      </c>
      <c r="H5" s="915"/>
      <c r="I5" s="916">
        <f>+VLOOKUP(B5,PPTO!B8:G94,5,FALSE)</f>
        <v>1216174.1181118255</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36" x14ac:dyDescent="0.3">
      <c r="A8" s="78"/>
      <c r="B8" s="79"/>
      <c r="C8" s="79"/>
      <c r="D8" s="429" t="s">
        <v>1219</v>
      </c>
      <c r="E8" s="89"/>
      <c r="F8" s="89"/>
      <c r="G8" s="89"/>
      <c r="H8" s="89"/>
      <c r="I8" s="90">
        <v>1</v>
      </c>
      <c r="J8" s="87">
        <f>+I8</f>
        <v>1</v>
      </c>
    </row>
    <row r="9" spans="1:10" ht="18" x14ac:dyDescent="0.3">
      <c r="A9" s="78"/>
      <c r="B9" s="79"/>
      <c r="C9" s="79"/>
      <c r="D9" s="94"/>
      <c r="E9" s="89"/>
      <c r="F9" s="89"/>
      <c r="G9" s="89"/>
      <c r="H9" s="89"/>
      <c r="I9" s="93"/>
      <c r="J9" s="91">
        <f t="shared" ref="J9:J46" si="0">+PRODUCT(E9:I9)</f>
        <v>0</v>
      </c>
    </row>
    <row r="10" spans="1:10" ht="18" x14ac:dyDescent="0.3">
      <c r="A10" s="78"/>
      <c r="B10" s="79"/>
      <c r="C10" s="79"/>
      <c r="D10" s="94"/>
      <c r="E10" s="89"/>
      <c r="F10" s="89"/>
      <c r="G10" s="89"/>
      <c r="H10" s="89"/>
      <c r="I10" s="93"/>
      <c r="J10" s="91">
        <f t="shared" si="0"/>
        <v>0</v>
      </c>
    </row>
    <row r="11" spans="1:10" ht="18" x14ac:dyDescent="0.3">
      <c r="A11" s="78"/>
      <c r="B11" s="79"/>
      <c r="C11" s="79"/>
      <c r="D11" s="94"/>
      <c r="E11" s="89"/>
      <c r="F11" s="89"/>
      <c r="G11" s="89"/>
      <c r="H11" s="89"/>
      <c r="I11" s="93"/>
      <c r="J11" s="91">
        <f t="shared" si="0"/>
        <v>0</v>
      </c>
    </row>
    <row r="12" spans="1:10" ht="18" x14ac:dyDescent="0.3">
      <c r="A12" s="78"/>
      <c r="B12" s="79"/>
      <c r="C12" s="79"/>
      <c r="D12" s="94"/>
      <c r="E12" s="89"/>
      <c r="F12" s="89"/>
      <c r="G12" s="89"/>
      <c r="H12" s="89"/>
      <c r="I12" s="93"/>
      <c r="J12" s="91">
        <f t="shared" si="0"/>
        <v>0</v>
      </c>
    </row>
    <row r="13" spans="1:10" ht="18" x14ac:dyDescent="0.3">
      <c r="A13" s="78"/>
      <c r="B13" s="79"/>
      <c r="C13" s="79"/>
      <c r="D13" s="94"/>
      <c r="E13" s="89"/>
      <c r="F13" s="89"/>
      <c r="G13" s="89"/>
      <c r="H13" s="89"/>
      <c r="I13" s="93"/>
      <c r="J13" s="91">
        <f t="shared" si="0"/>
        <v>0</v>
      </c>
    </row>
    <row r="14" spans="1:10" ht="18" x14ac:dyDescent="0.3">
      <c r="A14" s="78"/>
      <c r="B14" s="79"/>
      <c r="C14" s="79"/>
      <c r="D14" s="94"/>
      <c r="E14" s="89"/>
      <c r="F14" s="89"/>
      <c r="G14" s="89"/>
      <c r="H14" s="89"/>
      <c r="I14" s="93"/>
      <c r="J14" s="91">
        <f t="shared" si="0"/>
        <v>0</v>
      </c>
    </row>
    <row r="15" spans="1:10" ht="18" x14ac:dyDescent="0.3">
      <c r="A15" s="78"/>
      <c r="B15" s="79"/>
      <c r="C15" s="79"/>
      <c r="D15" s="94"/>
      <c r="E15" s="89"/>
      <c r="F15" s="89"/>
      <c r="G15" s="89"/>
      <c r="H15" s="89"/>
      <c r="I15" s="93"/>
      <c r="J15" s="91">
        <f t="shared" si="0"/>
        <v>0</v>
      </c>
    </row>
    <row r="16" spans="1:10" ht="18" x14ac:dyDescent="0.3">
      <c r="A16" s="78"/>
      <c r="B16" s="79"/>
      <c r="C16" s="79"/>
      <c r="D16" s="94"/>
      <c r="E16" s="89"/>
      <c r="F16" s="89"/>
      <c r="G16" s="89"/>
      <c r="H16" s="89"/>
      <c r="I16" s="93"/>
      <c r="J16" s="91">
        <f t="shared" si="0"/>
        <v>0</v>
      </c>
    </row>
    <row r="17" spans="1:10" ht="18" x14ac:dyDescent="0.3">
      <c r="A17" s="78"/>
      <c r="B17" s="79"/>
      <c r="C17" s="79"/>
      <c r="D17" s="94"/>
      <c r="E17" s="89"/>
      <c r="F17" s="89"/>
      <c r="G17" s="89"/>
      <c r="H17" s="89"/>
      <c r="I17" s="93"/>
      <c r="J17" s="91">
        <f t="shared" si="0"/>
        <v>0</v>
      </c>
    </row>
    <row r="18" spans="1:10" ht="18" x14ac:dyDescent="0.3">
      <c r="A18" s="78"/>
      <c r="B18" s="79"/>
      <c r="C18" s="79"/>
      <c r="D18" s="94"/>
      <c r="E18" s="89"/>
      <c r="F18" s="89"/>
      <c r="G18" s="89"/>
      <c r="H18" s="89"/>
      <c r="I18" s="93"/>
      <c r="J18" s="91">
        <f t="shared" si="0"/>
        <v>0</v>
      </c>
    </row>
    <row r="19" spans="1:10" ht="18" x14ac:dyDescent="0.3">
      <c r="A19" s="78"/>
      <c r="B19" s="79"/>
      <c r="C19" s="79"/>
      <c r="D19" s="95"/>
      <c r="E19" s="89"/>
      <c r="F19" s="89"/>
      <c r="G19" s="89"/>
      <c r="H19" s="89"/>
      <c r="I19" s="93"/>
      <c r="J19" s="91">
        <f t="shared" si="0"/>
        <v>0</v>
      </c>
    </row>
    <row r="20" spans="1:10" ht="18" x14ac:dyDescent="0.3">
      <c r="A20" s="78"/>
      <c r="B20" s="79"/>
      <c r="C20" s="79"/>
      <c r="D20" s="88"/>
      <c r="E20" s="89"/>
      <c r="F20" s="89"/>
      <c r="G20" s="89"/>
      <c r="H20" s="89"/>
      <c r="I20" s="90"/>
      <c r="J20" s="91">
        <f t="shared" si="0"/>
        <v>0</v>
      </c>
    </row>
    <row r="21" spans="1:10" ht="18" x14ac:dyDescent="0.3">
      <c r="A21" s="78"/>
      <c r="B21" s="79"/>
      <c r="C21" s="79"/>
      <c r="D21" s="88"/>
      <c r="E21" s="89"/>
      <c r="F21" s="89"/>
      <c r="G21" s="89"/>
      <c r="H21" s="89"/>
      <c r="I21" s="90"/>
      <c r="J21" s="91">
        <f t="shared" si="0"/>
        <v>0</v>
      </c>
    </row>
    <row r="22" spans="1:10" ht="18" x14ac:dyDescent="0.3">
      <c r="A22" s="78"/>
      <c r="B22" s="79"/>
      <c r="C22" s="79"/>
      <c r="D22" s="88"/>
      <c r="E22" s="89"/>
      <c r="F22" s="89"/>
      <c r="G22" s="89"/>
      <c r="H22" s="89"/>
      <c r="I22" s="90"/>
      <c r="J22" s="91">
        <f t="shared" si="0"/>
        <v>0</v>
      </c>
    </row>
    <row r="23" spans="1:10" ht="18" x14ac:dyDescent="0.3">
      <c r="A23" s="78"/>
      <c r="B23" s="79"/>
      <c r="C23" s="79"/>
      <c r="D23" s="94"/>
      <c r="E23" s="89"/>
      <c r="F23" s="89"/>
      <c r="G23" s="89"/>
      <c r="H23" s="89"/>
      <c r="I23" s="93"/>
      <c r="J23" s="91">
        <f t="shared" si="0"/>
        <v>0</v>
      </c>
    </row>
    <row r="24" spans="1:10" ht="18" x14ac:dyDescent="0.3">
      <c r="A24" s="78"/>
      <c r="B24" s="79"/>
      <c r="C24" s="79"/>
      <c r="D24" s="94"/>
      <c r="E24" s="89"/>
      <c r="F24" s="89"/>
      <c r="G24" s="89"/>
      <c r="H24" s="89"/>
      <c r="I24" s="93"/>
      <c r="J24" s="91">
        <f t="shared" si="0"/>
        <v>0</v>
      </c>
    </row>
    <row r="25" spans="1:10" ht="18" x14ac:dyDescent="0.3">
      <c r="A25" s="78"/>
      <c r="B25" s="79"/>
      <c r="C25" s="79"/>
      <c r="D25" s="94"/>
      <c r="E25" s="89"/>
      <c r="F25" s="89"/>
      <c r="G25" s="89"/>
      <c r="H25" s="89"/>
      <c r="I25" s="93"/>
      <c r="J25" s="91">
        <f t="shared" si="0"/>
        <v>0</v>
      </c>
    </row>
    <row r="26" spans="1:10" ht="18" x14ac:dyDescent="0.3">
      <c r="A26" s="78"/>
      <c r="B26" s="79"/>
      <c r="C26" s="79"/>
      <c r="D26" s="94"/>
      <c r="E26" s="89"/>
      <c r="F26" s="89"/>
      <c r="G26" s="89"/>
      <c r="H26" s="89"/>
      <c r="I26" s="93"/>
      <c r="J26" s="91">
        <f t="shared" si="0"/>
        <v>0</v>
      </c>
    </row>
    <row r="27" spans="1:10" ht="18" x14ac:dyDescent="0.3">
      <c r="A27" s="78"/>
      <c r="B27" s="79"/>
      <c r="C27" s="79"/>
      <c r="D27" s="94"/>
      <c r="E27" s="89"/>
      <c r="F27" s="89"/>
      <c r="G27" s="89"/>
      <c r="H27" s="89"/>
      <c r="I27" s="93"/>
      <c r="J27" s="91">
        <f t="shared" si="0"/>
        <v>0</v>
      </c>
    </row>
    <row r="28" spans="1:10" ht="18" x14ac:dyDescent="0.3">
      <c r="A28" s="78"/>
      <c r="B28" s="79"/>
      <c r="C28" s="79"/>
      <c r="D28" s="94"/>
      <c r="E28" s="89"/>
      <c r="F28" s="89"/>
      <c r="G28" s="89"/>
      <c r="H28" s="89"/>
      <c r="I28" s="93"/>
      <c r="J28" s="91">
        <f t="shared" si="0"/>
        <v>0</v>
      </c>
    </row>
    <row r="29" spans="1:10" ht="18" x14ac:dyDescent="0.3">
      <c r="A29" s="78"/>
      <c r="B29" s="79"/>
      <c r="C29" s="79"/>
      <c r="D29" s="94"/>
      <c r="E29" s="89"/>
      <c r="F29" s="89"/>
      <c r="G29" s="89"/>
      <c r="H29" s="89"/>
      <c r="I29" s="93"/>
      <c r="J29" s="91">
        <f t="shared" si="0"/>
        <v>0</v>
      </c>
    </row>
    <row r="30" spans="1:10" ht="18" x14ac:dyDescent="0.3">
      <c r="A30" s="78"/>
      <c r="B30" s="79"/>
      <c r="C30" s="79"/>
      <c r="D30" s="94"/>
      <c r="E30" s="89"/>
      <c r="F30" s="89"/>
      <c r="G30" s="89"/>
      <c r="H30" s="89"/>
      <c r="I30" s="93"/>
      <c r="J30" s="91">
        <f t="shared" si="0"/>
        <v>0</v>
      </c>
    </row>
    <row r="31" spans="1:10" ht="18" x14ac:dyDescent="0.3">
      <c r="A31" s="78"/>
      <c r="B31" s="79"/>
      <c r="C31" s="79"/>
      <c r="D31" s="94"/>
      <c r="E31" s="89"/>
      <c r="F31" s="89"/>
      <c r="G31" s="89"/>
      <c r="H31" s="89"/>
      <c r="I31" s="93"/>
      <c r="J31" s="91">
        <f t="shared" si="0"/>
        <v>0</v>
      </c>
    </row>
    <row r="32" spans="1:10" ht="18" x14ac:dyDescent="0.3">
      <c r="A32" s="78"/>
      <c r="B32" s="79"/>
      <c r="C32" s="79"/>
      <c r="D32" s="94"/>
      <c r="E32" s="89"/>
      <c r="F32" s="89"/>
      <c r="G32" s="89"/>
      <c r="H32" s="89"/>
      <c r="I32" s="93"/>
      <c r="J32" s="91">
        <f t="shared" si="0"/>
        <v>0</v>
      </c>
    </row>
    <row r="33" spans="1:13" ht="18" x14ac:dyDescent="0.3">
      <c r="A33" s="78"/>
      <c r="B33" s="79"/>
      <c r="C33" s="79"/>
      <c r="D33" s="94"/>
      <c r="E33" s="89"/>
      <c r="F33" s="89"/>
      <c r="G33" s="89"/>
      <c r="H33" s="89"/>
      <c r="I33" s="93"/>
      <c r="J33" s="91">
        <f t="shared" si="0"/>
        <v>0</v>
      </c>
    </row>
    <row r="34" spans="1:13" ht="18" x14ac:dyDescent="0.3">
      <c r="A34" s="78"/>
      <c r="B34" s="79"/>
      <c r="C34" s="79"/>
      <c r="D34" s="94"/>
      <c r="E34" s="89"/>
      <c r="F34" s="89"/>
      <c r="G34" s="89"/>
      <c r="H34" s="89"/>
      <c r="I34" s="93"/>
      <c r="J34" s="91">
        <f t="shared" si="0"/>
        <v>0</v>
      </c>
    </row>
    <row r="35" spans="1:13" ht="18" x14ac:dyDescent="0.3">
      <c r="A35" s="78"/>
      <c r="B35" s="79"/>
      <c r="C35" s="79"/>
      <c r="D35" s="94"/>
      <c r="E35" s="89"/>
      <c r="F35" s="89"/>
      <c r="G35" s="89"/>
      <c r="H35" s="89"/>
      <c r="I35" s="93"/>
      <c r="J35" s="91">
        <f t="shared" si="0"/>
        <v>0</v>
      </c>
    </row>
    <row r="36" spans="1:13" ht="18" x14ac:dyDescent="0.3">
      <c r="A36" s="78"/>
      <c r="B36" s="79"/>
      <c r="C36" s="79"/>
      <c r="D36" s="94"/>
      <c r="E36" s="89"/>
      <c r="F36" s="89"/>
      <c r="G36" s="89"/>
      <c r="H36" s="89"/>
      <c r="I36" s="93"/>
      <c r="J36" s="91">
        <f t="shared" si="0"/>
        <v>0</v>
      </c>
    </row>
    <row r="37" spans="1:13" ht="18" x14ac:dyDescent="0.3">
      <c r="A37" s="78"/>
      <c r="B37" s="79"/>
      <c r="C37" s="79"/>
      <c r="D37" s="94"/>
      <c r="E37" s="89"/>
      <c r="F37" s="89"/>
      <c r="G37" s="89"/>
      <c r="H37" s="89"/>
      <c r="I37" s="93"/>
      <c r="J37" s="91">
        <f t="shared" si="0"/>
        <v>0</v>
      </c>
    </row>
    <row r="38" spans="1:13" ht="18" x14ac:dyDescent="0.3">
      <c r="A38" s="78"/>
      <c r="B38" s="79"/>
      <c r="C38" s="79"/>
      <c r="D38" s="94"/>
      <c r="E38" s="89"/>
      <c r="F38" s="89"/>
      <c r="G38" s="89"/>
      <c r="H38" s="89"/>
      <c r="I38" s="93"/>
      <c r="J38" s="91">
        <f t="shared" si="0"/>
        <v>0</v>
      </c>
    </row>
    <row r="39" spans="1:13" ht="18" x14ac:dyDescent="0.3">
      <c r="A39" s="78"/>
      <c r="B39" s="79"/>
      <c r="C39" s="79"/>
      <c r="D39" s="94"/>
      <c r="E39" s="89"/>
      <c r="F39" s="89"/>
      <c r="G39" s="89"/>
      <c r="H39" s="89"/>
      <c r="I39" s="93"/>
      <c r="J39" s="91">
        <f t="shared" si="0"/>
        <v>0</v>
      </c>
    </row>
    <row r="40" spans="1:13" ht="18" x14ac:dyDescent="0.3">
      <c r="A40" s="78"/>
      <c r="B40" s="79"/>
      <c r="C40" s="79"/>
      <c r="D40" s="94"/>
      <c r="E40" s="89"/>
      <c r="F40" s="89"/>
      <c r="G40" s="92"/>
      <c r="H40" s="89"/>
      <c r="I40" s="93"/>
      <c r="J40" s="91"/>
    </row>
    <row r="41" spans="1:13" ht="18" x14ac:dyDescent="0.3">
      <c r="A41" s="78"/>
      <c r="B41" s="79"/>
      <c r="C41" s="79"/>
      <c r="D41" s="94"/>
      <c r="E41" s="89"/>
      <c r="F41" s="89"/>
      <c r="G41" s="92"/>
      <c r="H41" s="89"/>
      <c r="I41" s="93"/>
      <c r="J41" s="91"/>
    </row>
    <row r="42" spans="1:13" ht="18" x14ac:dyDescent="0.3">
      <c r="A42" s="78"/>
      <c r="B42" s="79"/>
      <c r="C42" s="79"/>
      <c r="D42" s="94"/>
      <c r="E42" s="89"/>
      <c r="F42" s="89"/>
      <c r="G42" s="92"/>
      <c r="H42" s="89"/>
      <c r="I42" s="93"/>
      <c r="J42" s="91"/>
    </row>
    <row r="43" spans="1:13" ht="18" x14ac:dyDescent="0.3">
      <c r="A43" s="78"/>
      <c r="B43" s="79"/>
      <c r="C43" s="79"/>
      <c r="D43" s="94"/>
      <c r="E43" s="89"/>
      <c r="F43" s="89"/>
      <c r="G43" s="92"/>
      <c r="H43" s="89"/>
      <c r="I43" s="93"/>
      <c r="J43" s="91"/>
    </row>
    <row r="44" spans="1:13" ht="18" x14ac:dyDescent="0.3">
      <c r="A44" s="78"/>
      <c r="B44" s="79"/>
      <c r="C44" s="79"/>
      <c r="D44" s="94"/>
      <c r="E44" s="89"/>
      <c r="F44" s="89"/>
      <c r="G44" s="92"/>
      <c r="H44" s="89"/>
      <c r="I44" s="93"/>
      <c r="J44" s="91"/>
    </row>
    <row r="45" spans="1:13" ht="18" x14ac:dyDescent="0.3">
      <c r="A45" s="78"/>
      <c r="B45" s="79"/>
      <c r="C45" s="79"/>
      <c r="D45" s="95"/>
      <c r="E45" s="89"/>
      <c r="F45" s="89"/>
      <c r="G45" s="92"/>
      <c r="H45" s="89"/>
      <c r="I45" s="93"/>
      <c r="J45" s="91">
        <f t="shared" si="0"/>
        <v>0</v>
      </c>
    </row>
    <row r="46" spans="1:13" ht="18.75" thickBot="1" x14ac:dyDescent="0.35">
      <c r="A46" s="78"/>
      <c r="B46" s="79"/>
      <c r="C46" s="79"/>
      <c r="D46" s="96"/>
      <c r="E46" s="97"/>
      <c r="F46" s="97"/>
      <c r="G46" s="98"/>
      <c r="H46" s="97"/>
      <c r="I46" s="99"/>
      <c r="J46" s="100">
        <f t="shared" si="0"/>
        <v>0</v>
      </c>
      <c r="M46" s="105"/>
    </row>
    <row r="47" spans="1:13" ht="21" thickBot="1" x14ac:dyDescent="0.35">
      <c r="A47" s="78"/>
      <c r="B47" s="79"/>
      <c r="C47" s="79"/>
      <c r="D47" s="933" t="s">
        <v>10</v>
      </c>
      <c r="E47" s="934"/>
      <c r="F47" s="934"/>
      <c r="G47" s="934"/>
      <c r="H47" s="934"/>
      <c r="I47" s="935"/>
      <c r="J47" s="102">
        <f>ROUND(SUM(J8:J46),2)</f>
        <v>1</v>
      </c>
    </row>
    <row r="48" spans="1:13" ht="21" thickBot="1" x14ac:dyDescent="0.35">
      <c r="A48" s="78"/>
      <c r="B48" s="79"/>
      <c r="C48" s="79"/>
      <c r="D48" s="933" t="s">
        <v>1127</v>
      </c>
      <c r="E48" s="934"/>
      <c r="F48" s="934"/>
      <c r="G48" s="934"/>
      <c r="H48" s="934"/>
      <c r="I48" s="935"/>
      <c r="J48" s="103"/>
    </row>
    <row r="49" spans="1:10" ht="21" thickBot="1" x14ac:dyDescent="0.35">
      <c r="A49" s="78"/>
      <c r="B49" s="79"/>
      <c r="C49" s="101"/>
      <c r="D49" s="933" t="s">
        <v>1128</v>
      </c>
      <c r="E49" s="934"/>
      <c r="F49" s="934"/>
      <c r="G49" s="934"/>
      <c r="H49" s="934"/>
      <c r="I49" s="935"/>
      <c r="J49" s="104">
        <f>+J47-J48</f>
        <v>1</v>
      </c>
    </row>
    <row r="50" spans="1:10" ht="21" thickBot="1" x14ac:dyDescent="0.35">
      <c r="A50" s="936" t="s">
        <v>1129</v>
      </c>
      <c r="B50" s="937"/>
      <c r="C50" s="938"/>
      <c r="D50" s="939" t="s">
        <v>1130</v>
      </c>
      <c r="E50" s="940"/>
      <c r="F50" s="940"/>
      <c r="G50" s="940"/>
      <c r="H50" s="940"/>
      <c r="I50" s="940"/>
      <c r="J50" s="941"/>
    </row>
    <row r="51" spans="1:10" ht="38.25" customHeight="1" thickBot="1" x14ac:dyDescent="0.35">
      <c r="A51" s="942" t="str">
        <f>PPTO!G3</f>
        <v>JUNIO DE 2026</v>
      </c>
      <c r="B51" s="943"/>
      <c r="C51" s="944"/>
      <c r="D51" s="921"/>
      <c r="E51" s="922"/>
      <c r="F51" s="922"/>
      <c r="G51" s="922"/>
      <c r="H51" s="922"/>
      <c r="I51" s="922"/>
      <c r="J51" s="923"/>
    </row>
    <row r="52" spans="1:10" ht="19.5" thickBot="1" x14ac:dyDescent="0.35">
      <c r="A52" s="918"/>
      <c r="B52" s="919"/>
      <c r="C52" s="920"/>
      <c r="D52" s="921" t="s">
        <v>1131</v>
      </c>
      <c r="E52" s="922"/>
      <c r="F52" s="922"/>
      <c r="G52" s="922"/>
      <c r="H52" s="922"/>
      <c r="I52" s="922"/>
      <c r="J52" s="923"/>
    </row>
  </sheetData>
  <mergeCells count="19">
    <mergeCell ref="A52:C52"/>
    <mergeCell ref="D52:J52"/>
    <mergeCell ref="D6:D7"/>
    <mergeCell ref="E6:G6"/>
    <mergeCell ref="I6:I7"/>
    <mergeCell ref="J6:J7"/>
    <mergeCell ref="D47:I47"/>
    <mergeCell ref="D48:I48"/>
    <mergeCell ref="D49:I49"/>
    <mergeCell ref="A50:C50"/>
    <mergeCell ref="D50:J50"/>
    <mergeCell ref="A51:C51"/>
    <mergeCell ref="D51:J51"/>
    <mergeCell ref="A2:J2"/>
    <mergeCell ref="A3:J3"/>
    <mergeCell ref="A4:J4"/>
    <mergeCell ref="C5:D5"/>
    <mergeCell ref="G5:H5"/>
    <mergeCell ref="I5:J5"/>
  </mergeCells>
  <conditionalFormatting sqref="J8:J46">
    <cfRule type="cellIs" dxfId="35" priority="1" operator="equal">
      <formula>0</formula>
    </cfRule>
  </conditionalFormatting>
  <pageMargins left="0.7" right="0.7" top="0.75" bottom="0.75" header="0.3" footer="0.3"/>
  <pageSetup scale="49" orientation="landscape"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BA2982-C8DE-450D-ABDC-906F1C811D4D}">
  <sheetPr>
    <tabColor rgb="FF92D050"/>
    <pageSetUpPr fitToPage="1"/>
  </sheetPr>
  <dimension ref="A1:M46"/>
  <sheetViews>
    <sheetView showOutlineSymbols="0" view="pageBreakPreview" topLeftCell="A2" zoomScale="60" zoomScaleNormal="70" workbookViewId="0">
      <selection activeCell="D8" sqref="D8:D18"/>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05.75" customHeight="1" thickBot="1" x14ac:dyDescent="0.35">
      <c r="A5" s="72" t="s">
        <v>5</v>
      </c>
      <c r="B5" s="470">
        <v>6.1</v>
      </c>
      <c r="C5" s="913" t="str">
        <f>PPTO!C52</f>
        <v xml:space="preserve">Suministro, transporte e instalación de materiales para salida interruptor sencillo (switche) eléctrico  mono polar de alumbrado 15 A. TIPO LEV referencia 1451, 10A, 125 V, según certificación RETIE y pruebas de conformidad UL. Incluye el interruptor, tapa, tubo emt, cajas 4"x4" met. Galv. Con tapa suplemento, adaptadores, curvas, pega pvc, conductores 12 AWG-CU-THHN/THWN-90ºC, conectores de conexión y empalme, tornillos, obra civil y demás elementos y accesorios para su correcta instalación y funcionamiento. </v>
      </c>
      <c r="D5" s="914"/>
      <c r="E5" s="72" t="s">
        <v>7</v>
      </c>
      <c r="F5" s="74" t="str">
        <f>+VLOOKUP(B5,PPTO!B8:G94,3,FALSE)</f>
        <v>UN</v>
      </c>
      <c r="G5" s="915" t="s">
        <v>1120</v>
      </c>
      <c r="H5" s="915"/>
      <c r="I5" s="916">
        <f>+VLOOKUP(B5,PPTO!B8:G94,5,FALSE)</f>
        <v>96826.663682495622</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8" x14ac:dyDescent="0.3">
      <c r="A8" s="78"/>
      <c r="B8" s="79"/>
      <c r="C8" s="79"/>
      <c r="D8" s="88" t="s">
        <v>1212</v>
      </c>
      <c r="E8" s="89"/>
      <c r="F8" s="89"/>
      <c r="G8" s="89"/>
      <c r="H8" s="89"/>
      <c r="I8" s="90">
        <v>0</v>
      </c>
      <c r="J8" s="87">
        <f>+I8</f>
        <v>0</v>
      </c>
    </row>
    <row r="9" spans="1:10" ht="18" x14ac:dyDescent="0.3">
      <c r="A9" s="78"/>
      <c r="B9" s="79"/>
      <c r="C9" s="79"/>
      <c r="D9" s="94" t="s">
        <v>1200</v>
      </c>
      <c r="E9" s="89"/>
      <c r="F9" s="89"/>
      <c r="G9" s="89"/>
      <c r="H9" s="89"/>
      <c r="I9" s="93">
        <v>0</v>
      </c>
      <c r="J9" s="91">
        <f>+I9</f>
        <v>0</v>
      </c>
    </row>
    <row r="10" spans="1:10" ht="18" x14ac:dyDescent="0.3">
      <c r="A10" s="78"/>
      <c r="B10" s="79"/>
      <c r="C10" s="79"/>
      <c r="D10" s="94" t="s">
        <v>1220</v>
      </c>
      <c r="E10" s="89"/>
      <c r="F10" s="89"/>
      <c r="G10" s="89"/>
      <c r="H10" s="89"/>
      <c r="I10" s="93">
        <v>1</v>
      </c>
      <c r="J10" s="91">
        <f t="shared" ref="J10:J18" si="0">+I10</f>
        <v>1</v>
      </c>
    </row>
    <row r="11" spans="1:10" ht="18" x14ac:dyDescent="0.3">
      <c r="A11" s="78"/>
      <c r="B11" s="79"/>
      <c r="C11" s="79"/>
      <c r="D11" s="94" t="s">
        <v>1221</v>
      </c>
      <c r="E11" s="89"/>
      <c r="F11" s="89"/>
      <c r="G11" s="89"/>
      <c r="H11" s="89"/>
      <c r="I11" s="93">
        <v>1</v>
      </c>
      <c r="J11" s="91">
        <f t="shared" si="0"/>
        <v>1</v>
      </c>
    </row>
    <row r="12" spans="1:10" ht="18" x14ac:dyDescent="0.3">
      <c r="A12" s="78"/>
      <c r="B12" s="79"/>
      <c r="C12" s="79"/>
      <c r="D12" s="94" t="s">
        <v>1206</v>
      </c>
      <c r="E12" s="89"/>
      <c r="F12" s="89"/>
      <c r="G12" s="89"/>
      <c r="H12" s="89"/>
      <c r="I12" s="93">
        <v>2</v>
      </c>
      <c r="J12" s="91">
        <f t="shared" si="0"/>
        <v>2</v>
      </c>
    </row>
    <row r="13" spans="1:10" ht="18" x14ac:dyDescent="0.3">
      <c r="A13" s="78"/>
      <c r="B13" s="79"/>
      <c r="C13" s="79"/>
      <c r="D13" s="94" t="s">
        <v>1207</v>
      </c>
      <c r="E13" s="89"/>
      <c r="F13" s="89"/>
      <c r="G13" s="89"/>
      <c r="H13" s="89"/>
      <c r="I13" s="93">
        <v>0</v>
      </c>
      <c r="J13" s="91">
        <f t="shared" si="0"/>
        <v>0</v>
      </c>
    </row>
    <row r="14" spans="1:10" ht="18" x14ac:dyDescent="0.3">
      <c r="A14" s="78"/>
      <c r="B14" s="79"/>
      <c r="C14" s="79"/>
      <c r="D14" s="94" t="s">
        <v>1213</v>
      </c>
      <c r="E14" s="89"/>
      <c r="F14" s="89"/>
      <c r="G14" s="89"/>
      <c r="H14" s="89"/>
      <c r="I14" s="93">
        <v>1</v>
      </c>
      <c r="J14" s="91">
        <f t="shared" si="0"/>
        <v>1</v>
      </c>
    </row>
    <row r="15" spans="1:10" ht="18" x14ac:dyDescent="0.3">
      <c r="A15" s="78"/>
      <c r="B15" s="79"/>
      <c r="C15" s="79"/>
      <c r="D15" s="88" t="s">
        <v>1203</v>
      </c>
      <c r="E15" s="89"/>
      <c r="F15" s="89"/>
      <c r="G15" s="89"/>
      <c r="H15" s="89"/>
      <c r="I15" s="90">
        <v>0</v>
      </c>
      <c r="J15" s="91">
        <f t="shared" si="0"/>
        <v>0</v>
      </c>
    </row>
    <row r="16" spans="1:10" ht="18" x14ac:dyDescent="0.3">
      <c r="A16" s="78"/>
      <c r="B16" s="79"/>
      <c r="C16" s="79"/>
      <c r="D16" s="88" t="s">
        <v>1222</v>
      </c>
      <c r="E16" s="89"/>
      <c r="F16" s="89"/>
      <c r="G16" s="89"/>
      <c r="H16" s="89"/>
      <c r="I16" s="90">
        <v>1</v>
      </c>
      <c r="J16" s="91">
        <f t="shared" si="0"/>
        <v>1</v>
      </c>
    </row>
    <row r="17" spans="1:10" ht="18" x14ac:dyDescent="0.3">
      <c r="A17" s="78"/>
      <c r="B17" s="79"/>
      <c r="C17" s="79"/>
      <c r="D17" s="94" t="s">
        <v>1223</v>
      </c>
      <c r="E17" s="89"/>
      <c r="F17" s="89"/>
      <c r="G17" s="89"/>
      <c r="H17" s="89"/>
      <c r="I17" s="93">
        <v>1</v>
      </c>
      <c r="J17" s="91">
        <f t="shared" si="0"/>
        <v>1</v>
      </c>
    </row>
    <row r="18" spans="1:10" ht="18" x14ac:dyDescent="0.3">
      <c r="A18" s="78"/>
      <c r="B18" s="79"/>
      <c r="C18" s="79"/>
      <c r="D18" s="94" t="s">
        <v>1224</v>
      </c>
      <c r="E18" s="89"/>
      <c r="F18" s="89"/>
      <c r="G18" s="89"/>
      <c r="H18" s="89"/>
      <c r="I18" s="93">
        <v>1</v>
      </c>
      <c r="J18" s="91">
        <f t="shared" si="0"/>
        <v>1</v>
      </c>
    </row>
    <row r="19" spans="1:10" ht="18" x14ac:dyDescent="0.3">
      <c r="A19" s="78"/>
      <c r="B19" s="79"/>
      <c r="C19" s="79"/>
      <c r="D19" s="94"/>
      <c r="E19" s="89"/>
      <c r="F19" s="89"/>
      <c r="G19" s="89"/>
      <c r="H19" s="89"/>
      <c r="I19" s="93"/>
      <c r="J19" s="91">
        <f t="shared" ref="J19:J40" si="1">+PRODUCT(E19:I19)</f>
        <v>0</v>
      </c>
    </row>
    <row r="20" spans="1:10" ht="18" x14ac:dyDescent="0.3">
      <c r="A20" s="78"/>
      <c r="B20" s="79"/>
      <c r="C20" s="79"/>
      <c r="D20" s="94"/>
      <c r="E20" s="89"/>
      <c r="F20" s="89"/>
      <c r="G20" s="89"/>
      <c r="H20" s="89"/>
      <c r="I20" s="93"/>
      <c r="J20" s="91">
        <f t="shared" si="1"/>
        <v>0</v>
      </c>
    </row>
    <row r="21" spans="1:10" ht="18" x14ac:dyDescent="0.3">
      <c r="A21" s="78"/>
      <c r="B21" s="79"/>
      <c r="C21" s="79"/>
      <c r="D21" s="94"/>
      <c r="E21" s="89"/>
      <c r="F21" s="89"/>
      <c r="G21" s="89"/>
      <c r="H21" s="89"/>
      <c r="I21" s="93"/>
      <c r="J21" s="91">
        <f t="shared" si="1"/>
        <v>0</v>
      </c>
    </row>
    <row r="22" spans="1:10" ht="18" x14ac:dyDescent="0.3">
      <c r="A22" s="78"/>
      <c r="B22" s="79"/>
      <c r="C22" s="79"/>
      <c r="D22" s="94"/>
      <c r="E22" s="89"/>
      <c r="F22" s="89"/>
      <c r="G22" s="89"/>
      <c r="H22" s="89"/>
      <c r="I22" s="93"/>
      <c r="J22" s="91">
        <f t="shared" si="1"/>
        <v>0</v>
      </c>
    </row>
    <row r="23" spans="1:10" ht="18" x14ac:dyDescent="0.3">
      <c r="A23" s="78"/>
      <c r="B23" s="79"/>
      <c r="C23" s="79"/>
      <c r="D23" s="94"/>
      <c r="E23" s="89"/>
      <c r="F23" s="89"/>
      <c r="G23" s="89"/>
      <c r="H23" s="89"/>
      <c r="I23" s="93"/>
      <c r="J23" s="91">
        <f t="shared" si="1"/>
        <v>0</v>
      </c>
    </row>
    <row r="24" spans="1:10" ht="18" x14ac:dyDescent="0.3">
      <c r="A24" s="78"/>
      <c r="B24" s="79"/>
      <c r="C24" s="79"/>
      <c r="D24" s="94"/>
      <c r="E24" s="89"/>
      <c r="F24" s="89"/>
      <c r="G24" s="89"/>
      <c r="H24" s="89"/>
      <c r="I24" s="93"/>
      <c r="J24" s="91">
        <f t="shared" si="1"/>
        <v>0</v>
      </c>
    </row>
    <row r="25" spans="1:10" ht="18" x14ac:dyDescent="0.3">
      <c r="A25" s="78"/>
      <c r="B25" s="79"/>
      <c r="C25" s="79"/>
      <c r="D25" s="94"/>
      <c r="E25" s="89"/>
      <c r="F25" s="89"/>
      <c r="G25" s="89"/>
      <c r="H25" s="89"/>
      <c r="I25" s="93"/>
      <c r="J25" s="91">
        <f t="shared" si="1"/>
        <v>0</v>
      </c>
    </row>
    <row r="26" spans="1:10" ht="18" x14ac:dyDescent="0.3">
      <c r="A26" s="78"/>
      <c r="B26" s="79"/>
      <c r="C26" s="79"/>
      <c r="D26" s="94"/>
      <c r="E26" s="89"/>
      <c r="F26" s="89"/>
      <c r="G26" s="89"/>
      <c r="H26" s="89"/>
      <c r="I26" s="93"/>
      <c r="J26" s="91">
        <f t="shared" si="1"/>
        <v>0</v>
      </c>
    </row>
    <row r="27" spans="1:10" ht="18" x14ac:dyDescent="0.3">
      <c r="A27" s="78"/>
      <c r="B27" s="79"/>
      <c r="C27" s="79"/>
      <c r="D27" s="94"/>
      <c r="E27" s="89"/>
      <c r="F27" s="89"/>
      <c r="G27" s="89"/>
      <c r="H27" s="89"/>
      <c r="I27" s="93"/>
      <c r="J27" s="91">
        <f t="shared" si="1"/>
        <v>0</v>
      </c>
    </row>
    <row r="28" spans="1:10" ht="18" x14ac:dyDescent="0.3">
      <c r="A28" s="78"/>
      <c r="B28" s="79"/>
      <c r="C28" s="79"/>
      <c r="D28" s="94"/>
      <c r="E28" s="89"/>
      <c r="F28" s="89"/>
      <c r="G28" s="89"/>
      <c r="H28" s="89"/>
      <c r="I28" s="93"/>
      <c r="J28" s="91">
        <f t="shared" si="1"/>
        <v>0</v>
      </c>
    </row>
    <row r="29" spans="1:10" ht="18" x14ac:dyDescent="0.3">
      <c r="A29" s="78"/>
      <c r="B29" s="79"/>
      <c r="C29" s="79"/>
      <c r="D29" s="94"/>
      <c r="E29" s="89"/>
      <c r="F29" s="89"/>
      <c r="G29" s="89"/>
      <c r="H29" s="89"/>
      <c r="I29" s="93"/>
      <c r="J29" s="91">
        <f t="shared" si="1"/>
        <v>0</v>
      </c>
    </row>
    <row r="30" spans="1:10" ht="18" x14ac:dyDescent="0.3">
      <c r="A30" s="78"/>
      <c r="B30" s="79"/>
      <c r="C30" s="79"/>
      <c r="D30" s="94"/>
      <c r="E30" s="89"/>
      <c r="F30" s="89"/>
      <c r="G30" s="89"/>
      <c r="H30" s="89"/>
      <c r="I30" s="93"/>
      <c r="J30" s="91">
        <f t="shared" si="1"/>
        <v>0</v>
      </c>
    </row>
    <row r="31" spans="1:10" ht="18" x14ac:dyDescent="0.3">
      <c r="A31" s="78"/>
      <c r="B31" s="79"/>
      <c r="C31" s="79"/>
      <c r="D31" s="94"/>
      <c r="E31" s="89"/>
      <c r="F31" s="89"/>
      <c r="G31" s="89"/>
      <c r="H31" s="89"/>
      <c r="I31" s="93"/>
      <c r="J31" s="91">
        <f t="shared" si="1"/>
        <v>0</v>
      </c>
    </row>
    <row r="32" spans="1:10" ht="18" x14ac:dyDescent="0.3">
      <c r="A32" s="78"/>
      <c r="B32" s="79"/>
      <c r="C32" s="79"/>
      <c r="D32" s="94"/>
      <c r="E32" s="89"/>
      <c r="F32" s="89"/>
      <c r="G32" s="89"/>
      <c r="H32" s="89"/>
      <c r="I32" s="93"/>
      <c r="J32" s="91">
        <f t="shared" si="1"/>
        <v>0</v>
      </c>
    </row>
    <row r="33" spans="1:13" ht="18" x14ac:dyDescent="0.3">
      <c r="A33" s="78"/>
      <c r="B33" s="79"/>
      <c r="C33" s="79"/>
      <c r="D33" s="94"/>
      <c r="E33" s="89"/>
      <c r="F33" s="89"/>
      <c r="G33" s="89"/>
      <c r="H33" s="89"/>
      <c r="I33" s="93"/>
      <c r="J33" s="91">
        <f t="shared" si="1"/>
        <v>0</v>
      </c>
    </row>
    <row r="34" spans="1:13" ht="18" x14ac:dyDescent="0.3">
      <c r="A34" s="78"/>
      <c r="B34" s="79"/>
      <c r="C34" s="79"/>
      <c r="D34" s="94"/>
      <c r="E34" s="89"/>
      <c r="F34" s="89"/>
      <c r="G34" s="92"/>
      <c r="H34" s="89"/>
      <c r="I34" s="93"/>
      <c r="J34" s="91"/>
    </row>
    <row r="35" spans="1:13" ht="18" x14ac:dyDescent="0.3">
      <c r="A35" s="78"/>
      <c r="B35" s="79"/>
      <c r="C35" s="79"/>
      <c r="D35" s="94"/>
      <c r="E35" s="89"/>
      <c r="F35" s="89"/>
      <c r="G35" s="92"/>
      <c r="H35" s="89"/>
      <c r="I35" s="93"/>
      <c r="J35" s="91"/>
    </row>
    <row r="36" spans="1:13" ht="18" x14ac:dyDescent="0.3">
      <c r="A36" s="78"/>
      <c r="B36" s="79"/>
      <c r="C36" s="79"/>
      <c r="D36" s="94"/>
      <c r="E36" s="89"/>
      <c r="F36" s="89"/>
      <c r="G36" s="92"/>
      <c r="H36" s="89"/>
      <c r="I36" s="93"/>
      <c r="J36" s="91"/>
    </row>
    <row r="37" spans="1:13" ht="18" x14ac:dyDescent="0.3">
      <c r="A37" s="78"/>
      <c r="B37" s="79"/>
      <c r="C37" s="79"/>
      <c r="D37" s="94"/>
      <c r="E37" s="89"/>
      <c r="F37" s="89"/>
      <c r="G37" s="92"/>
      <c r="H37" s="89"/>
      <c r="I37" s="93"/>
      <c r="J37" s="91"/>
    </row>
    <row r="38" spans="1:13" ht="18" x14ac:dyDescent="0.3">
      <c r="A38" s="78"/>
      <c r="B38" s="79"/>
      <c r="C38" s="79"/>
      <c r="D38" s="94"/>
      <c r="E38" s="89"/>
      <c r="F38" s="89"/>
      <c r="G38" s="92"/>
      <c r="H38" s="89"/>
      <c r="I38" s="93"/>
      <c r="J38" s="91"/>
    </row>
    <row r="39" spans="1:13" ht="18" x14ac:dyDescent="0.3">
      <c r="A39" s="78"/>
      <c r="B39" s="79"/>
      <c r="C39" s="79"/>
      <c r="D39" s="95"/>
      <c r="E39" s="89"/>
      <c r="F39" s="89"/>
      <c r="G39" s="92"/>
      <c r="H39" s="89"/>
      <c r="I39" s="93"/>
      <c r="J39" s="91">
        <f t="shared" si="1"/>
        <v>0</v>
      </c>
    </row>
    <row r="40" spans="1:13" ht="18.75" thickBot="1" x14ac:dyDescent="0.35">
      <c r="A40" s="78"/>
      <c r="B40" s="79"/>
      <c r="C40" s="79"/>
      <c r="D40" s="96"/>
      <c r="E40" s="97"/>
      <c r="F40" s="97"/>
      <c r="G40" s="98"/>
      <c r="H40" s="97"/>
      <c r="I40" s="99"/>
      <c r="J40" s="100">
        <f t="shared" si="1"/>
        <v>0</v>
      </c>
      <c r="M40" s="105"/>
    </row>
    <row r="41" spans="1:13" ht="21" thickBot="1" x14ac:dyDescent="0.35">
      <c r="A41" s="78"/>
      <c r="B41" s="79"/>
      <c r="C41" s="79"/>
      <c r="D41" s="933" t="s">
        <v>10</v>
      </c>
      <c r="E41" s="934"/>
      <c r="F41" s="934"/>
      <c r="G41" s="934"/>
      <c r="H41" s="934"/>
      <c r="I41" s="935"/>
      <c r="J41" s="102">
        <f>ROUND(SUM(J8:J40),2)</f>
        <v>8</v>
      </c>
    </row>
    <row r="42" spans="1:13" ht="21" thickBot="1" x14ac:dyDescent="0.35">
      <c r="A42" s="78"/>
      <c r="B42" s="79"/>
      <c r="C42" s="79"/>
      <c r="D42" s="933" t="s">
        <v>1127</v>
      </c>
      <c r="E42" s="934"/>
      <c r="F42" s="934"/>
      <c r="G42" s="934"/>
      <c r="H42" s="934"/>
      <c r="I42" s="935"/>
      <c r="J42" s="103"/>
    </row>
    <row r="43" spans="1:13" ht="21" thickBot="1" x14ac:dyDescent="0.35">
      <c r="A43" s="78"/>
      <c r="B43" s="79"/>
      <c r="C43" s="101"/>
      <c r="D43" s="933" t="s">
        <v>1128</v>
      </c>
      <c r="E43" s="934"/>
      <c r="F43" s="934"/>
      <c r="G43" s="934"/>
      <c r="H43" s="934"/>
      <c r="I43" s="935"/>
      <c r="J43" s="104">
        <f>+J41-J42</f>
        <v>8</v>
      </c>
    </row>
    <row r="44" spans="1:13" ht="21" thickBot="1" x14ac:dyDescent="0.35">
      <c r="A44" s="936" t="s">
        <v>1129</v>
      </c>
      <c r="B44" s="937"/>
      <c r="C44" s="938"/>
      <c r="D44" s="939" t="s">
        <v>1130</v>
      </c>
      <c r="E44" s="940"/>
      <c r="F44" s="940"/>
      <c r="G44" s="940"/>
      <c r="H44" s="940"/>
      <c r="I44" s="940"/>
      <c r="J44" s="941"/>
    </row>
    <row r="45" spans="1:13" ht="38.25" customHeight="1" thickBot="1" x14ac:dyDescent="0.35">
      <c r="A45" s="942" t="str">
        <f>PPTO!G3</f>
        <v>JUNIO DE 2026</v>
      </c>
      <c r="B45" s="943"/>
      <c r="C45" s="944"/>
      <c r="D45" s="921"/>
      <c r="E45" s="922"/>
      <c r="F45" s="922"/>
      <c r="G45" s="922"/>
      <c r="H45" s="922"/>
      <c r="I45" s="922"/>
      <c r="J45" s="923"/>
    </row>
    <row r="46" spans="1:13" ht="19.5" thickBot="1" x14ac:dyDescent="0.35">
      <c r="A46" s="918"/>
      <c r="B46" s="919"/>
      <c r="C46" s="920"/>
      <c r="D46" s="921" t="s">
        <v>1131</v>
      </c>
      <c r="E46" s="922"/>
      <c r="F46" s="922"/>
      <c r="G46" s="922"/>
      <c r="H46" s="922"/>
      <c r="I46" s="922"/>
      <c r="J46" s="923"/>
    </row>
  </sheetData>
  <mergeCells count="19">
    <mergeCell ref="A46:C46"/>
    <mergeCell ref="D46:J46"/>
    <mergeCell ref="D6:D7"/>
    <mergeCell ref="E6:G6"/>
    <mergeCell ref="I6:I7"/>
    <mergeCell ref="J6:J7"/>
    <mergeCell ref="D41:I41"/>
    <mergeCell ref="D42:I42"/>
    <mergeCell ref="D43:I43"/>
    <mergeCell ref="A44:C44"/>
    <mergeCell ref="D44:J44"/>
    <mergeCell ref="A45:C45"/>
    <mergeCell ref="D45:J45"/>
    <mergeCell ref="A2:J2"/>
    <mergeCell ref="A3:J3"/>
    <mergeCell ref="A4:J4"/>
    <mergeCell ref="C5:D5"/>
    <mergeCell ref="G5:H5"/>
    <mergeCell ref="I5:J5"/>
  </mergeCells>
  <conditionalFormatting sqref="J8:J40">
    <cfRule type="cellIs" dxfId="34" priority="1" operator="equal">
      <formula>0</formula>
    </cfRule>
  </conditionalFormatting>
  <pageMargins left="0.7" right="0.7" top="0.75" bottom="0.75" header="0.3" footer="0.3"/>
  <pageSetup scale="53" orientation="landscape"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083DDC-1F01-497F-BB62-E3F3ED18BB05}">
  <sheetPr>
    <tabColor rgb="FF92D050"/>
    <pageSetUpPr fitToPage="1"/>
  </sheetPr>
  <dimension ref="A1:M46"/>
  <sheetViews>
    <sheetView showOutlineSymbols="0" view="pageBreakPreview" topLeftCell="A3" zoomScale="60" zoomScaleNormal="70" workbookViewId="0">
      <selection activeCell="M41" sqref="M41"/>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05.75" customHeight="1" thickBot="1" x14ac:dyDescent="0.35">
      <c r="A5" s="72" t="s">
        <v>5</v>
      </c>
      <c r="B5" s="470">
        <v>6.11</v>
      </c>
      <c r="C5" s="913" t="str">
        <f>+VLOOKUP(B5,PPTO!B8:G94,2,FALSE)</f>
        <v xml:space="preserve">Suministro, transporte e instalación de materiales para salida interruptor doble (switche) eléctrico  mono polar de alumbrado 15 A. TIPO LEV referencia 1451, 10A, 125 V, según certificación RETIE y pruebas de conformidad UL. Incluye el interruptor, tapa, tubo pvc, cajas 4"x4" met. Galv. Con tapa suplemento, adaptadores, curvas, pega pvc, conductores 12 AWG-CU-THHN/THWN-90ºC, conectores de conexión y empalme, tornillos, obra civil y demás elementos y accesorios para su correcta instalación y funcionamiento. </v>
      </c>
      <c r="D5" s="914"/>
      <c r="E5" s="72" t="s">
        <v>7</v>
      </c>
      <c r="F5" s="74" t="str">
        <f>+VLOOKUP(B5,PPTO!B8:G94,3,FALSE)</f>
        <v>UN</v>
      </c>
      <c r="G5" s="915" t="s">
        <v>1120</v>
      </c>
      <c r="H5" s="915"/>
      <c r="I5" s="916">
        <f>+VLOOKUP(B5,PPTO!B8:G94,5,FALSE)</f>
        <v>49664.831841247811</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8" x14ac:dyDescent="0.3">
      <c r="A8" s="78"/>
      <c r="B8" s="79"/>
      <c r="C8" s="79"/>
      <c r="D8" s="88" t="s">
        <v>1212</v>
      </c>
      <c r="E8" s="89"/>
      <c r="F8" s="89"/>
      <c r="G8" s="89"/>
      <c r="H8" s="89"/>
      <c r="I8" s="90">
        <v>0</v>
      </c>
      <c r="J8" s="87">
        <f>+I8</f>
        <v>0</v>
      </c>
    </row>
    <row r="9" spans="1:10" ht="18" x14ac:dyDescent="0.3">
      <c r="A9" s="78"/>
      <c r="B9" s="79"/>
      <c r="C9" s="79"/>
      <c r="D9" s="94" t="s">
        <v>1200</v>
      </c>
      <c r="E9" s="89"/>
      <c r="F9" s="89"/>
      <c r="G9" s="89"/>
      <c r="H9" s="89"/>
      <c r="I9" s="93">
        <v>0</v>
      </c>
      <c r="J9" s="91">
        <f>+I9</f>
        <v>0</v>
      </c>
    </row>
    <row r="10" spans="1:10" ht="18" x14ac:dyDescent="0.3">
      <c r="A10" s="78"/>
      <c r="B10" s="79"/>
      <c r="C10" s="79"/>
      <c r="D10" s="94" t="s">
        <v>1220</v>
      </c>
      <c r="E10" s="89"/>
      <c r="F10" s="89"/>
      <c r="G10" s="89"/>
      <c r="H10" s="89"/>
      <c r="I10" s="93">
        <v>0</v>
      </c>
      <c r="J10" s="91">
        <f t="shared" ref="J10:J18" si="0">+I10</f>
        <v>0</v>
      </c>
    </row>
    <row r="11" spans="1:10" ht="18" x14ac:dyDescent="0.3">
      <c r="A11" s="78"/>
      <c r="B11" s="79"/>
      <c r="C11" s="79"/>
      <c r="D11" s="94" t="s">
        <v>1221</v>
      </c>
      <c r="E11" s="89"/>
      <c r="F11" s="89"/>
      <c r="G11" s="89"/>
      <c r="H11" s="89"/>
      <c r="I11" s="93">
        <v>0</v>
      </c>
      <c r="J11" s="91">
        <f t="shared" si="0"/>
        <v>0</v>
      </c>
    </row>
    <row r="12" spans="1:10" ht="18" x14ac:dyDescent="0.3">
      <c r="A12" s="78"/>
      <c r="B12" s="79"/>
      <c r="C12" s="79"/>
      <c r="D12" s="94" t="s">
        <v>1206</v>
      </c>
      <c r="E12" s="89"/>
      <c r="F12" s="89"/>
      <c r="G12" s="89"/>
      <c r="H12" s="89"/>
      <c r="I12" s="93">
        <v>1</v>
      </c>
      <c r="J12" s="91">
        <f t="shared" si="0"/>
        <v>1</v>
      </c>
    </row>
    <row r="13" spans="1:10" ht="18" x14ac:dyDescent="0.3">
      <c r="A13" s="78"/>
      <c r="B13" s="79"/>
      <c r="C13" s="79"/>
      <c r="D13" s="94" t="s">
        <v>1207</v>
      </c>
      <c r="E13" s="89"/>
      <c r="F13" s="89"/>
      <c r="G13" s="89"/>
      <c r="H13" s="89"/>
      <c r="I13" s="93">
        <v>1</v>
      </c>
      <c r="J13" s="91">
        <f t="shared" si="0"/>
        <v>1</v>
      </c>
    </row>
    <row r="14" spans="1:10" ht="18" x14ac:dyDescent="0.3">
      <c r="A14" s="78"/>
      <c r="B14" s="79"/>
      <c r="C14" s="79"/>
      <c r="D14" s="94" t="s">
        <v>1213</v>
      </c>
      <c r="E14" s="89"/>
      <c r="F14" s="89"/>
      <c r="G14" s="89"/>
      <c r="H14" s="89"/>
      <c r="I14" s="93">
        <v>0</v>
      </c>
      <c r="J14" s="91">
        <f t="shared" si="0"/>
        <v>0</v>
      </c>
    </row>
    <row r="15" spans="1:10" ht="18" x14ac:dyDescent="0.3">
      <c r="A15" s="78"/>
      <c r="B15" s="79"/>
      <c r="C15" s="79"/>
      <c r="D15" s="88" t="s">
        <v>1203</v>
      </c>
      <c r="E15" s="89"/>
      <c r="F15" s="89"/>
      <c r="G15" s="89"/>
      <c r="H15" s="89"/>
      <c r="I15" s="90">
        <v>0</v>
      </c>
      <c r="J15" s="91">
        <f t="shared" si="0"/>
        <v>0</v>
      </c>
    </row>
    <row r="16" spans="1:10" ht="18" x14ac:dyDescent="0.3">
      <c r="A16" s="78"/>
      <c r="B16" s="79"/>
      <c r="C16" s="79"/>
      <c r="D16" s="88" t="s">
        <v>1222</v>
      </c>
      <c r="E16" s="89"/>
      <c r="F16" s="89"/>
      <c r="G16" s="89"/>
      <c r="H16" s="89"/>
      <c r="I16" s="90">
        <v>0</v>
      </c>
      <c r="J16" s="91">
        <f t="shared" si="0"/>
        <v>0</v>
      </c>
    </row>
    <row r="17" spans="1:10" ht="18" x14ac:dyDescent="0.3">
      <c r="A17" s="78"/>
      <c r="B17" s="79"/>
      <c r="C17" s="79"/>
      <c r="D17" s="94" t="s">
        <v>1223</v>
      </c>
      <c r="E17" s="89"/>
      <c r="F17" s="89"/>
      <c r="G17" s="89"/>
      <c r="H17" s="89"/>
      <c r="I17" s="93">
        <v>0</v>
      </c>
      <c r="J17" s="91">
        <f t="shared" si="0"/>
        <v>0</v>
      </c>
    </row>
    <row r="18" spans="1:10" ht="18" x14ac:dyDescent="0.3">
      <c r="A18" s="78"/>
      <c r="B18" s="79"/>
      <c r="C18" s="79"/>
      <c r="D18" s="94" t="s">
        <v>1224</v>
      </c>
      <c r="E18" s="89"/>
      <c r="F18" s="89"/>
      <c r="G18" s="89"/>
      <c r="H18" s="89"/>
      <c r="I18" s="93">
        <v>0</v>
      </c>
      <c r="J18" s="91">
        <f t="shared" si="0"/>
        <v>0</v>
      </c>
    </row>
    <row r="19" spans="1:10" ht="18" x14ac:dyDescent="0.3">
      <c r="A19" s="78"/>
      <c r="B19" s="79"/>
      <c r="C19" s="79"/>
      <c r="D19" s="94"/>
      <c r="E19" s="89"/>
      <c r="F19" s="89"/>
      <c r="G19" s="89"/>
      <c r="H19" s="89"/>
      <c r="I19" s="93"/>
      <c r="J19" s="91">
        <f t="shared" ref="J19:J40" si="1">+PRODUCT(E19:I19)</f>
        <v>0</v>
      </c>
    </row>
    <row r="20" spans="1:10" ht="18" x14ac:dyDescent="0.3">
      <c r="A20" s="78"/>
      <c r="B20" s="79"/>
      <c r="C20" s="79"/>
      <c r="D20" s="94"/>
      <c r="E20" s="89"/>
      <c r="F20" s="89"/>
      <c r="G20" s="89"/>
      <c r="H20" s="89"/>
      <c r="I20" s="93"/>
      <c r="J20" s="91">
        <f t="shared" si="1"/>
        <v>0</v>
      </c>
    </row>
    <row r="21" spans="1:10" ht="18" x14ac:dyDescent="0.3">
      <c r="A21" s="78"/>
      <c r="B21" s="79"/>
      <c r="C21" s="79"/>
      <c r="D21" s="94"/>
      <c r="E21" s="89"/>
      <c r="F21" s="89"/>
      <c r="G21" s="89"/>
      <c r="H21" s="89"/>
      <c r="I21" s="93"/>
      <c r="J21" s="91">
        <f t="shared" si="1"/>
        <v>0</v>
      </c>
    </row>
    <row r="22" spans="1:10" ht="18" x14ac:dyDescent="0.3">
      <c r="A22" s="78"/>
      <c r="B22" s="79"/>
      <c r="C22" s="79"/>
      <c r="D22" s="94"/>
      <c r="E22" s="89"/>
      <c r="F22" s="89"/>
      <c r="G22" s="89"/>
      <c r="H22" s="89"/>
      <c r="I22" s="93"/>
      <c r="J22" s="91">
        <f t="shared" si="1"/>
        <v>0</v>
      </c>
    </row>
    <row r="23" spans="1:10" ht="18" x14ac:dyDescent="0.3">
      <c r="A23" s="78"/>
      <c r="B23" s="79"/>
      <c r="C23" s="79"/>
      <c r="D23" s="94"/>
      <c r="E23" s="89"/>
      <c r="F23" s="89"/>
      <c r="G23" s="89"/>
      <c r="H23" s="89"/>
      <c r="I23" s="93"/>
      <c r="J23" s="91">
        <f t="shared" si="1"/>
        <v>0</v>
      </c>
    </row>
    <row r="24" spans="1:10" ht="18" x14ac:dyDescent="0.3">
      <c r="A24" s="78"/>
      <c r="B24" s="79"/>
      <c r="C24" s="79"/>
      <c r="D24" s="94"/>
      <c r="E24" s="89"/>
      <c r="F24" s="89"/>
      <c r="G24" s="89"/>
      <c r="H24" s="89"/>
      <c r="I24" s="93"/>
      <c r="J24" s="91">
        <f t="shared" si="1"/>
        <v>0</v>
      </c>
    </row>
    <row r="25" spans="1:10" ht="18" x14ac:dyDescent="0.3">
      <c r="A25" s="78"/>
      <c r="B25" s="79"/>
      <c r="C25" s="79"/>
      <c r="D25" s="94"/>
      <c r="E25" s="89"/>
      <c r="F25" s="89"/>
      <c r="G25" s="89"/>
      <c r="H25" s="89"/>
      <c r="I25" s="93"/>
      <c r="J25" s="91">
        <f t="shared" si="1"/>
        <v>0</v>
      </c>
    </row>
    <row r="26" spans="1:10" ht="18" x14ac:dyDescent="0.3">
      <c r="A26" s="78"/>
      <c r="B26" s="79"/>
      <c r="C26" s="79"/>
      <c r="D26" s="94"/>
      <c r="E26" s="89"/>
      <c r="F26" s="89"/>
      <c r="G26" s="89"/>
      <c r="H26" s="89"/>
      <c r="I26" s="93"/>
      <c r="J26" s="91">
        <f t="shared" si="1"/>
        <v>0</v>
      </c>
    </row>
    <row r="27" spans="1:10" ht="18" x14ac:dyDescent="0.3">
      <c r="A27" s="78"/>
      <c r="B27" s="79"/>
      <c r="C27" s="79"/>
      <c r="D27" s="94"/>
      <c r="E27" s="89"/>
      <c r="F27" s="89"/>
      <c r="G27" s="89"/>
      <c r="H27" s="89"/>
      <c r="I27" s="93"/>
      <c r="J27" s="91">
        <f t="shared" si="1"/>
        <v>0</v>
      </c>
    </row>
    <row r="28" spans="1:10" ht="18" x14ac:dyDescent="0.3">
      <c r="A28" s="78"/>
      <c r="B28" s="79"/>
      <c r="C28" s="79"/>
      <c r="D28" s="94"/>
      <c r="E28" s="89"/>
      <c r="F28" s="89"/>
      <c r="G28" s="89"/>
      <c r="H28" s="89"/>
      <c r="I28" s="93"/>
      <c r="J28" s="91">
        <f t="shared" si="1"/>
        <v>0</v>
      </c>
    </row>
    <row r="29" spans="1:10" ht="18" x14ac:dyDescent="0.3">
      <c r="A29" s="78"/>
      <c r="B29" s="79"/>
      <c r="C29" s="79"/>
      <c r="D29" s="94"/>
      <c r="E29" s="89"/>
      <c r="F29" s="89"/>
      <c r="G29" s="89"/>
      <c r="H29" s="89"/>
      <c r="I29" s="93"/>
      <c r="J29" s="91">
        <f t="shared" si="1"/>
        <v>0</v>
      </c>
    </row>
    <row r="30" spans="1:10" ht="18" x14ac:dyDescent="0.3">
      <c r="A30" s="78"/>
      <c r="B30" s="79"/>
      <c r="C30" s="79"/>
      <c r="D30" s="94"/>
      <c r="E30" s="89"/>
      <c r="F30" s="89"/>
      <c r="G30" s="89"/>
      <c r="H30" s="89"/>
      <c r="I30" s="93"/>
      <c r="J30" s="91">
        <f t="shared" si="1"/>
        <v>0</v>
      </c>
    </row>
    <row r="31" spans="1:10" ht="18" x14ac:dyDescent="0.3">
      <c r="A31" s="78"/>
      <c r="B31" s="79"/>
      <c r="C31" s="79"/>
      <c r="D31" s="94"/>
      <c r="E31" s="89"/>
      <c r="F31" s="89"/>
      <c r="G31" s="89"/>
      <c r="H31" s="89"/>
      <c r="I31" s="93"/>
      <c r="J31" s="91">
        <f t="shared" si="1"/>
        <v>0</v>
      </c>
    </row>
    <row r="32" spans="1:10" ht="18" x14ac:dyDescent="0.3">
      <c r="A32" s="78"/>
      <c r="B32" s="79"/>
      <c r="C32" s="79"/>
      <c r="D32" s="94"/>
      <c r="E32" s="89"/>
      <c r="F32" s="89"/>
      <c r="G32" s="89"/>
      <c r="H32" s="89"/>
      <c r="I32" s="93"/>
      <c r="J32" s="91">
        <f t="shared" si="1"/>
        <v>0</v>
      </c>
    </row>
    <row r="33" spans="1:13" ht="18" x14ac:dyDescent="0.3">
      <c r="A33" s="78"/>
      <c r="B33" s="79"/>
      <c r="C33" s="79"/>
      <c r="D33" s="94"/>
      <c r="E33" s="89"/>
      <c r="F33" s="89"/>
      <c r="G33" s="89"/>
      <c r="H33" s="89"/>
      <c r="I33" s="93"/>
      <c r="J33" s="91">
        <f t="shared" si="1"/>
        <v>0</v>
      </c>
    </row>
    <row r="34" spans="1:13" ht="18" x14ac:dyDescent="0.3">
      <c r="A34" s="78"/>
      <c r="B34" s="79"/>
      <c r="C34" s="79"/>
      <c r="D34" s="94"/>
      <c r="E34" s="89"/>
      <c r="F34" s="89"/>
      <c r="G34" s="92"/>
      <c r="H34" s="89"/>
      <c r="I34" s="93"/>
      <c r="J34" s="91"/>
    </row>
    <row r="35" spans="1:13" ht="18" x14ac:dyDescent="0.3">
      <c r="A35" s="78"/>
      <c r="B35" s="79"/>
      <c r="C35" s="79"/>
      <c r="D35" s="94"/>
      <c r="E35" s="89"/>
      <c r="F35" s="89"/>
      <c r="G35" s="92"/>
      <c r="H35" s="89"/>
      <c r="I35" s="93"/>
      <c r="J35" s="91"/>
    </row>
    <row r="36" spans="1:13" ht="18" x14ac:dyDescent="0.3">
      <c r="A36" s="78"/>
      <c r="B36" s="79"/>
      <c r="C36" s="79"/>
      <c r="D36" s="94"/>
      <c r="E36" s="89"/>
      <c r="F36" s="89"/>
      <c r="G36" s="92"/>
      <c r="H36" s="89"/>
      <c r="I36" s="93"/>
      <c r="J36" s="91"/>
    </row>
    <row r="37" spans="1:13" ht="18" x14ac:dyDescent="0.3">
      <c r="A37" s="78"/>
      <c r="B37" s="79"/>
      <c r="C37" s="79"/>
      <c r="D37" s="94"/>
      <c r="E37" s="89"/>
      <c r="F37" s="89"/>
      <c r="G37" s="92"/>
      <c r="H37" s="89"/>
      <c r="I37" s="93"/>
      <c r="J37" s="91"/>
    </row>
    <row r="38" spans="1:13" ht="18" x14ac:dyDescent="0.3">
      <c r="A38" s="78"/>
      <c r="B38" s="79"/>
      <c r="C38" s="79"/>
      <c r="D38" s="94"/>
      <c r="E38" s="89"/>
      <c r="F38" s="89"/>
      <c r="G38" s="92"/>
      <c r="H38" s="89"/>
      <c r="I38" s="93"/>
      <c r="J38" s="91"/>
    </row>
    <row r="39" spans="1:13" ht="18" x14ac:dyDescent="0.3">
      <c r="A39" s="78"/>
      <c r="B39" s="79"/>
      <c r="C39" s="79"/>
      <c r="D39" s="95"/>
      <c r="E39" s="89"/>
      <c r="F39" s="89"/>
      <c r="G39" s="92"/>
      <c r="H39" s="89"/>
      <c r="I39" s="93"/>
      <c r="J39" s="91">
        <f t="shared" si="1"/>
        <v>0</v>
      </c>
    </row>
    <row r="40" spans="1:13" ht="18.75" thickBot="1" x14ac:dyDescent="0.35">
      <c r="A40" s="78"/>
      <c r="B40" s="79"/>
      <c r="C40" s="79"/>
      <c r="D40" s="96"/>
      <c r="E40" s="97"/>
      <c r="F40" s="97"/>
      <c r="G40" s="98"/>
      <c r="H40" s="97"/>
      <c r="I40" s="99"/>
      <c r="J40" s="100">
        <f t="shared" si="1"/>
        <v>0</v>
      </c>
      <c r="M40" s="105"/>
    </row>
    <row r="41" spans="1:13" ht="21" thickBot="1" x14ac:dyDescent="0.35">
      <c r="A41" s="78"/>
      <c r="B41" s="79"/>
      <c r="C41" s="79"/>
      <c r="D41" s="933" t="s">
        <v>10</v>
      </c>
      <c r="E41" s="934"/>
      <c r="F41" s="934"/>
      <c r="G41" s="934"/>
      <c r="H41" s="934"/>
      <c r="I41" s="935"/>
      <c r="J41" s="102">
        <f>ROUND(SUM(J8:J40),2)</f>
        <v>2</v>
      </c>
    </row>
    <row r="42" spans="1:13" ht="21" thickBot="1" x14ac:dyDescent="0.35">
      <c r="A42" s="78"/>
      <c r="B42" s="79"/>
      <c r="C42" s="79"/>
      <c r="D42" s="933" t="s">
        <v>1127</v>
      </c>
      <c r="E42" s="934"/>
      <c r="F42" s="934"/>
      <c r="G42" s="934"/>
      <c r="H42" s="934"/>
      <c r="I42" s="935"/>
      <c r="J42" s="103"/>
    </row>
    <row r="43" spans="1:13" ht="21" thickBot="1" x14ac:dyDescent="0.35">
      <c r="A43" s="78"/>
      <c r="B43" s="79"/>
      <c r="C43" s="101"/>
      <c r="D43" s="933" t="s">
        <v>1128</v>
      </c>
      <c r="E43" s="934"/>
      <c r="F43" s="934"/>
      <c r="G43" s="934"/>
      <c r="H43" s="934"/>
      <c r="I43" s="935"/>
      <c r="J43" s="104">
        <f>+J41-J42</f>
        <v>2</v>
      </c>
    </row>
    <row r="44" spans="1:13" ht="21" thickBot="1" x14ac:dyDescent="0.35">
      <c r="A44" s="936" t="s">
        <v>1129</v>
      </c>
      <c r="B44" s="937"/>
      <c r="C44" s="938"/>
      <c r="D44" s="939" t="s">
        <v>1130</v>
      </c>
      <c r="E44" s="940"/>
      <c r="F44" s="940"/>
      <c r="G44" s="940"/>
      <c r="H44" s="940"/>
      <c r="I44" s="940"/>
      <c r="J44" s="941"/>
    </row>
    <row r="45" spans="1:13" ht="38.25" customHeight="1" thickBot="1" x14ac:dyDescent="0.35">
      <c r="A45" s="942" t="str">
        <f>PPTO!G3</f>
        <v>JUNIO DE 2026</v>
      </c>
      <c r="B45" s="943"/>
      <c r="C45" s="944"/>
      <c r="D45" s="921"/>
      <c r="E45" s="922"/>
      <c r="F45" s="922"/>
      <c r="G45" s="922"/>
      <c r="H45" s="922"/>
      <c r="I45" s="922"/>
      <c r="J45" s="923"/>
    </row>
    <row r="46" spans="1:13" ht="19.5" thickBot="1" x14ac:dyDescent="0.35">
      <c r="A46" s="918"/>
      <c r="B46" s="919"/>
      <c r="C46" s="920"/>
      <c r="D46" s="921" t="s">
        <v>1131</v>
      </c>
      <c r="E46" s="922"/>
      <c r="F46" s="922"/>
      <c r="G46" s="922"/>
      <c r="H46" s="922"/>
      <c r="I46" s="922"/>
      <c r="J46" s="923"/>
    </row>
  </sheetData>
  <mergeCells count="19">
    <mergeCell ref="A2:J2"/>
    <mergeCell ref="A3:J3"/>
    <mergeCell ref="A4:J4"/>
    <mergeCell ref="C5:D5"/>
    <mergeCell ref="G5:H5"/>
    <mergeCell ref="I5:J5"/>
    <mergeCell ref="A46:C46"/>
    <mergeCell ref="D46:J46"/>
    <mergeCell ref="D6:D7"/>
    <mergeCell ref="E6:G6"/>
    <mergeCell ref="I6:I7"/>
    <mergeCell ref="J6:J7"/>
    <mergeCell ref="D41:I41"/>
    <mergeCell ref="D42:I42"/>
    <mergeCell ref="D43:I43"/>
    <mergeCell ref="A44:C44"/>
    <mergeCell ref="D44:J44"/>
    <mergeCell ref="A45:C45"/>
    <mergeCell ref="D45:J45"/>
  </mergeCells>
  <conditionalFormatting sqref="J8:J40">
    <cfRule type="cellIs" dxfId="33" priority="1" operator="equal">
      <formula>0</formula>
    </cfRule>
  </conditionalFormatting>
  <pageMargins left="0.7" right="0.7" top="0.75" bottom="0.75" header="0.3" footer="0.3"/>
  <pageSetup scale="53" orientation="landscape"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0BEC71-8A15-4D45-8665-BBAC071A13F4}">
  <sheetPr>
    <tabColor rgb="FF92D050"/>
    <pageSetUpPr fitToPage="1"/>
  </sheetPr>
  <dimension ref="A1:M46"/>
  <sheetViews>
    <sheetView showOutlineSymbols="0" view="pageBreakPreview" zoomScale="60" zoomScaleNormal="70" workbookViewId="0">
      <selection activeCell="D8" sqref="D8:D18"/>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05.75" customHeight="1" thickBot="1" x14ac:dyDescent="0.35">
      <c r="A5" s="72" t="s">
        <v>5</v>
      </c>
      <c r="B5" s="470">
        <v>6.12</v>
      </c>
      <c r="C5" s="913" t="str">
        <f>+VLOOKUP(B5,PPTO!B8:G94,2,FALSE)</f>
        <v xml:space="preserve">Suministro, transporte e instalación de materiales para salida interruptor triple (switche) eléctrico  mono polar de alumbrado 15 A. TIPO LEV referencia 1451, 10A, 125 V, según certificación RETIE y pruebas de conformidad UL. Incluye el interruptor, tapa, tubo pvc, cajas 4"x4" met. Galv. Con tapa suplemento, adaptadores, curvas, pega pvc, conductores 12 AWG-CU-THHN/THWN-90ºC, conectores de conexión y empalme, tornillos, obra civil y demás elementos y accesorios para su correcta instalación y funcionamiento. </v>
      </c>
      <c r="D5" s="914"/>
      <c r="E5" s="72" t="s">
        <v>7</v>
      </c>
      <c r="F5" s="74" t="str">
        <f>+VLOOKUP(B5,PPTO!B8:G94,3,FALSE)</f>
        <v>UN</v>
      </c>
      <c r="G5" s="915" t="s">
        <v>1120</v>
      </c>
      <c r="H5" s="915"/>
      <c r="I5" s="916">
        <f>+VLOOKUP(B5,PPTO!B8:G94,5,FALSE)</f>
        <v>53498.831841247811</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8" x14ac:dyDescent="0.3">
      <c r="A8" s="78"/>
      <c r="B8" s="79"/>
      <c r="C8" s="79"/>
      <c r="D8" s="88" t="s">
        <v>1212</v>
      </c>
      <c r="E8" s="89"/>
      <c r="F8" s="89"/>
      <c r="G8" s="89"/>
      <c r="H8" s="89"/>
      <c r="I8" s="90">
        <v>3</v>
      </c>
      <c r="J8" s="87">
        <f>+I8</f>
        <v>3</v>
      </c>
    </row>
    <row r="9" spans="1:10" ht="18" x14ac:dyDescent="0.3">
      <c r="A9" s="78"/>
      <c r="B9" s="79"/>
      <c r="C9" s="79"/>
      <c r="D9" s="94" t="s">
        <v>1200</v>
      </c>
      <c r="E9" s="89"/>
      <c r="F9" s="89"/>
      <c r="G9" s="89"/>
      <c r="H9" s="89"/>
      <c r="I9" s="93">
        <v>3</v>
      </c>
      <c r="J9" s="91">
        <f>+I9</f>
        <v>3</v>
      </c>
    </row>
    <row r="10" spans="1:10" ht="18" x14ac:dyDescent="0.3">
      <c r="A10" s="78"/>
      <c r="B10" s="79"/>
      <c r="C10" s="79"/>
      <c r="D10" s="94" t="s">
        <v>1220</v>
      </c>
      <c r="E10" s="89"/>
      <c r="F10" s="89"/>
      <c r="G10" s="89"/>
      <c r="H10" s="89"/>
      <c r="I10" s="93">
        <v>0</v>
      </c>
      <c r="J10" s="91">
        <f t="shared" ref="J10:J18" si="0">+I10</f>
        <v>0</v>
      </c>
    </row>
    <row r="11" spans="1:10" ht="18" x14ac:dyDescent="0.3">
      <c r="A11" s="78"/>
      <c r="B11" s="79"/>
      <c r="C11" s="79"/>
      <c r="D11" s="94" t="s">
        <v>1221</v>
      </c>
      <c r="E11" s="89"/>
      <c r="F11" s="89"/>
      <c r="G11" s="89"/>
      <c r="H11" s="89"/>
      <c r="I11" s="93">
        <v>0</v>
      </c>
      <c r="J11" s="91">
        <f t="shared" si="0"/>
        <v>0</v>
      </c>
    </row>
    <row r="12" spans="1:10" ht="18" x14ac:dyDescent="0.3">
      <c r="A12" s="78"/>
      <c r="B12" s="79"/>
      <c r="C12" s="79"/>
      <c r="D12" s="94" t="s">
        <v>1206</v>
      </c>
      <c r="E12" s="89"/>
      <c r="F12" s="89"/>
      <c r="G12" s="89"/>
      <c r="H12" s="89"/>
      <c r="I12" s="93">
        <v>0</v>
      </c>
      <c r="J12" s="91">
        <f t="shared" si="0"/>
        <v>0</v>
      </c>
    </row>
    <row r="13" spans="1:10" ht="18" x14ac:dyDescent="0.3">
      <c r="A13" s="78"/>
      <c r="B13" s="79"/>
      <c r="C13" s="79"/>
      <c r="D13" s="94" t="s">
        <v>1202</v>
      </c>
      <c r="E13" s="89"/>
      <c r="F13" s="89"/>
      <c r="G13" s="89"/>
      <c r="H13" s="89"/>
      <c r="I13" s="93">
        <v>1</v>
      </c>
      <c r="J13" s="91">
        <f t="shared" si="0"/>
        <v>1</v>
      </c>
    </row>
    <row r="14" spans="1:10" ht="18" x14ac:dyDescent="0.3">
      <c r="A14" s="78"/>
      <c r="B14" s="79"/>
      <c r="C14" s="79"/>
      <c r="D14" s="94" t="s">
        <v>1213</v>
      </c>
      <c r="E14" s="89"/>
      <c r="F14" s="89"/>
      <c r="G14" s="89"/>
      <c r="H14" s="89"/>
      <c r="I14" s="93">
        <v>0</v>
      </c>
      <c r="J14" s="91">
        <f t="shared" si="0"/>
        <v>0</v>
      </c>
    </row>
    <row r="15" spans="1:10" ht="18" x14ac:dyDescent="0.3">
      <c r="A15" s="78"/>
      <c r="B15" s="79"/>
      <c r="C15" s="79"/>
      <c r="D15" s="88" t="s">
        <v>1203</v>
      </c>
      <c r="E15" s="89"/>
      <c r="F15" s="89"/>
      <c r="G15" s="89"/>
      <c r="H15" s="89"/>
      <c r="I15" s="90">
        <v>1</v>
      </c>
      <c r="J15" s="91">
        <f t="shared" si="0"/>
        <v>1</v>
      </c>
    </row>
    <row r="16" spans="1:10" ht="18" x14ac:dyDescent="0.3">
      <c r="A16" s="78"/>
      <c r="B16" s="79"/>
      <c r="C16" s="79"/>
      <c r="D16" s="88" t="s">
        <v>1222</v>
      </c>
      <c r="E16" s="89"/>
      <c r="F16" s="89"/>
      <c r="G16" s="89"/>
      <c r="H16" s="89"/>
      <c r="I16" s="90">
        <v>0</v>
      </c>
      <c r="J16" s="91">
        <f t="shared" si="0"/>
        <v>0</v>
      </c>
    </row>
    <row r="17" spans="1:10" ht="18" x14ac:dyDescent="0.3">
      <c r="A17" s="78"/>
      <c r="B17" s="79"/>
      <c r="C17" s="79"/>
      <c r="D17" s="94" t="s">
        <v>1223</v>
      </c>
      <c r="E17" s="89"/>
      <c r="F17" s="89"/>
      <c r="G17" s="89"/>
      <c r="H17" s="89"/>
      <c r="I17" s="93">
        <v>0</v>
      </c>
      <c r="J17" s="91">
        <f t="shared" si="0"/>
        <v>0</v>
      </c>
    </row>
    <row r="18" spans="1:10" ht="18" x14ac:dyDescent="0.3">
      <c r="A18" s="78"/>
      <c r="B18" s="79"/>
      <c r="C18" s="79"/>
      <c r="D18" s="94" t="s">
        <v>1224</v>
      </c>
      <c r="E18" s="89"/>
      <c r="F18" s="89"/>
      <c r="G18" s="89"/>
      <c r="H18" s="89"/>
      <c r="I18" s="93">
        <v>0</v>
      </c>
      <c r="J18" s="91">
        <f t="shared" si="0"/>
        <v>0</v>
      </c>
    </row>
    <row r="19" spans="1:10" ht="18" x14ac:dyDescent="0.3">
      <c r="A19" s="78"/>
      <c r="B19" s="79"/>
      <c r="C19" s="79"/>
      <c r="D19" s="94"/>
      <c r="E19" s="89"/>
      <c r="F19" s="89"/>
      <c r="G19" s="89"/>
      <c r="H19" s="89"/>
      <c r="I19" s="93"/>
      <c r="J19" s="91">
        <f t="shared" ref="J19:J40" si="1">+PRODUCT(E19:I19)</f>
        <v>0</v>
      </c>
    </row>
    <row r="20" spans="1:10" ht="18" x14ac:dyDescent="0.3">
      <c r="A20" s="78"/>
      <c r="B20" s="79"/>
      <c r="C20" s="79"/>
      <c r="D20" s="94"/>
      <c r="E20" s="89"/>
      <c r="F20" s="89"/>
      <c r="G20" s="89"/>
      <c r="H20" s="89"/>
      <c r="I20" s="93"/>
      <c r="J20" s="91">
        <f t="shared" si="1"/>
        <v>0</v>
      </c>
    </row>
    <row r="21" spans="1:10" ht="18" x14ac:dyDescent="0.3">
      <c r="A21" s="78"/>
      <c r="B21" s="79"/>
      <c r="C21" s="79"/>
      <c r="D21" s="94"/>
      <c r="E21" s="89"/>
      <c r="F21" s="89"/>
      <c r="G21" s="89"/>
      <c r="H21" s="89"/>
      <c r="I21" s="93"/>
      <c r="J21" s="91">
        <f t="shared" si="1"/>
        <v>0</v>
      </c>
    </row>
    <row r="22" spans="1:10" ht="18" x14ac:dyDescent="0.3">
      <c r="A22" s="78"/>
      <c r="B22" s="79"/>
      <c r="C22" s="79"/>
      <c r="D22" s="94"/>
      <c r="E22" s="89"/>
      <c r="F22" s="89"/>
      <c r="G22" s="89"/>
      <c r="H22" s="89"/>
      <c r="I22" s="93"/>
      <c r="J22" s="91">
        <f t="shared" si="1"/>
        <v>0</v>
      </c>
    </row>
    <row r="23" spans="1:10" ht="18" x14ac:dyDescent="0.3">
      <c r="A23" s="78"/>
      <c r="B23" s="79"/>
      <c r="C23" s="79"/>
      <c r="D23" s="94"/>
      <c r="E23" s="89"/>
      <c r="F23" s="89"/>
      <c r="G23" s="89"/>
      <c r="H23" s="89"/>
      <c r="I23" s="93"/>
      <c r="J23" s="91">
        <f t="shared" si="1"/>
        <v>0</v>
      </c>
    </row>
    <row r="24" spans="1:10" ht="18" x14ac:dyDescent="0.3">
      <c r="A24" s="78"/>
      <c r="B24" s="79"/>
      <c r="C24" s="79"/>
      <c r="D24" s="94"/>
      <c r="E24" s="89"/>
      <c r="F24" s="89"/>
      <c r="G24" s="89"/>
      <c r="H24" s="89"/>
      <c r="I24" s="93"/>
      <c r="J24" s="91">
        <f t="shared" si="1"/>
        <v>0</v>
      </c>
    </row>
    <row r="25" spans="1:10" ht="18" x14ac:dyDescent="0.3">
      <c r="A25" s="78"/>
      <c r="B25" s="79"/>
      <c r="C25" s="79"/>
      <c r="D25" s="94"/>
      <c r="E25" s="89"/>
      <c r="F25" s="89"/>
      <c r="G25" s="89"/>
      <c r="H25" s="89"/>
      <c r="I25" s="93"/>
      <c r="J25" s="91">
        <f t="shared" si="1"/>
        <v>0</v>
      </c>
    </row>
    <row r="26" spans="1:10" ht="18" x14ac:dyDescent="0.3">
      <c r="A26" s="78"/>
      <c r="B26" s="79"/>
      <c r="C26" s="79"/>
      <c r="D26" s="94"/>
      <c r="E26" s="89"/>
      <c r="F26" s="89"/>
      <c r="G26" s="89"/>
      <c r="H26" s="89"/>
      <c r="I26" s="93"/>
      <c r="J26" s="91">
        <f t="shared" si="1"/>
        <v>0</v>
      </c>
    </row>
    <row r="27" spans="1:10" ht="18" x14ac:dyDescent="0.3">
      <c r="A27" s="78"/>
      <c r="B27" s="79"/>
      <c r="C27" s="79"/>
      <c r="D27" s="94"/>
      <c r="E27" s="89"/>
      <c r="F27" s="89"/>
      <c r="G27" s="89"/>
      <c r="H27" s="89"/>
      <c r="I27" s="93"/>
      <c r="J27" s="91">
        <f t="shared" si="1"/>
        <v>0</v>
      </c>
    </row>
    <row r="28" spans="1:10" ht="18" x14ac:dyDescent="0.3">
      <c r="A28" s="78"/>
      <c r="B28" s="79"/>
      <c r="C28" s="79"/>
      <c r="D28" s="94"/>
      <c r="E28" s="89"/>
      <c r="F28" s="89"/>
      <c r="G28" s="89"/>
      <c r="H28" s="89"/>
      <c r="I28" s="93"/>
      <c r="J28" s="91">
        <f t="shared" si="1"/>
        <v>0</v>
      </c>
    </row>
    <row r="29" spans="1:10" ht="18" x14ac:dyDescent="0.3">
      <c r="A29" s="78"/>
      <c r="B29" s="79"/>
      <c r="C29" s="79"/>
      <c r="D29" s="94"/>
      <c r="E29" s="89"/>
      <c r="F29" s="89"/>
      <c r="G29" s="89"/>
      <c r="H29" s="89"/>
      <c r="I29" s="93"/>
      <c r="J29" s="91">
        <f t="shared" si="1"/>
        <v>0</v>
      </c>
    </row>
    <row r="30" spans="1:10" ht="18" x14ac:dyDescent="0.3">
      <c r="A30" s="78"/>
      <c r="B30" s="79"/>
      <c r="C30" s="79"/>
      <c r="D30" s="94"/>
      <c r="E30" s="89"/>
      <c r="F30" s="89"/>
      <c r="G30" s="89"/>
      <c r="H30" s="89"/>
      <c r="I30" s="93"/>
      <c r="J30" s="91">
        <f t="shared" si="1"/>
        <v>0</v>
      </c>
    </row>
    <row r="31" spans="1:10" ht="18" x14ac:dyDescent="0.3">
      <c r="A31" s="78"/>
      <c r="B31" s="79"/>
      <c r="C31" s="79"/>
      <c r="D31" s="94"/>
      <c r="E31" s="89"/>
      <c r="F31" s="89"/>
      <c r="G31" s="89"/>
      <c r="H31" s="89"/>
      <c r="I31" s="93"/>
      <c r="J31" s="91">
        <f t="shared" si="1"/>
        <v>0</v>
      </c>
    </row>
    <row r="32" spans="1:10" ht="18" x14ac:dyDescent="0.3">
      <c r="A32" s="78"/>
      <c r="B32" s="79"/>
      <c r="C32" s="79"/>
      <c r="D32" s="94"/>
      <c r="E32" s="89"/>
      <c r="F32" s="89"/>
      <c r="G32" s="89"/>
      <c r="H32" s="89"/>
      <c r="I32" s="93"/>
      <c r="J32" s="91">
        <f t="shared" si="1"/>
        <v>0</v>
      </c>
    </row>
    <row r="33" spans="1:13" ht="18" x14ac:dyDescent="0.3">
      <c r="A33" s="78"/>
      <c r="B33" s="79"/>
      <c r="C33" s="79"/>
      <c r="D33" s="94"/>
      <c r="E33" s="89"/>
      <c r="F33" s="89"/>
      <c r="G33" s="89"/>
      <c r="H33" s="89"/>
      <c r="I33" s="93"/>
      <c r="J33" s="91">
        <f t="shared" si="1"/>
        <v>0</v>
      </c>
    </row>
    <row r="34" spans="1:13" ht="18" x14ac:dyDescent="0.3">
      <c r="A34" s="78"/>
      <c r="B34" s="79"/>
      <c r="C34" s="79"/>
      <c r="D34" s="94"/>
      <c r="E34" s="89"/>
      <c r="F34" s="89"/>
      <c r="G34" s="92"/>
      <c r="H34" s="89"/>
      <c r="I34" s="93"/>
      <c r="J34" s="91"/>
    </row>
    <row r="35" spans="1:13" ht="18" x14ac:dyDescent="0.3">
      <c r="A35" s="78"/>
      <c r="B35" s="79"/>
      <c r="C35" s="79"/>
      <c r="D35" s="94"/>
      <c r="E35" s="89"/>
      <c r="F35" s="89"/>
      <c r="G35" s="92"/>
      <c r="H35" s="89"/>
      <c r="I35" s="93"/>
      <c r="J35" s="91"/>
    </row>
    <row r="36" spans="1:13" ht="18" x14ac:dyDescent="0.3">
      <c r="A36" s="78"/>
      <c r="B36" s="79"/>
      <c r="C36" s="79"/>
      <c r="D36" s="94"/>
      <c r="E36" s="89"/>
      <c r="F36" s="89"/>
      <c r="G36" s="92"/>
      <c r="H36" s="89"/>
      <c r="I36" s="93"/>
      <c r="J36" s="91"/>
    </row>
    <row r="37" spans="1:13" ht="18" x14ac:dyDescent="0.3">
      <c r="A37" s="78"/>
      <c r="B37" s="79"/>
      <c r="C37" s="79"/>
      <c r="D37" s="94"/>
      <c r="E37" s="89"/>
      <c r="F37" s="89"/>
      <c r="G37" s="92"/>
      <c r="H37" s="89"/>
      <c r="I37" s="93"/>
      <c r="J37" s="91"/>
    </row>
    <row r="38" spans="1:13" ht="18" x14ac:dyDescent="0.3">
      <c r="A38" s="78"/>
      <c r="B38" s="79"/>
      <c r="C38" s="79"/>
      <c r="D38" s="94"/>
      <c r="E38" s="89"/>
      <c r="F38" s="89"/>
      <c r="G38" s="92"/>
      <c r="H38" s="89"/>
      <c r="I38" s="93"/>
      <c r="J38" s="91"/>
    </row>
    <row r="39" spans="1:13" ht="18" x14ac:dyDescent="0.3">
      <c r="A39" s="78"/>
      <c r="B39" s="79"/>
      <c r="C39" s="79"/>
      <c r="D39" s="95"/>
      <c r="E39" s="89"/>
      <c r="F39" s="89"/>
      <c r="G39" s="92"/>
      <c r="H39" s="89"/>
      <c r="I39" s="93"/>
      <c r="J39" s="91">
        <f t="shared" si="1"/>
        <v>0</v>
      </c>
    </row>
    <row r="40" spans="1:13" ht="18.75" thickBot="1" x14ac:dyDescent="0.35">
      <c r="A40" s="78"/>
      <c r="B40" s="79"/>
      <c r="C40" s="79"/>
      <c r="D40" s="96"/>
      <c r="E40" s="97"/>
      <c r="F40" s="97"/>
      <c r="G40" s="98"/>
      <c r="H40" s="97"/>
      <c r="I40" s="99"/>
      <c r="J40" s="100">
        <f t="shared" si="1"/>
        <v>0</v>
      </c>
      <c r="M40" s="105"/>
    </row>
    <row r="41" spans="1:13" ht="21" thickBot="1" x14ac:dyDescent="0.35">
      <c r="A41" s="78"/>
      <c r="B41" s="79"/>
      <c r="C41" s="79"/>
      <c r="D41" s="933" t="s">
        <v>10</v>
      </c>
      <c r="E41" s="934"/>
      <c r="F41" s="934"/>
      <c r="G41" s="934"/>
      <c r="H41" s="934"/>
      <c r="I41" s="935"/>
      <c r="J41" s="102">
        <f>ROUND(SUM(J8:J40),2)</f>
        <v>8</v>
      </c>
    </row>
    <row r="42" spans="1:13" ht="21" thickBot="1" x14ac:dyDescent="0.35">
      <c r="A42" s="78"/>
      <c r="B42" s="79"/>
      <c r="C42" s="79"/>
      <c r="D42" s="933" t="s">
        <v>1127</v>
      </c>
      <c r="E42" s="934"/>
      <c r="F42" s="934"/>
      <c r="G42" s="934"/>
      <c r="H42" s="934"/>
      <c r="I42" s="935"/>
      <c r="J42" s="103"/>
    </row>
    <row r="43" spans="1:13" ht="21" thickBot="1" x14ac:dyDescent="0.35">
      <c r="A43" s="78"/>
      <c r="B43" s="79"/>
      <c r="C43" s="101"/>
      <c r="D43" s="933" t="s">
        <v>1128</v>
      </c>
      <c r="E43" s="934"/>
      <c r="F43" s="934"/>
      <c r="G43" s="934"/>
      <c r="H43" s="934"/>
      <c r="I43" s="935"/>
      <c r="J43" s="104">
        <f>+J41-J42</f>
        <v>8</v>
      </c>
    </row>
    <row r="44" spans="1:13" ht="21" thickBot="1" x14ac:dyDescent="0.35">
      <c r="A44" s="936" t="s">
        <v>1129</v>
      </c>
      <c r="B44" s="937"/>
      <c r="C44" s="938"/>
      <c r="D44" s="939" t="s">
        <v>1130</v>
      </c>
      <c r="E44" s="940"/>
      <c r="F44" s="940"/>
      <c r="G44" s="940"/>
      <c r="H44" s="940"/>
      <c r="I44" s="940"/>
      <c r="J44" s="941"/>
    </row>
    <row r="45" spans="1:13" ht="38.25" customHeight="1" thickBot="1" x14ac:dyDescent="0.35">
      <c r="A45" s="942" t="str">
        <f>PPTO!G3</f>
        <v>JUNIO DE 2026</v>
      </c>
      <c r="B45" s="943"/>
      <c r="C45" s="944"/>
      <c r="D45" s="921"/>
      <c r="E45" s="922"/>
      <c r="F45" s="922"/>
      <c r="G45" s="922"/>
      <c r="H45" s="922"/>
      <c r="I45" s="922"/>
      <c r="J45" s="923"/>
    </row>
    <row r="46" spans="1:13" ht="19.5" thickBot="1" x14ac:dyDescent="0.35">
      <c r="A46" s="918"/>
      <c r="B46" s="919"/>
      <c r="C46" s="920"/>
      <c r="D46" s="921" t="s">
        <v>1131</v>
      </c>
      <c r="E46" s="922"/>
      <c r="F46" s="922"/>
      <c r="G46" s="922"/>
      <c r="H46" s="922"/>
      <c r="I46" s="922"/>
      <c r="J46" s="923"/>
    </row>
  </sheetData>
  <mergeCells count="19">
    <mergeCell ref="A2:J2"/>
    <mergeCell ref="A3:J3"/>
    <mergeCell ref="A4:J4"/>
    <mergeCell ref="C5:D5"/>
    <mergeCell ref="G5:H5"/>
    <mergeCell ref="I5:J5"/>
    <mergeCell ref="A46:C46"/>
    <mergeCell ref="D46:J46"/>
    <mergeCell ref="D6:D7"/>
    <mergeCell ref="E6:G6"/>
    <mergeCell ref="I6:I7"/>
    <mergeCell ref="J6:J7"/>
    <mergeCell ref="D41:I41"/>
    <mergeCell ref="D42:I42"/>
    <mergeCell ref="D43:I43"/>
    <mergeCell ref="A44:C44"/>
    <mergeCell ref="D44:J44"/>
    <mergeCell ref="A45:C45"/>
    <mergeCell ref="D45:J45"/>
  </mergeCells>
  <conditionalFormatting sqref="J8:J40">
    <cfRule type="cellIs" dxfId="32" priority="1" operator="equal">
      <formula>0</formula>
    </cfRule>
  </conditionalFormatting>
  <pageMargins left="0.7" right="0.7" top="0.75" bottom="0.75" header="0.3" footer="0.3"/>
  <pageSetup scale="53" orientation="landscape" r:id="rId1"/>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8B61B1-486D-41DD-88BD-AD92B3DB4C50}">
  <sheetPr>
    <tabColor rgb="FF92D050"/>
    <pageSetUpPr fitToPage="1"/>
  </sheetPr>
  <dimension ref="A1:M46"/>
  <sheetViews>
    <sheetView showOutlineSymbols="0" view="pageBreakPreview" topLeftCell="A2" zoomScale="60" zoomScaleNormal="70" workbookViewId="0">
      <selection activeCell="B6" sqref="B6"/>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05.75" customHeight="1" thickBot="1" x14ac:dyDescent="0.35">
      <c r="A5" s="72" t="s">
        <v>5</v>
      </c>
      <c r="B5" s="470">
        <v>6.13</v>
      </c>
      <c r="C5" s="913" t="str">
        <f>+VLOOKUP(B5,PPTO!B8:G94,2,FALSE)</f>
        <v>Suministro, transporte e instalación de acometida monofásica en cables, incluye excavación, conectores, encintada y demás accesorios para su correcta instalación y funcionamiento según RETIE.</v>
      </c>
      <c r="D5" s="914"/>
      <c r="E5" s="72" t="s">
        <v>7</v>
      </c>
      <c r="F5" s="74" t="str">
        <f>+VLOOKUP(B5,PPTO!B8:G94,3,FALSE)</f>
        <v>ML</v>
      </c>
      <c r="G5" s="915" t="s">
        <v>1120</v>
      </c>
      <c r="H5" s="915"/>
      <c r="I5" s="916">
        <f>+VLOOKUP(B5,PPTO!B8:G94,5,FALSE)</f>
        <v>65545.118111825461</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8" x14ac:dyDescent="0.3">
      <c r="A8" s="78"/>
      <c r="B8" s="79"/>
      <c r="C8" s="79"/>
      <c r="D8" s="88" t="s">
        <v>1225</v>
      </c>
      <c r="E8" s="89"/>
      <c r="F8" s="89">
        <v>25</v>
      </c>
      <c r="G8" s="89"/>
      <c r="H8" s="89"/>
      <c r="I8" s="90">
        <v>1</v>
      </c>
      <c r="J8" s="87">
        <f>+I8*F8</f>
        <v>25</v>
      </c>
    </row>
    <row r="9" spans="1:10" ht="18" x14ac:dyDescent="0.3">
      <c r="A9" s="78"/>
      <c r="B9" s="79"/>
      <c r="C9" s="79"/>
      <c r="D9" s="94"/>
      <c r="E9" s="89"/>
      <c r="F9" s="89"/>
      <c r="G9" s="89"/>
      <c r="H9" s="89"/>
      <c r="I9" s="93"/>
      <c r="J9" s="91"/>
    </row>
    <row r="10" spans="1:10" ht="18" x14ac:dyDescent="0.3">
      <c r="A10" s="78"/>
      <c r="B10" s="79"/>
      <c r="C10" s="79"/>
      <c r="D10" s="94"/>
      <c r="E10" s="89"/>
      <c r="F10" s="89"/>
      <c r="G10" s="89"/>
      <c r="H10" s="89"/>
      <c r="I10" s="93"/>
      <c r="J10" s="91"/>
    </row>
    <row r="11" spans="1:10" ht="18" x14ac:dyDescent="0.3">
      <c r="A11" s="78"/>
      <c r="B11" s="79"/>
      <c r="C11" s="79"/>
      <c r="D11" s="94"/>
      <c r="E11" s="89"/>
      <c r="F11" s="89"/>
      <c r="G11" s="89"/>
      <c r="H11" s="89"/>
      <c r="I11" s="93"/>
      <c r="J11" s="91"/>
    </row>
    <row r="12" spans="1:10" ht="18" x14ac:dyDescent="0.3">
      <c r="A12" s="78"/>
      <c r="B12" s="79"/>
      <c r="C12" s="79"/>
      <c r="D12" s="94"/>
      <c r="E12" s="89"/>
      <c r="F12" s="89"/>
      <c r="G12" s="89"/>
      <c r="H12" s="89"/>
      <c r="I12" s="93"/>
      <c r="J12" s="91"/>
    </row>
    <row r="13" spans="1:10" ht="18" x14ac:dyDescent="0.3">
      <c r="A13" s="78"/>
      <c r="B13" s="79"/>
      <c r="C13" s="79"/>
      <c r="D13" s="94"/>
      <c r="E13" s="89"/>
      <c r="F13" s="89"/>
      <c r="G13" s="89"/>
      <c r="H13" s="89"/>
      <c r="I13" s="93"/>
      <c r="J13" s="91"/>
    </row>
    <row r="14" spans="1:10" ht="18" x14ac:dyDescent="0.3">
      <c r="A14" s="78"/>
      <c r="B14" s="79"/>
      <c r="C14" s="79"/>
      <c r="D14" s="94"/>
      <c r="E14" s="89"/>
      <c r="F14" s="89"/>
      <c r="G14" s="89"/>
      <c r="H14" s="89"/>
      <c r="I14" s="93"/>
      <c r="J14" s="91"/>
    </row>
    <row r="15" spans="1:10" ht="18" x14ac:dyDescent="0.3">
      <c r="A15" s="78"/>
      <c r="B15" s="79"/>
      <c r="C15" s="79"/>
      <c r="D15" s="88"/>
      <c r="E15" s="89"/>
      <c r="F15" s="89"/>
      <c r="G15" s="89"/>
      <c r="H15" s="89"/>
      <c r="I15" s="90"/>
      <c r="J15" s="91"/>
    </row>
    <row r="16" spans="1:10" ht="18" x14ac:dyDescent="0.3">
      <c r="A16" s="78"/>
      <c r="B16" s="79"/>
      <c r="C16" s="79"/>
      <c r="D16" s="88"/>
      <c r="E16" s="89"/>
      <c r="F16" s="89"/>
      <c r="G16" s="89"/>
      <c r="H16" s="89"/>
      <c r="I16" s="90"/>
      <c r="J16" s="91"/>
    </row>
    <row r="17" spans="1:10" ht="18" x14ac:dyDescent="0.3">
      <c r="A17" s="78"/>
      <c r="B17" s="79"/>
      <c r="C17" s="79"/>
      <c r="D17" s="94"/>
      <c r="E17" s="89"/>
      <c r="F17" s="89"/>
      <c r="G17" s="89"/>
      <c r="H17" s="89"/>
      <c r="I17" s="93"/>
      <c r="J17" s="91"/>
    </row>
    <row r="18" spans="1:10" ht="18" x14ac:dyDescent="0.3">
      <c r="A18" s="78"/>
      <c r="B18" s="79"/>
      <c r="C18" s="79"/>
      <c r="D18" s="94"/>
      <c r="E18" s="89"/>
      <c r="F18" s="89"/>
      <c r="G18" s="89"/>
      <c r="H18" s="89"/>
      <c r="I18" s="93"/>
      <c r="J18" s="91"/>
    </row>
    <row r="19" spans="1:10" ht="18" x14ac:dyDescent="0.3">
      <c r="A19" s="78"/>
      <c r="B19" s="79"/>
      <c r="C19" s="79"/>
      <c r="D19" s="94"/>
      <c r="E19" s="89"/>
      <c r="F19" s="89"/>
      <c r="G19" s="89"/>
      <c r="H19" s="89"/>
      <c r="I19" s="93"/>
      <c r="J19" s="91">
        <f t="shared" ref="J19:J40" si="0">+PRODUCT(E19:I19)</f>
        <v>0</v>
      </c>
    </row>
    <row r="20" spans="1:10" ht="18" x14ac:dyDescent="0.3">
      <c r="A20" s="78"/>
      <c r="B20" s="79"/>
      <c r="C20" s="79"/>
      <c r="D20" s="94"/>
      <c r="E20" s="89"/>
      <c r="F20" s="89"/>
      <c r="G20" s="89"/>
      <c r="H20" s="89"/>
      <c r="I20" s="93"/>
      <c r="J20" s="91">
        <f t="shared" si="0"/>
        <v>0</v>
      </c>
    </row>
    <row r="21" spans="1:10" ht="18" x14ac:dyDescent="0.3">
      <c r="A21" s="78"/>
      <c r="B21" s="79"/>
      <c r="C21" s="79"/>
      <c r="D21" s="94"/>
      <c r="E21" s="89"/>
      <c r="F21" s="89"/>
      <c r="G21" s="89"/>
      <c r="H21" s="89"/>
      <c r="I21" s="93"/>
      <c r="J21" s="91">
        <f t="shared" si="0"/>
        <v>0</v>
      </c>
    </row>
    <row r="22" spans="1:10" ht="18" x14ac:dyDescent="0.3">
      <c r="A22" s="78"/>
      <c r="B22" s="79"/>
      <c r="C22" s="79"/>
      <c r="D22" s="94"/>
      <c r="E22" s="89"/>
      <c r="F22" s="89"/>
      <c r="G22" s="89"/>
      <c r="H22" s="89"/>
      <c r="I22" s="93"/>
      <c r="J22" s="91">
        <f t="shared" si="0"/>
        <v>0</v>
      </c>
    </row>
    <row r="23" spans="1:10" ht="18" x14ac:dyDescent="0.3">
      <c r="A23" s="78"/>
      <c r="B23" s="79"/>
      <c r="C23" s="79"/>
      <c r="D23" s="94"/>
      <c r="E23" s="89"/>
      <c r="F23" s="89"/>
      <c r="G23" s="89"/>
      <c r="H23" s="89"/>
      <c r="I23" s="93"/>
      <c r="J23" s="91">
        <f t="shared" si="0"/>
        <v>0</v>
      </c>
    </row>
    <row r="24" spans="1:10" ht="18" x14ac:dyDescent="0.3">
      <c r="A24" s="78"/>
      <c r="B24" s="79"/>
      <c r="C24" s="79"/>
      <c r="D24" s="94"/>
      <c r="E24" s="89"/>
      <c r="F24" s="89"/>
      <c r="G24" s="89"/>
      <c r="H24" s="89"/>
      <c r="I24" s="93"/>
      <c r="J24" s="91">
        <f t="shared" si="0"/>
        <v>0</v>
      </c>
    </row>
    <row r="25" spans="1:10" ht="18" x14ac:dyDescent="0.3">
      <c r="A25" s="78"/>
      <c r="B25" s="79"/>
      <c r="C25" s="79"/>
      <c r="D25" s="94"/>
      <c r="E25" s="89"/>
      <c r="F25" s="89"/>
      <c r="G25" s="89"/>
      <c r="H25" s="89"/>
      <c r="I25" s="93"/>
      <c r="J25" s="91">
        <f t="shared" si="0"/>
        <v>0</v>
      </c>
    </row>
    <row r="26" spans="1:10" ht="18" x14ac:dyDescent="0.3">
      <c r="A26" s="78"/>
      <c r="B26" s="79"/>
      <c r="C26" s="79"/>
      <c r="D26" s="94"/>
      <c r="E26" s="89"/>
      <c r="F26" s="89"/>
      <c r="G26" s="89"/>
      <c r="H26" s="89"/>
      <c r="I26" s="93"/>
      <c r="J26" s="91">
        <f t="shared" si="0"/>
        <v>0</v>
      </c>
    </row>
    <row r="27" spans="1:10" ht="18" x14ac:dyDescent="0.3">
      <c r="A27" s="78"/>
      <c r="B27" s="79"/>
      <c r="C27" s="79"/>
      <c r="D27" s="94"/>
      <c r="E27" s="89"/>
      <c r="F27" s="89"/>
      <c r="G27" s="89"/>
      <c r="H27" s="89"/>
      <c r="I27" s="93"/>
      <c r="J27" s="91">
        <f t="shared" si="0"/>
        <v>0</v>
      </c>
    </row>
    <row r="28" spans="1:10" ht="18" x14ac:dyDescent="0.3">
      <c r="A28" s="78"/>
      <c r="B28" s="79"/>
      <c r="C28" s="79"/>
      <c r="D28" s="94"/>
      <c r="E28" s="89"/>
      <c r="F28" s="89"/>
      <c r="G28" s="89"/>
      <c r="H28" s="89"/>
      <c r="I28" s="93"/>
      <c r="J28" s="91">
        <f t="shared" si="0"/>
        <v>0</v>
      </c>
    </row>
    <row r="29" spans="1:10" ht="18" x14ac:dyDescent="0.3">
      <c r="A29" s="78"/>
      <c r="B29" s="79"/>
      <c r="C29" s="79"/>
      <c r="D29" s="94"/>
      <c r="E29" s="89"/>
      <c r="F29" s="89"/>
      <c r="G29" s="89"/>
      <c r="H29" s="89"/>
      <c r="I29" s="93"/>
      <c r="J29" s="91">
        <f t="shared" si="0"/>
        <v>0</v>
      </c>
    </row>
    <row r="30" spans="1:10" ht="18" x14ac:dyDescent="0.3">
      <c r="A30" s="78"/>
      <c r="B30" s="79"/>
      <c r="C30" s="79"/>
      <c r="D30" s="94"/>
      <c r="E30" s="89"/>
      <c r="F30" s="89"/>
      <c r="G30" s="89"/>
      <c r="H30" s="89"/>
      <c r="I30" s="93"/>
      <c r="J30" s="91">
        <f t="shared" si="0"/>
        <v>0</v>
      </c>
    </row>
    <row r="31" spans="1:10" ht="18" x14ac:dyDescent="0.3">
      <c r="A31" s="78"/>
      <c r="B31" s="79"/>
      <c r="C31" s="79"/>
      <c r="D31" s="94"/>
      <c r="E31" s="89"/>
      <c r="F31" s="89"/>
      <c r="G31" s="89"/>
      <c r="H31" s="89"/>
      <c r="I31" s="93"/>
      <c r="J31" s="91">
        <f t="shared" si="0"/>
        <v>0</v>
      </c>
    </row>
    <row r="32" spans="1:10" ht="18" x14ac:dyDescent="0.3">
      <c r="A32" s="78"/>
      <c r="B32" s="79"/>
      <c r="C32" s="79"/>
      <c r="D32" s="94"/>
      <c r="E32" s="89"/>
      <c r="F32" s="89"/>
      <c r="G32" s="89"/>
      <c r="H32" s="89"/>
      <c r="I32" s="93"/>
      <c r="J32" s="91">
        <f t="shared" si="0"/>
        <v>0</v>
      </c>
    </row>
    <row r="33" spans="1:13" ht="18" x14ac:dyDescent="0.3">
      <c r="A33" s="78"/>
      <c r="B33" s="79"/>
      <c r="C33" s="79"/>
      <c r="D33" s="94"/>
      <c r="E33" s="89"/>
      <c r="F33" s="89"/>
      <c r="G33" s="89"/>
      <c r="H33" s="89"/>
      <c r="I33" s="93"/>
      <c r="J33" s="91">
        <f t="shared" si="0"/>
        <v>0</v>
      </c>
    </row>
    <row r="34" spans="1:13" ht="18" x14ac:dyDescent="0.3">
      <c r="A34" s="78"/>
      <c r="B34" s="79"/>
      <c r="C34" s="79"/>
      <c r="D34" s="94"/>
      <c r="E34" s="89"/>
      <c r="F34" s="89"/>
      <c r="G34" s="92"/>
      <c r="H34" s="89"/>
      <c r="I34" s="93"/>
      <c r="J34" s="91"/>
    </row>
    <row r="35" spans="1:13" ht="18" x14ac:dyDescent="0.3">
      <c r="A35" s="78"/>
      <c r="B35" s="79"/>
      <c r="C35" s="79"/>
      <c r="D35" s="94"/>
      <c r="E35" s="89"/>
      <c r="F35" s="89"/>
      <c r="G35" s="92"/>
      <c r="H35" s="89"/>
      <c r="I35" s="93"/>
      <c r="J35" s="91"/>
    </row>
    <row r="36" spans="1:13" ht="18" x14ac:dyDescent="0.3">
      <c r="A36" s="78"/>
      <c r="B36" s="79"/>
      <c r="C36" s="79"/>
      <c r="D36" s="94"/>
      <c r="E36" s="89"/>
      <c r="F36" s="89"/>
      <c r="G36" s="92"/>
      <c r="H36" s="89"/>
      <c r="I36" s="93"/>
      <c r="J36" s="91"/>
    </row>
    <row r="37" spans="1:13" ht="18" x14ac:dyDescent="0.3">
      <c r="A37" s="78"/>
      <c r="B37" s="79"/>
      <c r="C37" s="79"/>
      <c r="D37" s="94"/>
      <c r="E37" s="89"/>
      <c r="F37" s="89"/>
      <c r="G37" s="92"/>
      <c r="H37" s="89"/>
      <c r="I37" s="93"/>
      <c r="J37" s="91"/>
    </row>
    <row r="38" spans="1:13" ht="18" x14ac:dyDescent="0.3">
      <c r="A38" s="78"/>
      <c r="B38" s="79"/>
      <c r="C38" s="79"/>
      <c r="D38" s="94"/>
      <c r="E38" s="89"/>
      <c r="F38" s="89"/>
      <c r="G38" s="92"/>
      <c r="H38" s="89"/>
      <c r="I38" s="93"/>
      <c r="J38" s="91"/>
    </row>
    <row r="39" spans="1:13" ht="18" x14ac:dyDescent="0.3">
      <c r="A39" s="78"/>
      <c r="B39" s="79"/>
      <c r="C39" s="79"/>
      <c r="D39" s="95"/>
      <c r="E39" s="89"/>
      <c r="F39" s="89"/>
      <c r="G39" s="92"/>
      <c r="H39" s="89"/>
      <c r="I39" s="93"/>
      <c r="J39" s="91">
        <f t="shared" si="0"/>
        <v>0</v>
      </c>
    </row>
    <row r="40" spans="1:13" ht="18.75" thickBot="1" x14ac:dyDescent="0.35">
      <c r="A40" s="78"/>
      <c r="B40" s="79"/>
      <c r="C40" s="79"/>
      <c r="D40" s="96"/>
      <c r="E40" s="97"/>
      <c r="F40" s="97"/>
      <c r="G40" s="98"/>
      <c r="H40" s="97"/>
      <c r="I40" s="99"/>
      <c r="J40" s="100">
        <f t="shared" si="0"/>
        <v>0</v>
      </c>
      <c r="M40" s="105"/>
    </row>
    <row r="41" spans="1:13" ht="21" thickBot="1" x14ac:dyDescent="0.35">
      <c r="A41" s="78"/>
      <c r="B41" s="79"/>
      <c r="C41" s="79"/>
      <c r="D41" s="933" t="s">
        <v>10</v>
      </c>
      <c r="E41" s="934"/>
      <c r="F41" s="934"/>
      <c r="G41" s="934"/>
      <c r="H41" s="934"/>
      <c r="I41" s="935"/>
      <c r="J41" s="102">
        <f>ROUND(SUM(J8:J40),2)</f>
        <v>25</v>
      </c>
    </row>
    <row r="42" spans="1:13" ht="21" thickBot="1" x14ac:dyDescent="0.35">
      <c r="A42" s="78"/>
      <c r="B42" s="79"/>
      <c r="C42" s="79"/>
      <c r="D42" s="933" t="s">
        <v>1127</v>
      </c>
      <c r="E42" s="934"/>
      <c r="F42" s="934"/>
      <c r="G42" s="934"/>
      <c r="H42" s="934"/>
      <c r="I42" s="935"/>
      <c r="J42" s="103"/>
    </row>
    <row r="43" spans="1:13" ht="21" thickBot="1" x14ac:dyDescent="0.35">
      <c r="A43" s="78"/>
      <c r="B43" s="79"/>
      <c r="C43" s="101"/>
      <c r="D43" s="933" t="s">
        <v>1128</v>
      </c>
      <c r="E43" s="934"/>
      <c r="F43" s="934"/>
      <c r="G43" s="934"/>
      <c r="H43" s="934"/>
      <c r="I43" s="935"/>
      <c r="J43" s="104">
        <f>+J41-J42</f>
        <v>25</v>
      </c>
    </row>
    <row r="44" spans="1:13" ht="21" thickBot="1" x14ac:dyDescent="0.35">
      <c r="A44" s="936" t="s">
        <v>1129</v>
      </c>
      <c r="B44" s="937"/>
      <c r="C44" s="938"/>
      <c r="D44" s="939" t="s">
        <v>1130</v>
      </c>
      <c r="E44" s="940"/>
      <c r="F44" s="940"/>
      <c r="G44" s="940"/>
      <c r="H44" s="940"/>
      <c r="I44" s="940"/>
      <c r="J44" s="941"/>
    </row>
    <row r="45" spans="1:13" ht="38.25" customHeight="1" thickBot="1" x14ac:dyDescent="0.35">
      <c r="A45" s="942" t="str">
        <f>PPTO!G3</f>
        <v>JUNIO DE 2026</v>
      </c>
      <c r="B45" s="943"/>
      <c r="C45" s="944"/>
      <c r="D45" s="921"/>
      <c r="E45" s="922"/>
      <c r="F45" s="922"/>
      <c r="G45" s="922"/>
      <c r="H45" s="922"/>
      <c r="I45" s="922"/>
      <c r="J45" s="923"/>
    </row>
    <row r="46" spans="1:13" ht="19.5" thickBot="1" x14ac:dyDescent="0.35">
      <c r="A46" s="918"/>
      <c r="B46" s="919"/>
      <c r="C46" s="920"/>
      <c r="D46" s="921" t="s">
        <v>1131</v>
      </c>
      <c r="E46" s="922"/>
      <c r="F46" s="922"/>
      <c r="G46" s="922"/>
      <c r="H46" s="922"/>
      <c r="I46" s="922"/>
      <c r="J46" s="923"/>
    </row>
  </sheetData>
  <mergeCells count="19">
    <mergeCell ref="A2:J2"/>
    <mergeCell ref="A3:J3"/>
    <mergeCell ref="A4:J4"/>
    <mergeCell ref="C5:D5"/>
    <mergeCell ref="G5:H5"/>
    <mergeCell ref="I5:J5"/>
    <mergeCell ref="A46:C46"/>
    <mergeCell ref="D46:J46"/>
    <mergeCell ref="D6:D7"/>
    <mergeCell ref="E6:G6"/>
    <mergeCell ref="I6:I7"/>
    <mergeCell ref="J6:J7"/>
    <mergeCell ref="D41:I41"/>
    <mergeCell ref="D42:I42"/>
    <mergeCell ref="D43:I43"/>
    <mergeCell ref="A44:C44"/>
    <mergeCell ref="D44:J44"/>
    <mergeCell ref="A45:C45"/>
    <mergeCell ref="D45:J45"/>
  </mergeCells>
  <conditionalFormatting sqref="J8:J40">
    <cfRule type="cellIs" dxfId="31" priority="1" operator="equal">
      <formula>0</formula>
    </cfRule>
  </conditionalFormatting>
  <pageMargins left="0.7" right="0.7" top="0.75" bottom="0.75" header="0.3" footer="0.3"/>
  <pageSetup scale="53" orientation="landscape" r:id="rId1"/>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DA50EA-FE90-49F6-AAC1-0FF69D61AA62}">
  <sheetPr>
    <tabColor rgb="FF92D050"/>
    <pageSetUpPr fitToPage="1"/>
  </sheetPr>
  <dimension ref="A1:M46"/>
  <sheetViews>
    <sheetView showOutlineSymbols="0" view="pageBreakPreview" topLeftCell="A13" zoomScale="60" zoomScaleNormal="70" workbookViewId="0">
      <selection activeCell="F9" sqref="F9"/>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05.75" customHeight="1" thickBot="1" x14ac:dyDescent="0.35">
      <c r="A5" s="72" t="s">
        <v>5</v>
      </c>
      <c r="B5" s="470">
        <v>6.14</v>
      </c>
      <c r="C5" s="913" t="str">
        <f>+VLOOKUP(B5,PPTO!B8:G94,2,FALSE)</f>
        <v>Suministro, transporte e instalación PUESTA A TIERRA Y APANTALLAMIENTO.  5/8'' x 2.4m incluye elementos para el correcto funcionamiento.</v>
      </c>
      <c r="D5" s="914"/>
      <c r="E5" s="72" t="s">
        <v>7</v>
      </c>
      <c r="F5" s="74" t="str">
        <f>+VLOOKUP(B5,PPTO!B8:G94,3,FALSE)</f>
        <v>GL</v>
      </c>
      <c r="G5" s="915" t="s">
        <v>1120</v>
      </c>
      <c r="H5" s="915"/>
      <c r="I5" s="916">
        <f>+VLOOKUP(B5,PPTO!B8:G94,5,FALSE)</f>
        <v>3687678.9448946035</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8" x14ac:dyDescent="0.3">
      <c r="A8" s="78"/>
      <c r="B8" s="79"/>
      <c r="C8" s="79"/>
      <c r="D8" s="88" t="s">
        <v>1226</v>
      </c>
      <c r="E8" s="89"/>
      <c r="F8" s="89">
        <v>1</v>
      </c>
      <c r="G8" s="89"/>
      <c r="H8" s="89"/>
      <c r="I8" s="90">
        <v>1</v>
      </c>
      <c r="J8" s="87">
        <f>+I8*F8</f>
        <v>1</v>
      </c>
    </row>
    <row r="9" spans="1:10" ht="18" x14ac:dyDescent="0.3">
      <c r="A9" s="78"/>
      <c r="B9" s="79"/>
      <c r="C9" s="79"/>
      <c r="D9" s="94"/>
      <c r="E9" s="89"/>
      <c r="F9" s="89"/>
      <c r="G9" s="89"/>
      <c r="H9" s="89"/>
      <c r="I9" s="93"/>
      <c r="J9" s="91"/>
    </row>
    <row r="10" spans="1:10" ht="18" x14ac:dyDescent="0.3">
      <c r="A10" s="78"/>
      <c r="B10" s="79"/>
      <c r="C10" s="79"/>
      <c r="D10" s="94"/>
      <c r="E10" s="89"/>
      <c r="F10" s="89"/>
      <c r="G10" s="89"/>
      <c r="H10" s="89"/>
      <c r="I10" s="93"/>
      <c r="J10" s="91"/>
    </row>
    <row r="11" spans="1:10" ht="18" x14ac:dyDescent="0.3">
      <c r="A11" s="78"/>
      <c r="B11" s="79"/>
      <c r="C11" s="79"/>
      <c r="D11" s="94"/>
      <c r="E11" s="89"/>
      <c r="F11" s="89"/>
      <c r="G11" s="89"/>
      <c r="H11" s="89"/>
      <c r="I11" s="93"/>
      <c r="J11" s="91"/>
    </row>
    <row r="12" spans="1:10" ht="18" x14ac:dyDescent="0.3">
      <c r="A12" s="78"/>
      <c r="B12" s="79"/>
      <c r="C12" s="79"/>
      <c r="D12" s="94"/>
      <c r="E12" s="89"/>
      <c r="F12" s="89"/>
      <c r="G12" s="89"/>
      <c r="H12" s="89"/>
      <c r="I12" s="93"/>
      <c r="J12" s="91"/>
    </row>
    <row r="13" spans="1:10" ht="18" x14ac:dyDescent="0.3">
      <c r="A13" s="78"/>
      <c r="B13" s="79"/>
      <c r="C13" s="79"/>
      <c r="D13" s="94"/>
      <c r="E13" s="89"/>
      <c r="F13" s="89"/>
      <c r="G13" s="89"/>
      <c r="H13" s="89"/>
      <c r="I13" s="93"/>
      <c r="J13" s="91"/>
    </row>
    <row r="14" spans="1:10" ht="18" x14ac:dyDescent="0.3">
      <c r="A14" s="78"/>
      <c r="B14" s="79"/>
      <c r="C14" s="79"/>
      <c r="D14" s="94"/>
      <c r="E14" s="89"/>
      <c r="F14" s="89"/>
      <c r="G14" s="89"/>
      <c r="H14" s="89"/>
      <c r="I14" s="93"/>
      <c r="J14" s="91"/>
    </row>
    <row r="15" spans="1:10" ht="18" x14ac:dyDescent="0.3">
      <c r="A15" s="78"/>
      <c r="B15" s="79"/>
      <c r="C15" s="79"/>
      <c r="D15" s="88"/>
      <c r="E15" s="89"/>
      <c r="F15" s="89"/>
      <c r="G15" s="89"/>
      <c r="H15" s="89"/>
      <c r="I15" s="90"/>
      <c r="J15" s="91"/>
    </row>
    <row r="16" spans="1:10" ht="18" x14ac:dyDescent="0.3">
      <c r="A16" s="78"/>
      <c r="B16" s="79"/>
      <c r="C16" s="79"/>
      <c r="D16" s="88"/>
      <c r="E16" s="89"/>
      <c r="F16" s="89"/>
      <c r="G16" s="89"/>
      <c r="H16" s="89"/>
      <c r="I16" s="90"/>
      <c r="J16" s="91"/>
    </row>
    <row r="17" spans="1:10" ht="18" x14ac:dyDescent="0.3">
      <c r="A17" s="78"/>
      <c r="B17" s="79"/>
      <c r="C17" s="79"/>
      <c r="D17" s="94"/>
      <c r="E17" s="89"/>
      <c r="F17" s="89"/>
      <c r="G17" s="89"/>
      <c r="H17" s="89"/>
      <c r="I17" s="93"/>
      <c r="J17" s="91"/>
    </row>
    <row r="18" spans="1:10" ht="18" x14ac:dyDescent="0.3">
      <c r="A18" s="78"/>
      <c r="B18" s="79"/>
      <c r="C18" s="79"/>
      <c r="D18" s="94"/>
      <c r="E18" s="89"/>
      <c r="F18" s="89"/>
      <c r="G18" s="89"/>
      <c r="H18" s="89"/>
      <c r="I18" s="93"/>
      <c r="J18" s="91"/>
    </row>
    <row r="19" spans="1:10" ht="18" x14ac:dyDescent="0.3">
      <c r="A19" s="78"/>
      <c r="B19" s="79"/>
      <c r="C19" s="79"/>
      <c r="D19" s="94"/>
      <c r="E19" s="89"/>
      <c r="F19" s="89"/>
      <c r="G19" s="89"/>
      <c r="H19" s="89"/>
      <c r="I19" s="93"/>
      <c r="J19" s="91">
        <f t="shared" ref="J19:J40" si="0">+PRODUCT(E19:I19)</f>
        <v>0</v>
      </c>
    </row>
    <row r="20" spans="1:10" ht="18" x14ac:dyDescent="0.3">
      <c r="A20" s="78"/>
      <c r="B20" s="79"/>
      <c r="C20" s="79"/>
      <c r="D20" s="94"/>
      <c r="E20" s="89"/>
      <c r="F20" s="89"/>
      <c r="G20" s="89"/>
      <c r="H20" s="89"/>
      <c r="I20" s="93"/>
      <c r="J20" s="91">
        <f t="shared" si="0"/>
        <v>0</v>
      </c>
    </row>
    <row r="21" spans="1:10" ht="18" x14ac:dyDescent="0.3">
      <c r="A21" s="78"/>
      <c r="B21" s="79"/>
      <c r="C21" s="79"/>
      <c r="D21" s="94"/>
      <c r="E21" s="89"/>
      <c r="F21" s="89"/>
      <c r="G21" s="89"/>
      <c r="H21" s="89"/>
      <c r="I21" s="93"/>
      <c r="J21" s="91">
        <f t="shared" si="0"/>
        <v>0</v>
      </c>
    </row>
    <row r="22" spans="1:10" ht="18" x14ac:dyDescent="0.3">
      <c r="A22" s="78"/>
      <c r="B22" s="79"/>
      <c r="C22" s="79"/>
      <c r="D22" s="94"/>
      <c r="E22" s="89"/>
      <c r="F22" s="89"/>
      <c r="G22" s="89"/>
      <c r="H22" s="89"/>
      <c r="I22" s="93"/>
      <c r="J22" s="91">
        <f t="shared" si="0"/>
        <v>0</v>
      </c>
    </row>
    <row r="23" spans="1:10" ht="18" x14ac:dyDescent="0.3">
      <c r="A23" s="78"/>
      <c r="B23" s="79"/>
      <c r="C23" s="79"/>
      <c r="D23" s="94"/>
      <c r="E23" s="89"/>
      <c r="F23" s="89"/>
      <c r="G23" s="89"/>
      <c r="H23" s="89"/>
      <c r="I23" s="93"/>
      <c r="J23" s="91">
        <f t="shared" si="0"/>
        <v>0</v>
      </c>
    </row>
    <row r="24" spans="1:10" ht="18" x14ac:dyDescent="0.3">
      <c r="A24" s="78"/>
      <c r="B24" s="79"/>
      <c r="C24" s="79"/>
      <c r="D24" s="94"/>
      <c r="E24" s="89"/>
      <c r="F24" s="89"/>
      <c r="G24" s="89"/>
      <c r="H24" s="89"/>
      <c r="I24" s="93"/>
      <c r="J24" s="91">
        <f t="shared" si="0"/>
        <v>0</v>
      </c>
    </row>
    <row r="25" spans="1:10" ht="18" x14ac:dyDescent="0.3">
      <c r="A25" s="78"/>
      <c r="B25" s="79"/>
      <c r="C25" s="79"/>
      <c r="D25" s="94"/>
      <c r="E25" s="89"/>
      <c r="F25" s="89"/>
      <c r="G25" s="89"/>
      <c r="H25" s="89"/>
      <c r="I25" s="93"/>
      <c r="J25" s="91">
        <f t="shared" si="0"/>
        <v>0</v>
      </c>
    </row>
    <row r="26" spans="1:10" ht="18" x14ac:dyDescent="0.3">
      <c r="A26" s="78"/>
      <c r="B26" s="79"/>
      <c r="C26" s="79"/>
      <c r="D26" s="94"/>
      <c r="E26" s="89"/>
      <c r="F26" s="89"/>
      <c r="G26" s="89"/>
      <c r="H26" s="89"/>
      <c r="I26" s="93"/>
      <c r="J26" s="91">
        <f t="shared" si="0"/>
        <v>0</v>
      </c>
    </row>
    <row r="27" spans="1:10" ht="18" x14ac:dyDescent="0.3">
      <c r="A27" s="78"/>
      <c r="B27" s="79"/>
      <c r="C27" s="79"/>
      <c r="D27" s="94"/>
      <c r="E27" s="89"/>
      <c r="F27" s="89"/>
      <c r="G27" s="89"/>
      <c r="H27" s="89"/>
      <c r="I27" s="93"/>
      <c r="J27" s="91">
        <f t="shared" si="0"/>
        <v>0</v>
      </c>
    </row>
    <row r="28" spans="1:10" ht="18" x14ac:dyDescent="0.3">
      <c r="A28" s="78"/>
      <c r="B28" s="79"/>
      <c r="C28" s="79"/>
      <c r="D28" s="94"/>
      <c r="E28" s="89"/>
      <c r="F28" s="89"/>
      <c r="G28" s="89"/>
      <c r="H28" s="89"/>
      <c r="I28" s="93"/>
      <c r="J28" s="91">
        <f t="shared" si="0"/>
        <v>0</v>
      </c>
    </row>
    <row r="29" spans="1:10" ht="18" x14ac:dyDescent="0.3">
      <c r="A29" s="78"/>
      <c r="B29" s="79"/>
      <c r="C29" s="79"/>
      <c r="D29" s="94"/>
      <c r="E29" s="89"/>
      <c r="F29" s="89"/>
      <c r="G29" s="89"/>
      <c r="H29" s="89"/>
      <c r="I29" s="93"/>
      <c r="J29" s="91">
        <f t="shared" si="0"/>
        <v>0</v>
      </c>
    </row>
    <row r="30" spans="1:10" ht="18" x14ac:dyDescent="0.3">
      <c r="A30" s="78"/>
      <c r="B30" s="79"/>
      <c r="C30" s="79"/>
      <c r="D30" s="94"/>
      <c r="E30" s="89"/>
      <c r="F30" s="89"/>
      <c r="G30" s="89"/>
      <c r="H30" s="89"/>
      <c r="I30" s="93"/>
      <c r="J30" s="91">
        <f t="shared" si="0"/>
        <v>0</v>
      </c>
    </row>
    <row r="31" spans="1:10" ht="18" x14ac:dyDescent="0.3">
      <c r="A31" s="78"/>
      <c r="B31" s="79"/>
      <c r="C31" s="79"/>
      <c r="D31" s="94"/>
      <c r="E31" s="89"/>
      <c r="F31" s="89"/>
      <c r="G31" s="89"/>
      <c r="H31" s="89"/>
      <c r="I31" s="93"/>
      <c r="J31" s="91">
        <f t="shared" si="0"/>
        <v>0</v>
      </c>
    </row>
    <row r="32" spans="1:10" ht="18" x14ac:dyDescent="0.3">
      <c r="A32" s="78"/>
      <c r="B32" s="79"/>
      <c r="C32" s="79"/>
      <c r="D32" s="94"/>
      <c r="E32" s="89"/>
      <c r="F32" s="89"/>
      <c r="G32" s="89"/>
      <c r="H32" s="89"/>
      <c r="I32" s="93"/>
      <c r="J32" s="91">
        <f t="shared" si="0"/>
        <v>0</v>
      </c>
    </row>
    <row r="33" spans="1:13" ht="18" x14ac:dyDescent="0.3">
      <c r="A33" s="78"/>
      <c r="B33" s="79"/>
      <c r="C33" s="79"/>
      <c r="D33" s="94"/>
      <c r="E33" s="89"/>
      <c r="F33" s="89"/>
      <c r="G33" s="89"/>
      <c r="H33" s="89"/>
      <c r="I33" s="93"/>
      <c r="J33" s="91">
        <f t="shared" si="0"/>
        <v>0</v>
      </c>
    </row>
    <row r="34" spans="1:13" ht="18" x14ac:dyDescent="0.3">
      <c r="A34" s="78"/>
      <c r="B34" s="79"/>
      <c r="C34" s="79"/>
      <c r="D34" s="94"/>
      <c r="E34" s="89"/>
      <c r="F34" s="89"/>
      <c r="G34" s="92"/>
      <c r="H34" s="89"/>
      <c r="I34" s="93"/>
      <c r="J34" s="91"/>
    </row>
    <row r="35" spans="1:13" ht="18" x14ac:dyDescent="0.3">
      <c r="A35" s="78"/>
      <c r="B35" s="79"/>
      <c r="C35" s="79"/>
      <c r="D35" s="94"/>
      <c r="E35" s="89"/>
      <c r="F35" s="89"/>
      <c r="G35" s="92"/>
      <c r="H35" s="89"/>
      <c r="I35" s="93"/>
      <c r="J35" s="91"/>
    </row>
    <row r="36" spans="1:13" ht="18" x14ac:dyDescent="0.3">
      <c r="A36" s="78"/>
      <c r="B36" s="79"/>
      <c r="C36" s="79"/>
      <c r="D36" s="94"/>
      <c r="E36" s="89"/>
      <c r="F36" s="89"/>
      <c r="G36" s="92"/>
      <c r="H36" s="89"/>
      <c r="I36" s="93"/>
      <c r="J36" s="91"/>
    </row>
    <row r="37" spans="1:13" ht="18" x14ac:dyDescent="0.3">
      <c r="A37" s="78"/>
      <c r="B37" s="79"/>
      <c r="C37" s="79"/>
      <c r="D37" s="94"/>
      <c r="E37" s="89"/>
      <c r="F37" s="89"/>
      <c r="G37" s="92"/>
      <c r="H37" s="89"/>
      <c r="I37" s="93"/>
      <c r="J37" s="91"/>
    </row>
    <row r="38" spans="1:13" ht="18" x14ac:dyDescent="0.3">
      <c r="A38" s="78"/>
      <c r="B38" s="79"/>
      <c r="C38" s="79"/>
      <c r="D38" s="94"/>
      <c r="E38" s="89"/>
      <c r="F38" s="89"/>
      <c r="G38" s="92"/>
      <c r="H38" s="89"/>
      <c r="I38" s="93"/>
      <c r="J38" s="91"/>
    </row>
    <row r="39" spans="1:13" ht="18" x14ac:dyDescent="0.3">
      <c r="A39" s="78"/>
      <c r="B39" s="79"/>
      <c r="C39" s="79"/>
      <c r="D39" s="95"/>
      <c r="E39" s="89"/>
      <c r="F39" s="89"/>
      <c r="G39" s="92"/>
      <c r="H39" s="89"/>
      <c r="I39" s="93"/>
      <c r="J39" s="91">
        <f t="shared" si="0"/>
        <v>0</v>
      </c>
    </row>
    <row r="40" spans="1:13" ht="18.75" thickBot="1" x14ac:dyDescent="0.35">
      <c r="A40" s="78"/>
      <c r="B40" s="79"/>
      <c r="C40" s="79"/>
      <c r="D40" s="96"/>
      <c r="E40" s="97"/>
      <c r="F40" s="97"/>
      <c r="G40" s="98"/>
      <c r="H40" s="97"/>
      <c r="I40" s="99"/>
      <c r="J40" s="100">
        <f t="shared" si="0"/>
        <v>0</v>
      </c>
      <c r="M40" s="105"/>
    </row>
    <row r="41" spans="1:13" ht="21" thickBot="1" x14ac:dyDescent="0.35">
      <c r="A41" s="78"/>
      <c r="B41" s="79"/>
      <c r="C41" s="79"/>
      <c r="D41" s="933" t="s">
        <v>10</v>
      </c>
      <c r="E41" s="934"/>
      <c r="F41" s="934"/>
      <c r="G41" s="934"/>
      <c r="H41" s="934"/>
      <c r="I41" s="935"/>
      <c r="J41" s="102">
        <f>ROUND(SUM(J8:J40),2)</f>
        <v>1</v>
      </c>
    </row>
    <row r="42" spans="1:13" ht="21" thickBot="1" x14ac:dyDescent="0.35">
      <c r="A42" s="78"/>
      <c r="B42" s="79"/>
      <c r="C42" s="79"/>
      <c r="D42" s="933" t="s">
        <v>1127</v>
      </c>
      <c r="E42" s="934"/>
      <c r="F42" s="934"/>
      <c r="G42" s="934"/>
      <c r="H42" s="934"/>
      <c r="I42" s="935"/>
      <c r="J42" s="103"/>
    </row>
    <row r="43" spans="1:13" ht="21" thickBot="1" x14ac:dyDescent="0.35">
      <c r="A43" s="78"/>
      <c r="B43" s="79"/>
      <c r="C43" s="101"/>
      <c r="D43" s="933" t="s">
        <v>1128</v>
      </c>
      <c r="E43" s="934"/>
      <c r="F43" s="934"/>
      <c r="G43" s="934"/>
      <c r="H43" s="934"/>
      <c r="I43" s="935"/>
      <c r="J43" s="104">
        <f>+J41-J42</f>
        <v>1</v>
      </c>
    </row>
    <row r="44" spans="1:13" ht="21" thickBot="1" x14ac:dyDescent="0.35">
      <c r="A44" s="936" t="s">
        <v>1129</v>
      </c>
      <c r="B44" s="937"/>
      <c r="C44" s="938"/>
      <c r="D44" s="939" t="s">
        <v>1130</v>
      </c>
      <c r="E44" s="940"/>
      <c r="F44" s="940"/>
      <c r="G44" s="940"/>
      <c r="H44" s="940"/>
      <c r="I44" s="940"/>
      <c r="J44" s="941"/>
    </row>
    <row r="45" spans="1:13" ht="38.25" customHeight="1" thickBot="1" x14ac:dyDescent="0.35">
      <c r="A45" s="942" t="str">
        <f>PPTO!G3</f>
        <v>JUNIO DE 2026</v>
      </c>
      <c r="B45" s="943"/>
      <c r="C45" s="944"/>
      <c r="D45" s="921"/>
      <c r="E45" s="922"/>
      <c r="F45" s="922"/>
      <c r="G45" s="922"/>
      <c r="H45" s="922"/>
      <c r="I45" s="922"/>
      <c r="J45" s="923"/>
    </row>
    <row r="46" spans="1:13" ht="19.5" thickBot="1" x14ac:dyDescent="0.35">
      <c r="A46" s="918"/>
      <c r="B46" s="919"/>
      <c r="C46" s="920"/>
      <c r="D46" s="921" t="s">
        <v>1131</v>
      </c>
      <c r="E46" s="922"/>
      <c r="F46" s="922"/>
      <c r="G46" s="922"/>
      <c r="H46" s="922"/>
      <c r="I46" s="922"/>
      <c r="J46" s="923"/>
    </row>
  </sheetData>
  <mergeCells count="19">
    <mergeCell ref="A2:J2"/>
    <mergeCell ref="A3:J3"/>
    <mergeCell ref="A4:J4"/>
    <mergeCell ref="C5:D5"/>
    <mergeCell ref="G5:H5"/>
    <mergeCell ref="I5:J5"/>
    <mergeCell ref="A46:C46"/>
    <mergeCell ref="D46:J46"/>
    <mergeCell ref="D6:D7"/>
    <mergeCell ref="E6:G6"/>
    <mergeCell ref="I6:I7"/>
    <mergeCell ref="J6:J7"/>
    <mergeCell ref="D41:I41"/>
    <mergeCell ref="D42:I42"/>
    <mergeCell ref="D43:I43"/>
    <mergeCell ref="A44:C44"/>
    <mergeCell ref="D44:J44"/>
    <mergeCell ref="A45:C45"/>
    <mergeCell ref="D45:J45"/>
  </mergeCells>
  <conditionalFormatting sqref="J8:J40">
    <cfRule type="cellIs" dxfId="30" priority="1" operator="equal">
      <formula>0</formula>
    </cfRule>
  </conditionalFormatting>
  <pageMargins left="0.7" right="0.7" top="0.75" bottom="0.75" header="0.3" footer="0.3"/>
  <pageSetup scale="53" orientation="landscape" r:id="rId1"/>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E8323E-5F57-4CCA-9B8B-ABA553B8553C}">
  <sheetPr>
    <tabColor rgb="FF92D050"/>
    <pageSetUpPr fitToPage="1"/>
  </sheetPr>
  <dimension ref="A1:M48"/>
  <sheetViews>
    <sheetView showOutlineSymbols="0" view="pageBreakPreview" topLeftCell="A8" zoomScale="60" zoomScaleNormal="70" workbookViewId="0">
      <selection activeCell="J43" sqref="J43"/>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05.75" customHeight="1" thickBot="1" x14ac:dyDescent="0.35">
      <c r="A5" s="72" t="s">
        <v>5</v>
      </c>
      <c r="B5" s="470">
        <v>6.15</v>
      </c>
      <c r="C5" s="913" t="str">
        <f>+VLOOKUP(B5,PPTO!B8:G94,2,FALSE)</f>
        <v xml:space="preserve">Suministro, transporte e instalación de salida para luminaria de emergencia. Incluye tubería EMT 1/2", según planos, alambre de cobre THHN-AWG #12 y todos los elementos para el correcto funcionamiento. </v>
      </c>
      <c r="D5" s="914"/>
      <c r="E5" s="72" t="s">
        <v>7</v>
      </c>
      <c r="F5" s="74" t="str">
        <f>+VLOOKUP(B5,PPTO!B8:G94,3,FALSE)</f>
        <v>UN</v>
      </c>
      <c r="G5" s="915" t="s">
        <v>1120</v>
      </c>
      <c r="H5" s="915"/>
      <c r="I5" s="916">
        <f>+VLOOKUP(B5,PPTO!B8:G94,5,FALSE)</f>
        <v>196368.66368249562</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8" x14ac:dyDescent="0.3">
      <c r="A8" s="78"/>
      <c r="B8" s="79"/>
      <c r="C8" s="79"/>
      <c r="D8" s="88" t="s">
        <v>1185</v>
      </c>
      <c r="E8" s="89"/>
      <c r="F8" s="89"/>
      <c r="G8" s="89"/>
      <c r="H8" s="89"/>
      <c r="I8" s="90">
        <v>5</v>
      </c>
      <c r="J8" s="87">
        <f>+I8</f>
        <v>5</v>
      </c>
    </row>
    <row r="9" spans="1:10" ht="18" x14ac:dyDescent="0.3">
      <c r="A9" s="78"/>
      <c r="B9" s="79"/>
      <c r="C9" s="79"/>
      <c r="D9" s="94" t="s">
        <v>1186</v>
      </c>
      <c r="E9" s="89"/>
      <c r="F9" s="89"/>
      <c r="G9" s="89"/>
      <c r="H9" s="89"/>
      <c r="I9" s="93">
        <v>5</v>
      </c>
      <c r="J9" s="91">
        <f t="shared" ref="J9:J22" si="0">+I9</f>
        <v>5</v>
      </c>
    </row>
    <row r="10" spans="1:10" ht="18" x14ac:dyDescent="0.3">
      <c r="A10" s="78"/>
      <c r="B10" s="79"/>
      <c r="C10" s="79"/>
      <c r="D10" s="94" t="s">
        <v>1227</v>
      </c>
      <c r="E10" s="89"/>
      <c r="F10" s="89"/>
      <c r="G10" s="89"/>
      <c r="H10" s="89"/>
      <c r="I10" s="93">
        <v>4</v>
      </c>
      <c r="J10" s="91">
        <f t="shared" si="0"/>
        <v>4</v>
      </c>
    </row>
    <row r="11" spans="1:10" ht="18" x14ac:dyDescent="0.3">
      <c r="A11" s="78"/>
      <c r="B11" s="79"/>
      <c r="C11" s="79"/>
      <c r="D11" s="94" t="s">
        <v>1198</v>
      </c>
      <c r="E11" s="89"/>
      <c r="F11" s="89"/>
      <c r="G11" s="89"/>
      <c r="H11" s="89"/>
      <c r="I11" s="93">
        <v>1</v>
      </c>
      <c r="J11" s="91">
        <f t="shared" si="0"/>
        <v>1</v>
      </c>
    </row>
    <row r="12" spans="1:10" ht="18" x14ac:dyDescent="0.3">
      <c r="A12" s="78"/>
      <c r="B12" s="79"/>
      <c r="C12" s="79"/>
      <c r="D12" s="94" t="s">
        <v>1188</v>
      </c>
      <c r="E12" s="89"/>
      <c r="F12" s="89"/>
      <c r="G12" s="89"/>
      <c r="H12" s="89"/>
      <c r="I12" s="93">
        <v>8</v>
      </c>
      <c r="J12" s="91">
        <f t="shared" si="0"/>
        <v>8</v>
      </c>
    </row>
    <row r="13" spans="1:10" ht="18" x14ac:dyDescent="0.3">
      <c r="A13" s="78"/>
      <c r="B13" s="79"/>
      <c r="C13" s="79"/>
      <c r="D13" s="94" t="s">
        <v>1190</v>
      </c>
      <c r="E13" s="89"/>
      <c r="F13" s="89"/>
      <c r="G13" s="89"/>
      <c r="H13" s="89"/>
      <c r="I13" s="93">
        <v>2</v>
      </c>
      <c r="J13" s="91">
        <f t="shared" si="0"/>
        <v>2</v>
      </c>
    </row>
    <row r="14" spans="1:10" ht="18" x14ac:dyDescent="0.3">
      <c r="A14" s="78"/>
      <c r="B14" s="79"/>
      <c r="C14" s="79"/>
      <c r="D14" s="94" t="s">
        <v>1189</v>
      </c>
      <c r="E14" s="89"/>
      <c r="F14" s="89"/>
      <c r="G14" s="89"/>
      <c r="H14" s="89"/>
      <c r="I14" s="93">
        <v>4</v>
      </c>
      <c r="J14" s="91">
        <f t="shared" si="0"/>
        <v>4</v>
      </c>
    </row>
    <row r="15" spans="1:10" ht="18" x14ac:dyDescent="0.3">
      <c r="A15" s="78"/>
      <c r="B15" s="79"/>
      <c r="C15" s="79"/>
      <c r="D15" s="94" t="s">
        <v>1191</v>
      </c>
      <c r="E15" s="89"/>
      <c r="F15" s="89"/>
      <c r="G15" s="89"/>
      <c r="H15" s="89"/>
      <c r="I15" s="93">
        <v>1</v>
      </c>
      <c r="J15" s="91">
        <f t="shared" si="0"/>
        <v>1</v>
      </c>
    </row>
    <row r="16" spans="1:10" ht="18" x14ac:dyDescent="0.3">
      <c r="A16" s="78"/>
      <c r="B16" s="79"/>
      <c r="C16" s="79"/>
      <c r="D16" s="94" t="s">
        <v>1192</v>
      </c>
      <c r="E16" s="89"/>
      <c r="F16" s="89"/>
      <c r="G16" s="89"/>
      <c r="H16" s="89"/>
      <c r="I16" s="93">
        <v>1</v>
      </c>
      <c r="J16" s="91">
        <f t="shared" si="0"/>
        <v>1</v>
      </c>
    </row>
    <row r="17" spans="1:10" ht="18" x14ac:dyDescent="0.3">
      <c r="A17" s="78"/>
      <c r="B17" s="79"/>
      <c r="C17" s="79"/>
      <c r="D17" s="94" t="s">
        <v>1193</v>
      </c>
      <c r="E17" s="89"/>
      <c r="F17" s="89"/>
      <c r="G17" s="89"/>
      <c r="H17" s="89"/>
      <c r="I17" s="90">
        <v>1</v>
      </c>
      <c r="J17" s="91">
        <f t="shared" si="0"/>
        <v>1</v>
      </c>
    </row>
    <row r="18" spans="1:10" ht="18" x14ac:dyDescent="0.3">
      <c r="A18" s="78"/>
      <c r="B18" s="79"/>
      <c r="C18" s="79"/>
      <c r="D18" s="88"/>
      <c r="E18" s="89"/>
      <c r="F18" s="89"/>
      <c r="G18" s="89"/>
      <c r="H18" s="89"/>
      <c r="I18" s="90"/>
      <c r="J18" s="91">
        <f t="shared" si="0"/>
        <v>0</v>
      </c>
    </row>
    <row r="19" spans="1:10" ht="18" x14ac:dyDescent="0.3">
      <c r="A19" s="78"/>
      <c r="B19" s="79"/>
      <c r="C19" s="79"/>
      <c r="D19" s="94"/>
      <c r="E19" s="89"/>
      <c r="F19" s="89"/>
      <c r="G19" s="89"/>
      <c r="H19" s="89"/>
      <c r="I19" s="93"/>
      <c r="J19" s="91">
        <f t="shared" si="0"/>
        <v>0</v>
      </c>
    </row>
    <row r="20" spans="1:10" ht="18" x14ac:dyDescent="0.3">
      <c r="A20" s="78"/>
      <c r="B20" s="79"/>
      <c r="C20" s="79"/>
      <c r="D20" s="94"/>
      <c r="E20" s="89"/>
      <c r="F20" s="89"/>
      <c r="G20" s="89"/>
      <c r="H20" s="89"/>
      <c r="I20" s="93"/>
      <c r="J20" s="91">
        <f t="shared" si="0"/>
        <v>0</v>
      </c>
    </row>
    <row r="21" spans="1:10" ht="18" x14ac:dyDescent="0.3">
      <c r="A21" s="78"/>
      <c r="B21" s="79"/>
      <c r="C21" s="79"/>
      <c r="D21" s="94"/>
      <c r="E21" s="89"/>
      <c r="F21" s="89"/>
      <c r="G21" s="89"/>
      <c r="H21" s="89"/>
      <c r="I21" s="93"/>
      <c r="J21" s="91">
        <f t="shared" si="0"/>
        <v>0</v>
      </c>
    </row>
    <row r="22" spans="1:10" ht="18" x14ac:dyDescent="0.3">
      <c r="A22" s="78"/>
      <c r="B22" s="79"/>
      <c r="C22" s="79"/>
      <c r="D22" s="94"/>
      <c r="E22" s="89"/>
      <c r="F22" s="89"/>
      <c r="G22" s="89"/>
      <c r="H22" s="89"/>
      <c r="I22" s="93"/>
      <c r="J22" s="91">
        <f t="shared" si="0"/>
        <v>0</v>
      </c>
    </row>
    <row r="23" spans="1:10" ht="18" x14ac:dyDescent="0.3">
      <c r="A23" s="78"/>
      <c r="B23" s="79"/>
      <c r="C23" s="79"/>
      <c r="D23" s="94"/>
      <c r="E23" s="89"/>
      <c r="F23" s="89"/>
      <c r="G23" s="89"/>
      <c r="H23" s="89"/>
      <c r="I23" s="93"/>
      <c r="J23" s="91">
        <f t="shared" ref="J23:J42" si="1">+PRODUCT(E23:I23)</f>
        <v>0</v>
      </c>
    </row>
    <row r="24" spans="1:10" ht="18" x14ac:dyDescent="0.3">
      <c r="A24" s="78"/>
      <c r="B24" s="79"/>
      <c r="C24" s="79"/>
      <c r="D24" s="94"/>
      <c r="E24" s="89"/>
      <c r="F24" s="89"/>
      <c r="G24" s="89"/>
      <c r="H24" s="89"/>
      <c r="I24" s="93"/>
      <c r="J24" s="91">
        <f t="shared" si="1"/>
        <v>0</v>
      </c>
    </row>
    <row r="25" spans="1:10" ht="18" x14ac:dyDescent="0.3">
      <c r="A25" s="78"/>
      <c r="B25" s="79"/>
      <c r="C25" s="79"/>
      <c r="D25" s="94"/>
      <c r="E25" s="89"/>
      <c r="F25" s="89"/>
      <c r="G25" s="89"/>
      <c r="H25" s="89"/>
      <c r="I25" s="93"/>
      <c r="J25" s="91">
        <f t="shared" si="1"/>
        <v>0</v>
      </c>
    </row>
    <row r="26" spans="1:10" ht="18" x14ac:dyDescent="0.3">
      <c r="A26" s="78"/>
      <c r="B26" s="79"/>
      <c r="C26" s="79"/>
      <c r="D26" s="94"/>
      <c r="E26" s="89"/>
      <c r="F26" s="89"/>
      <c r="G26" s="89"/>
      <c r="H26" s="89"/>
      <c r="I26" s="93"/>
      <c r="J26" s="91">
        <f t="shared" si="1"/>
        <v>0</v>
      </c>
    </row>
    <row r="27" spans="1:10" ht="18" x14ac:dyDescent="0.3">
      <c r="A27" s="78"/>
      <c r="B27" s="79"/>
      <c r="C27" s="79"/>
      <c r="D27" s="94"/>
      <c r="E27" s="89"/>
      <c r="F27" s="89"/>
      <c r="G27" s="89"/>
      <c r="H27" s="89"/>
      <c r="I27" s="93"/>
      <c r="J27" s="91">
        <f t="shared" si="1"/>
        <v>0</v>
      </c>
    </row>
    <row r="28" spans="1:10" ht="18" x14ac:dyDescent="0.3">
      <c r="A28" s="78"/>
      <c r="B28" s="79"/>
      <c r="C28" s="79"/>
      <c r="D28" s="94"/>
      <c r="E28" s="89"/>
      <c r="F28" s="89"/>
      <c r="G28" s="89"/>
      <c r="H28" s="89"/>
      <c r="I28" s="93"/>
      <c r="J28" s="91">
        <f t="shared" si="1"/>
        <v>0</v>
      </c>
    </row>
    <row r="29" spans="1:10" ht="18" x14ac:dyDescent="0.3">
      <c r="A29" s="78"/>
      <c r="B29" s="79"/>
      <c r="C29" s="79"/>
      <c r="D29" s="94"/>
      <c r="E29" s="89"/>
      <c r="F29" s="89"/>
      <c r="G29" s="89"/>
      <c r="H29" s="89"/>
      <c r="I29" s="93"/>
      <c r="J29" s="91">
        <f t="shared" si="1"/>
        <v>0</v>
      </c>
    </row>
    <row r="30" spans="1:10" ht="18" x14ac:dyDescent="0.3">
      <c r="A30" s="78"/>
      <c r="B30" s="79"/>
      <c r="C30" s="79"/>
      <c r="D30" s="94"/>
      <c r="E30" s="89"/>
      <c r="F30" s="89"/>
      <c r="G30" s="89"/>
      <c r="H30" s="89"/>
      <c r="I30" s="93"/>
      <c r="J30" s="91">
        <f t="shared" si="1"/>
        <v>0</v>
      </c>
    </row>
    <row r="31" spans="1:10" ht="18" x14ac:dyDescent="0.3">
      <c r="A31" s="78"/>
      <c r="B31" s="79"/>
      <c r="C31" s="79"/>
      <c r="D31" s="94"/>
      <c r="E31" s="89"/>
      <c r="F31" s="89"/>
      <c r="G31" s="89"/>
      <c r="H31" s="89"/>
      <c r="I31" s="93"/>
      <c r="J31" s="91">
        <f t="shared" si="1"/>
        <v>0</v>
      </c>
    </row>
    <row r="32" spans="1:10" ht="18" x14ac:dyDescent="0.3">
      <c r="A32" s="78"/>
      <c r="B32" s="79"/>
      <c r="C32" s="79"/>
      <c r="D32" s="94"/>
      <c r="E32" s="89"/>
      <c r="F32" s="89"/>
      <c r="G32" s="89"/>
      <c r="H32" s="89"/>
      <c r="I32" s="93"/>
      <c r="J32" s="91">
        <f t="shared" si="1"/>
        <v>0</v>
      </c>
    </row>
    <row r="33" spans="1:13" ht="18" x14ac:dyDescent="0.3">
      <c r="A33" s="78"/>
      <c r="B33" s="79"/>
      <c r="C33" s="79"/>
      <c r="D33" s="94"/>
      <c r="E33" s="89"/>
      <c r="F33" s="89"/>
      <c r="G33" s="89"/>
      <c r="H33" s="89"/>
      <c r="I33" s="93"/>
      <c r="J33" s="91">
        <f t="shared" si="1"/>
        <v>0</v>
      </c>
    </row>
    <row r="34" spans="1:13" ht="18" x14ac:dyDescent="0.3">
      <c r="A34" s="78"/>
      <c r="B34" s="79"/>
      <c r="C34" s="79"/>
      <c r="D34" s="94"/>
      <c r="E34" s="89"/>
      <c r="F34" s="89"/>
      <c r="G34" s="89"/>
      <c r="H34" s="89"/>
      <c r="I34" s="93"/>
      <c r="J34" s="91">
        <f t="shared" si="1"/>
        <v>0</v>
      </c>
    </row>
    <row r="35" spans="1:13" ht="18" x14ac:dyDescent="0.3">
      <c r="A35" s="78"/>
      <c r="B35" s="79"/>
      <c r="C35" s="79"/>
      <c r="D35" s="94"/>
      <c r="E35" s="89"/>
      <c r="F35" s="89"/>
      <c r="G35" s="89"/>
      <c r="H35" s="89"/>
      <c r="I35" s="93"/>
      <c r="J35" s="91">
        <f t="shared" si="1"/>
        <v>0</v>
      </c>
    </row>
    <row r="36" spans="1:13" ht="18" x14ac:dyDescent="0.3">
      <c r="A36" s="78"/>
      <c r="B36" s="79"/>
      <c r="C36" s="79"/>
      <c r="D36" s="94"/>
      <c r="E36" s="89"/>
      <c r="F36" s="89"/>
      <c r="G36" s="92"/>
      <c r="H36" s="89"/>
      <c r="I36" s="93"/>
      <c r="J36" s="91"/>
    </row>
    <row r="37" spans="1:13" ht="18" x14ac:dyDescent="0.3">
      <c r="A37" s="78"/>
      <c r="B37" s="79"/>
      <c r="C37" s="79"/>
      <c r="D37" s="94"/>
      <c r="E37" s="89"/>
      <c r="F37" s="89"/>
      <c r="G37" s="92"/>
      <c r="H37" s="89"/>
      <c r="I37" s="93"/>
      <c r="J37" s="91"/>
    </row>
    <row r="38" spans="1:13" ht="18" x14ac:dyDescent="0.3">
      <c r="A38" s="78"/>
      <c r="B38" s="79"/>
      <c r="C38" s="79"/>
      <c r="D38" s="94"/>
      <c r="E38" s="89"/>
      <c r="F38" s="89"/>
      <c r="G38" s="92"/>
      <c r="H38" s="89"/>
      <c r="I38" s="93"/>
      <c r="J38" s="91"/>
    </row>
    <row r="39" spans="1:13" ht="18" x14ac:dyDescent="0.3">
      <c r="A39" s="78"/>
      <c r="B39" s="79"/>
      <c r="C39" s="79"/>
      <c r="D39" s="94"/>
      <c r="E39" s="89"/>
      <c r="F39" s="89"/>
      <c r="G39" s="92"/>
      <c r="H39" s="89"/>
      <c r="I39" s="93"/>
      <c r="J39" s="91"/>
    </row>
    <row r="40" spans="1:13" ht="18" x14ac:dyDescent="0.3">
      <c r="A40" s="78"/>
      <c r="B40" s="79"/>
      <c r="C40" s="79"/>
      <c r="D40" s="94"/>
      <c r="E40" s="89"/>
      <c r="F40" s="89"/>
      <c r="G40" s="92"/>
      <c r="H40" s="89"/>
      <c r="I40" s="93"/>
      <c r="J40" s="91"/>
    </row>
    <row r="41" spans="1:13" ht="18" x14ac:dyDescent="0.3">
      <c r="A41" s="78"/>
      <c r="B41" s="79"/>
      <c r="C41" s="79"/>
      <c r="D41" s="95"/>
      <c r="E41" s="89"/>
      <c r="F41" s="89"/>
      <c r="G41" s="92"/>
      <c r="H41" s="89"/>
      <c r="I41" s="93"/>
      <c r="J41" s="91">
        <f t="shared" si="1"/>
        <v>0</v>
      </c>
    </row>
    <row r="42" spans="1:13" ht="18.75" thickBot="1" x14ac:dyDescent="0.35">
      <c r="A42" s="78"/>
      <c r="B42" s="79"/>
      <c r="C42" s="79"/>
      <c r="D42" s="96"/>
      <c r="E42" s="97"/>
      <c r="F42" s="97"/>
      <c r="G42" s="98"/>
      <c r="H42" s="97"/>
      <c r="I42" s="99"/>
      <c r="J42" s="100">
        <f t="shared" si="1"/>
        <v>0</v>
      </c>
      <c r="M42" s="105"/>
    </row>
    <row r="43" spans="1:13" ht="21" thickBot="1" x14ac:dyDescent="0.35">
      <c r="A43" s="78"/>
      <c r="B43" s="79"/>
      <c r="C43" s="79"/>
      <c r="D43" s="933" t="s">
        <v>10</v>
      </c>
      <c r="E43" s="934"/>
      <c r="F43" s="934"/>
      <c r="G43" s="934"/>
      <c r="H43" s="934"/>
      <c r="I43" s="935"/>
      <c r="J43" s="102">
        <f>ROUND(SUM(J8:J42),2)</f>
        <v>32</v>
      </c>
    </row>
    <row r="44" spans="1:13" ht="21" thickBot="1" x14ac:dyDescent="0.35">
      <c r="A44" s="78"/>
      <c r="B44" s="79"/>
      <c r="C44" s="79"/>
      <c r="D44" s="933" t="s">
        <v>1127</v>
      </c>
      <c r="E44" s="934"/>
      <c r="F44" s="934"/>
      <c r="G44" s="934"/>
      <c r="H44" s="934"/>
      <c r="I44" s="935"/>
      <c r="J44" s="103"/>
    </row>
    <row r="45" spans="1:13" ht="21" thickBot="1" x14ac:dyDescent="0.35">
      <c r="A45" s="78"/>
      <c r="B45" s="79"/>
      <c r="C45" s="101"/>
      <c r="D45" s="933" t="s">
        <v>1128</v>
      </c>
      <c r="E45" s="934"/>
      <c r="F45" s="934"/>
      <c r="G45" s="934"/>
      <c r="H45" s="934"/>
      <c r="I45" s="935"/>
      <c r="J45" s="104">
        <f>+J43-J44</f>
        <v>32</v>
      </c>
    </row>
    <row r="46" spans="1:13" ht="21" thickBot="1" x14ac:dyDescent="0.35">
      <c r="A46" s="936" t="s">
        <v>1129</v>
      </c>
      <c r="B46" s="937"/>
      <c r="C46" s="938"/>
      <c r="D46" s="939" t="s">
        <v>1130</v>
      </c>
      <c r="E46" s="940"/>
      <c r="F46" s="940"/>
      <c r="G46" s="940"/>
      <c r="H46" s="940"/>
      <c r="I46" s="940"/>
      <c r="J46" s="941"/>
    </row>
    <row r="47" spans="1:13" ht="38.25" customHeight="1" thickBot="1" x14ac:dyDescent="0.35">
      <c r="A47" s="942" t="str">
        <f>PPTO!G3</f>
        <v>JUNIO DE 2026</v>
      </c>
      <c r="B47" s="943"/>
      <c r="C47" s="944"/>
      <c r="D47" s="921"/>
      <c r="E47" s="922"/>
      <c r="F47" s="922"/>
      <c r="G47" s="922"/>
      <c r="H47" s="922"/>
      <c r="I47" s="922"/>
      <c r="J47" s="923"/>
    </row>
    <row r="48" spans="1:13" ht="19.5" thickBot="1" x14ac:dyDescent="0.35">
      <c r="A48" s="918"/>
      <c r="B48" s="919"/>
      <c r="C48" s="920"/>
      <c r="D48" s="921" t="s">
        <v>1131</v>
      </c>
      <c r="E48" s="922"/>
      <c r="F48" s="922"/>
      <c r="G48" s="922"/>
      <c r="H48" s="922"/>
      <c r="I48" s="922"/>
      <c r="J48" s="923"/>
    </row>
  </sheetData>
  <mergeCells count="19">
    <mergeCell ref="A2:J2"/>
    <mergeCell ref="A3:J3"/>
    <mergeCell ref="A4:J4"/>
    <mergeCell ref="C5:D5"/>
    <mergeCell ref="G5:H5"/>
    <mergeCell ref="I5:J5"/>
    <mergeCell ref="A48:C48"/>
    <mergeCell ref="D48:J48"/>
    <mergeCell ref="D6:D7"/>
    <mergeCell ref="E6:G6"/>
    <mergeCell ref="I6:I7"/>
    <mergeCell ref="J6:J7"/>
    <mergeCell ref="D43:I43"/>
    <mergeCell ref="D44:I44"/>
    <mergeCell ref="D45:I45"/>
    <mergeCell ref="A46:C46"/>
    <mergeCell ref="D46:J46"/>
    <mergeCell ref="A47:C47"/>
    <mergeCell ref="D47:J47"/>
  </mergeCells>
  <conditionalFormatting sqref="J8:J42">
    <cfRule type="cellIs" dxfId="29" priority="1" operator="equal">
      <formula>0</formula>
    </cfRule>
  </conditionalFormatting>
  <pageMargins left="0.7" right="0.7" top="0.75" bottom="0.75" header="0.3" footer="0.3"/>
  <pageSetup scale="53" orientation="landscape" r:id="rId1"/>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0CEBFB-4EE4-4046-B61B-3AB70DBBC065}">
  <sheetPr>
    <tabColor rgb="FF92D050"/>
    <pageSetUpPr fitToPage="1"/>
  </sheetPr>
  <dimension ref="A1:M48"/>
  <sheetViews>
    <sheetView showOutlineSymbols="0" view="pageBreakPreview" zoomScale="60" zoomScaleNormal="70" workbookViewId="0">
      <selection activeCell="D14" sqref="D14"/>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05.75" customHeight="1" thickBot="1" x14ac:dyDescent="0.35">
      <c r="A5" s="72" t="s">
        <v>5</v>
      </c>
      <c r="B5" s="470">
        <v>6.17</v>
      </c>
      <c r="C5" s="913" t="str">
        <f>+VLOOKUP(B5,PPTO!B8:G94,2,FALSE)</f>
        <v>Suministro, transporte e instalación de puntos de conexión ethernet</v>
      </c>
      <c r="D5" s="914"/>
      <c r="E5" s="72" t="s">
        <v>7</v>
      </c>
      <c r="F5" s="74" t="str">
        <f>+VLOOKUP(B5,PPTO!B8:G94,3,FALSE)</f>
        <v>UN</v>
      </c>
      <c r="G5" s="915" t="s">
        <v>1120</v>
      </c>
      <c r="H5" s="915"/>
      <c r="I5" s="916">
        <f>+VLOOKUP(B5,PPTO!B8:G94,5,FALSE)</f>
        <v>153899.78716582895</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8" x14ac:dyDescent="0.3">
      <c r="A8" s="78"/>
      <c r="B8" s="79"/>
      <c r="C8" s="79"/>
      <c r="D8" s="88" t="s">
        <v>1185</v>
      </c>
      <c r="E8" s="89"/>
      <c r="F8" s="89"/>
      <c r="G8" s="89"/>
      <c r="H8" s="89"/>
      <c r="I8" s="90">
        <v>16</v>
      </c>
      <c r="J8" s="87">
        <f>+I8</f>
        <v>16</v>
      </c>
    </row>
    <row r="9" spans="1:10" ht="18" x14ac:dyDescent="0.3">
      <c r="A9" s="78"/>
      <c r="B9" s="79"/>
      <c r="C9" s="79"/>
      <c r="D9" s="94" t="s">
        <v>1228</v>
      </c>
      <c r="E9" s="89"/>
      <c r="F9" s="89"/>
      <c r="G9" s="89"/>
      <c r="H9" s="89"/>
      <c r="I9" s="93">
        <v>2</v>
      </c>
      <c r="J9" s="91">
        <f t="shared" ref="J9:J22" si="0">+I9</f>
        <v>2</v>
      </c>
    </row>
    <row r="10" spans="1:10" ht="18" x14ac:dyDescent="0.3">
      <c r="A10" s="78"/>
      <c r="B10" s="79"/>
      <c r="C10" s="79"/>
      <c r="D10" s="94" t="s">
        <v>1188</v>
      </c>
      <c r="E10" s="89"/>
      <c r="F10" s="89"/>
      <c r="G10" s="89"/>
      <c r="H10" s="89"/>
      <c r="I10" s="93">
        <v>2</v>
      </c>
      <c r="J10" s="91">
        <f t="shared" si="0"/>
        <v>2</v>
      </c>
    </row>
    <row r="11" spans="1:10" ht="18" x14ac:dyDescent="0.3">
      <c r="A11" s="78"/>
      <c r="B11" s="79"/>
      <c r="C11" s="79"/>
      <c r="D11" s="94" t="s">
        <v>1191</v>
      </c>
      <c r="E11" s="89"/>
      <c r="F11" s="89"/>
      <c r="G11" s="89"/>
      <c r="H11" s="89"/>
      <c r="I11" s="93">
        <v>2</v>
      </c>
      <c r="J11" s="91">
        <f t="shared" si="0"/>
        <v>2</v>
      </c>
    </row>
    <row r="12" spans="1:10" ht="18" x14ac:dyDescent="0.3">
      <c r="A12" s="78"/>
      <c r="B12" s="79"/>
      <c r="C12" s="79"/>
      <c r="D12" s="94" t="s">
        <v>1192</v>
      </c>
      <c r="E12" s="89"/>
      <c r="F12" s="89"/>
      <c r="G12" s="89"/>
      <c r="H12" s="89"/>
      <c r="I12" s="93">
        <v>1</v>
      </c>
      <c r="J12" s="91">
        <f t="shared" si="0"/>
        <v>1</v>
      </c>
    </row>
    <row r="13" spans="1:10" ht="18" x14ac:dyDescent="0.3">
      <c r="A13" s="78"/>
      <c r="B13" s="79"/>
      <c r="C13" s="79"/>
      <c r="D13" s="94" t="s">
        <v>1229</v>
      </c>
      <c r="E13" s="89"/>
      <c r="F13" s="89"/>
      <c r="G13" s="89"/>
      <c r="H13" s="89"/>
      <c r="I13" s="93"/>
      <c r="J13" s="91">
        <f t="shared" si="0"/>
        <v>0</v>
      </c>
    </row>
    <row r="14" spans="1:10" ht="18" x14ac:dyDescent="0.3">
      <c r="A14" s="78"/>
      <c r="B14" s="79"/>
      <c r="C14" s="79"/>
      <c r="D14" s="94"/>
      <c r="E14" s="89"/>
      <c r="F14" s="89"/>
      <c r="G14" s="89"/>
      <c r="H14" s="89"/>
      <c r="I14" s="93"/>
      <c r="J14" s="91">
        <f t="shared" si="0"/>
        <v>0</v>
      </c>
    </row>
    <row r="15" spans="1:10" ht="18" x14ac:dyDescent="0.3">
      <c r="A15" s="78"/>
      <c r="B15" s="79"/>
      <c r="C15" s="79"/>
      <c r="D15" s="94"/>
      <c r="E15" s="89"/>
      <c r="F15" s="89"/>
      <c r="G15" s="89"/>
      <c r="H15" s="89"/>
      <c r="I15" s="93"/>
      <c r="J15" s="91">
        <f t="shared" si="0"/>
        <v>0</v>
      </c>
    </row>
    <row r="16" spans="1:10" ht="18" x14ac:dyDescent="0.3">
      <c r="A16" s="78"/>
      <c r="B16" s="79"/>
      <c r="C16" s="79"/>
      <c r="D16" s="94"/>
      <c r="E16" s="89"/>
      <c r="F16" s="89"/>
      <c r="G16" s="89"/>
      <c r="H16" s="89"/>
      <c r="I16" s="93"/>
      <c r="J16" s="91">
        <f t="shared" si="0"/>
        <v>0</v>
      </c>
    </row>
    <row r="17" spans="1:10" ht="18" x14ac:dyDescent="0.3">
      <c r="A17" s="78"/>
      <c r="B17" s="79"/>
      <c r="C17" s="79"/>
      <c r="D17" s="94"/>
      <c r="E17" s="89"/>
      <c r="F17" s="89"/>
      <c r="G17" s="89"/>
      <c r="H17" s="89"/>
      <c r="I17" s="90"/>
      <c r="J17" s="91">
        <f t="shared" si="0"/>
        <v>0</v>
      </c>
    </row>
    <row r="18" spans="1:10" ht="18" x14ac:dyDescent="0.3">
      <c r="A18" s="78"/>
      <c r="B18" s="79"/>
      <c r="C18" s="79"/>
      <c r="D18" s="88"/>
      <c r="E18" s="89"/>
      <c r="F18" s="89"/>
      <c r="G18" s="89"/>
      <c r="H18" s="89"/>
      <c r="I18" s="90"/>
      <c r="J18" s="91">
        <f t="shared" si="0"/>
        <v>0</v>
      </c>
    </row>
    <row r="19" spans="1:10" ht="18" x14ac:dyDescent="0.3">
      <c r="A19" s="78"/>
      <c r="B19" s="79"/>
      <c r="C19" s="79"/>
      <c r="D19" s="94"/>
      <c r="E19" s="89"/>
      <c r="F19" s="89"/>
      <c r="G19" s="89"/>
      <c r="H19" s="89"/>
      <c r="I19" s="93"/>
      <c r="J19" s="91">
        <f t="shared" si="0"/>
        <v>0</v>
      </c>
    </row>
    <row r="20" spans="1:10" ht="18" x14ac:dyDescent="0.3">
      <c r="A20" s="78"/>
      <c r="B20" s="79"/>
      <c r="C20" s="79"/>
      <c r="D20" s="94"/>
      <c r="E20" s="89"/>
      <c r="F20" s="89"/>
      <c r="G20" s="89"/>
      <c r="H20" s="89"/>
      <c r="I20" s="93"/>
      <c r="J20" s="91">
        <f t="shared" si="0"/>
        <v>0</v>
      </c>
    </row>
    <row r="21" spans="1:10" ht="18" x14ac:dyDescent="0.3">
      <c r="A21" s="78"/>
      <c r="B21" s="79"/>
      <c r="C21" s="79"/>
      <c r="D21" s="94"/>
      <c r="E21" s="89"/>
      <c r="F21" s="89"/>
      <c r="G21" s="89"/>
      <c r="H21" s="89"/>
      <c r="I21" s="93"/>
      <c r="J21" s="91">
        <f t="shared" si="0"/>
        <v>0</v>
      </c>
    </row>
    <row r="22" spans="1:10" ht="18" x14ac:dyDescent="0.3">
      <c r="A22" s="78"/>
      <c r="B22" s="79"/>
      <c r="C22" s="79"/>
      <c r="D22" s="94"/>
      <c r="E22" s="89"/>
      <c r="F22" s="89"/>
      <c r="G22" s="89"/>
      <c r="H22" s="89"/>
      <c r="I22" s="93"/>
      <c r="J22" s="91">
        <f t="shared" si="0"/>
        <v>0</v>
      </c>
    </row>
    <row r="23" spans="1:10" ht="18" x14ac:dyDescent="0.3">
      <c r="A23" s="78"/>
      <c r="B23" s="79"/>
      <c r="C23" s="79"/>
      <c r="D23" s="94"/>
      <c r="E23" s="89"/>
      <c r="F23" s="89"/>
      <c r="G23" s="89"/>
      <c r="H23" s="89"/>
      <c r="I23" s="93"/>
      <c r="J23" s="91">
        <f t="shared" ref="J23:J42" si="1">+PRODUCT(E23:I23)</f>
        <v>0</v>
      </c>
    </row>
    <row r="24" spans="1:10" ht="18" x14ac:dyDescent="0.3">
      <c r="A24" s="78"/>
      <c r="B24" s="79"/>
      <c r="C24" s="79"/>
      <c r="D24" s="94"/>
      <c r="E24" s="89"/>
      <c r="F24" s="89"/>
      <c r="G24" s="89"/>
      <c r="H24" s="89"/>
      <c r="I24" s="93"/>
      <c r="J24" s="91">
        <f t="shared" si="1"/>
        <v>0</v>
      </c>
    </row>
    <row r="25" spans="1:10" ht="18" x14ac:dyDescent="0.3">
      <c r="A25" s="78"/>
      <c r="B25" s="79"/>
      <c r="C25" s="79"/>
      <c r="D25" s="94"/>
      <c r="E25" s="89"/>
      <c r="F25" s="89"/>
      <c r="G25" s="89"/>
      <c r="H25" s="89"/>
      <c r="I25" s="93"/>
      <c r="J25" s="91">
        <f t="shared" si="1"/>
        <v>0</v>
      </c>
    </row>
    <row r="26" spans="1:10" ht="18" x14ac:dyDescent="0.3">
      <c r="A26" s="78"/>
      <c r="B26" s="79"/>
      <c r="C26" s="79"/>
      <c r="D26" s="94"/>
      <c r="E26" s="89"/>
      <c r="F26" s="89"/>
      <c r="G26" s="89"/>
      <c r="H26" s="89"/>
      <c r="I26" s="93"/>
      <c r="J26" s="91">
        <f t="shared" si="1"/>
        <v>0</v>
      </c>
    </row>
    <row r="27" spans="1:10" ht="18" x14ac:dyDescent="0.3">
      <c r="A27" s="78"/>
      <c r="B27" s="79"/>
      <c r="C27" s="79"/>
      <c r="D27" s="94"/>
      <c r="E27" s="89"/>
      <c r="F27" s="89"/>
      <c r="G27" s="89"/>
      <c r="H27" s="89"/>
      <c r="I27" s="93"/>
      <c r="J27" s="91">
        <f t="shared" si="1"/>
        <v>0</v>
      </c>
    </row>
    <row r="28" spans="1:10" ht="18" x14ac:dyDescent="0.3">
      <c r="A28" s="78"/>
      <c r="B28" s="79"/>
      <c r="C28" s="79"/>
      <c r="D28" s="94"/>
      <c r="E28" s="89"/>
      <c r="F28" s="89"/>
      <c r="G28" s="89"/>
      <c r="H28" s="89"/>
      <c r="I28" s="93"/>
      <c r="J28" s="91">
        <f t="shared" si="1"/>
        <v>0</v>
      </c>
    </row>
    <row r="29" spans="1:10" ht="18" x14ac:dyDescent="0.3">
      <c r="A29" s="78"/>
      <c r="B29" s="79"/>
      <c r="C29" s="79"/>
      <c r="D29" s="94"/>
      <c r="E29" s="89"/>
      <c r="F29" s="89"/>
      <c r="G29" s="89"/>
      <c r="H29" s="89"/>
      <c r="I29" s="93"/>
      <c r="J29" s="91">
        <f t="shared" si="1"/>
        <v>0</v>
      </c>
    </row>
    <row r="30" spans="1:10" ht="18" x14ac:dyDescent="0.3">
      <c r="A30" s="78"/>
      <c r="B30" s="79"/>
      <c r="C30" s="79"/>
      <c r="D30" s="94"/>
      <c r="E30" s="89"/>
      <c r="F30" s="89"/>
      <c r="G30" s="89"/>
      <c r="H30" s="89"/>
      <c r="I30" s="93"/>
      <c r="J30" s="91">
        <f t="shared" si="1"/>
        <v>0</v>
      </c>
    </row>
    <row r="31" spans="1:10" ht="18" x14ac:dyDescent="0.3">
      <c r="A31" s="78"/>
      <c r="B31" s="79"/>
      <c r="C31" s="79"/>
      <c r="D31" s="94"/>
      <c r="E31" s="89"/>
      <c r="F31" s="89"/>
      <c r="G31" s="89"/>
      <c r="H31" s="89"/>
      <c r="I31" s="93"/>
      <c r="J31" s="91">
        <f t="shared" si="1"/>
        <v>0</v>
      </c>
    </row>
    <row r="32" spans="1:10" ht="18" x14ac:dyDescent="0.3">
      <c r="A32" s="78"/>
      <c r="B32" s="79"/>
      <c r="C32" s="79"/>
      <c r="D32" s="94"/>
      <c r="E32" s="89"/>
      <c r="F32" s="89"/>
      <c r="G32" s="89"/>
      <c r="H32" s="89"/>
      <c r="I32" s="93"/>
      <c r="J32" s="91">
        <f t="shared" si="1"/>
        <v>0</v>
      </c>
    </row>
    <row r="33" spans="1:13" ht="18" x14ac:dyDescent="0.3">
      <c r="A33" s="78"/>
      <c r="B33" s="79"/>
      <c r="C33" s="79"/>
      <c r="D33" s="94"/>
      <c r="E33" s="89"/>
      <c r="F33" s="89"/>
      <c r="G33" s="89"/>
      <c r="H33" s="89"/>
      <c r="I33" s="93"/>
      <c r="J33" s="91">
        <f t="shared" si="1"/>
        <v>0</v>
      </c>
    </row>
    <row r="34" spans="1:13" ht="18" x14ac:dyDescent="0.3">
      <c r="A34" s="78"/>
      <c r="B34" s="79"/>
      <c r="C34" s="79"/>
      <c r="D34" s="94"/>
      <c r="E34" s="89"/>
      <c r="F34" s="89"/>
      <c r="G34" s="89"/>
      <c r="H34" s="89"/>
      <c r="I34" s="93"/>
      <c r="J34" s="91">
        <f t="shared" si="1"/>
        <v>0</v>
      </c>
    </row>
    <row r="35" spans="1:13" ht="18" x14ac:dyDescent="0.3">
      <c r="A35" s="78"/>
      <c r="B35" s="79"/>
      <c r="C35" s="79"/>
      <c r="D35" s="94"/>
      <c r="E35" s="89"/>
      <c r="F35" s="89"/>
      <c r="G35" s="89"/>
      <c r="H35" s="89"/>
      <c r="I35" s="93"/>
      <c r="J35" s="91">
        <f t="shared" si="1"/>
        <v>0</v>
      </c>
    </row>
    <row r="36" spans="1:13" ht="18" x14ac:dyDescent="0.3">
      <c r="A36" s="78"/>
      <c r="B36" s="79"/>
      <c r="C36" s="79"/>
      <c r="D36" s="94"/>
      <c r="E36" s="89"/>
      <c r="F36" s="89"/>
      <c r="G36" s="92"/>
      <c r="H36" s="89"/>
      <c r="I36" s="93"/>
      <c r="J36" s="91"/>
    </row>
    <row r="37" spans="1:13" ht="18" x14ac:dyDescent="0.3">
      <c r="A37" s="78"/>
      <c r="B37" s="79"/>
      <c r="C37" s="79"/>
      <c r="D37" s="94"/>
      <c r="E37" s="89"/>
      <c r="F37" s="89"/>
      <c r="G37" s="92"/>
      <c r="H37" s="89"/>
      <c r="I37" s="93"/>
      <c r="J37" s="91"/>
    </row>
    <row r="38" spans="1:13" ht="18" x14ac:dyDescent="0.3">
      <c r="A38" s="78"/>
      <c r="B38" s="79"/>
      <c r="C38" s="79"/>
      <c r="D38" s="94"/>
      <c r="E38" s="89"/>
      <c r="F38" s="89"/>
      <c r="G38" s="92"/>
      <c r="H38" s="89"/>
      <c r="I38" s="93"/>
      <c r="J38" s="91"/>
    </row>
    <row r="39" spans="1:13" ht="18" x14ac:dyDescent="0.3">
      <c r="A39" s="78"/>
      <c r="B39" s="79"/>
      <c r="C39" s="79"/>
      <c r="D39" s="94"/>
      <c r="E39" s="89"/>
      <c r="F39" s="89"/>
      <c r="G39" s="92"/>
      <c r="H39" s="89"/>
      <c r="I39" s="93"/>
      <c r="J39" s="91"/>
    </row>
    <row r="40" spans="1:13" ht="18" x14ac:dyDescent="0.3">
      <c r="A40" s="78"/>
      <c r="B40" s="79"/>
      <c r="C40" s="79"/>
      <c r="D40" s="94"/>
      <c r="E40" s="89"/>
      <c r="F40" s="89"/>
      <c r="G40" s="92"/>
      <c r="H40" s="89"/>
      <c r="I40" s="93"/>
      <c r="J40" s="91"/>
    </row>
    <row r="41" spans="1:13" ht="18" x14ac:dyDescent="0.3">
      <c r="A41" s="78"/>
      <c r="B41" s="79"/>
      <c r="C41" s="79"/>
      <c r="D41" s="95"/>
      <c r="E41" s="89"/>
      <c r="F41" s="89"/>
      <c r="G41" s="92"/>
      <c r="H41" s="89"/>
      <c r="I41" s="93"/>
      <c r="J41" s="91">
        <f t="shared" si="1"/>
        <v>0</v>
      </c>
    </row>
    <row r="42" spans="1:13" ht="18.75" thickBot="1" x14ac:dyDescent="0.35">
      <c r="A42" s="78"/>
      <c r="B42" s="79"/>
      <c r="C42" s="79"/>
      <c r="D42" s="96"/>
      <c r="E42" s="97"/>
      <c r="F42" s="97"/>
      <c r="G42" s="98"/>
      <c r="H42" s="97"/>
      <c r="I42" s="99"/>
      <c r="J42" s="100">
        <f t="shared" si="1"/>
        <v>0</v>
      </c>
      <c r="M42" s="105"/>
    </row>
    <row r="43" spans="1:13" ht="21" thickBot="1" x14ac:dyDescent="0.35">
      <c r="A43" s="78"/>
      <c r="B43" s="79"/>
      <c r="C43" s="79"/>
      <c r="D43" s="933" t="s">
        <v>10</v>
      </c>
      <c r="E43" s="934"/>
      <c r="F43" s="934"/>
      <c r="G43" s="934"/>
      <c r="H43" s="934"/>
      <c r="I43" s="935"/>
      <c r="J43" s="102">
        <f>ROUND(SUM(J8:J42),2)</f>
        <v>23</v>
      </c>
    </row>
    <row r="44" spans="1:13" ht="21" thickBot="1" x14ac:dyDescent="0.35">
      <c r="A44" s="78"/>
      <c r="B44" s="79"/>
      <c r="C44" s="79"/>
      <c r="D44" s="933" t="s">
        <v>1127</v>
      </c>
      <c r="E44" s="934"/>
      <c r="F44" s="934"/>
      <c r="G44" s="934"/>
      <c r="H44" s="934"/>
      <c r="I44" s="935"/>
      <c r="J44" s="103"/>
    </row>
    <row r="45" spans="1:13" ht="21" thickBot="1" x14ac:dyDescent="0.35">
      <c r="A45" s="78"/>
      <c r="B45" s="79"/>
      <c r="C45" s="101"/>
      <c r="D45" s="933" t="s">
        <v>1128</v>
      </c>
      <c r="E45" s="934"/>
      <c r="F45" s="934"/>
      <c r="G45" s="934"/>
      <c r="H45" s="934"/>
      <c r="I45" s="935"/>
      <c r="J45" s="104">
        <f>+J43-J44</f>
        <v>23</v>
      </c>
    </row>
    <row r="46" spans="1:13" ht="21" thickBot="1" x14ac:dyDescent="0.35">
      <c r="A46" s="936" t="s">
        <v>1129</v>
      </c>
      <c r="B46" s="937"/>
      <c r="C46" s="938"/>
      <c r="D46" s="939" t="s">
        <v>1130</v>
      </c>
      <c r="E46" s="940"/>
      <c r="F46" s="940"/>
      <c r="G46" s="940"/>
      <c r="H46" s="940"/>
      <c r="I46" s="940"/>
      <c r="J46" s="941"/>
    </row>
    <row r="47" spans="1:13" ht="38.25" customHeight="1" thickBot="1" x14ac:dyDescent="0.35">
      <c r="A47" s="942" t="str">
        <f>PPTO!G3</f>
        <v>JUNIO DE 2026</v>
      </c>
      <c r="B47" s="943"/>
      <c r="C47" s="944"/>
      <c r="D47" s="921"/>
      <c r="E47" s="922"/>
      <c r="F47" s="922"/>
      <c r="G47" s="922"/>
      <c r="H47" s="922"/>
      <c r="I47" s="922"/>
      <c r="J47" s="923"/>
    </row>
    <row r="48" spans="1:13" ht="19.5" thickBot="1" x14ac:dyDescent="0.35">
      <c r="A48" s="918"/>
      <c r="B48" s="919"/>
      <c r="C48" s="920"/>
      <c r="D48" s="921" t="s">
        <v>1131</v>
      </c>
      <c r="E48" s="922"/>
      <c r="F48" s="922"/>
      <c r="G48" s="922"/>
      <c r="H48" s="922"/>
      <c r="I48" s="922"/>
      <c r="J48" s="923"/>
    </row>
  </sheetData>
  <mergeCells count="19">
    <mergeCell ref="A2:J2"/>
    <mergeCell ref="A3:J3"/>
    <mergeCell ref="A4:J4"/>
    <mergeCell ref="C5:D5"/>
    <mergeCell ref="G5:H5"/>
    <mergeCell ref="I5:J5"/>
    <mergeCell ref="A48:C48"/>
    <mergeCell ref="D48:J48"/>
    <mergeCell ref="D6:D7"/>
    <mergeCell ref="E6:G6"/>
    <mergeCell ref="I6:I7"/>
    <mergeCell ref="J6:J7"/>
    <mergeCell ref="D43:I43"/>
    <mergeCell ref="D44:I44"/>
    <mergeCell ref="D45:I45"/>
    <mergeCell ref="A46:C46"/>
    <mergeCell ref="D46:J46"/>
    <mergeCell ref="A47:C47"/>
    <mergeCell ref="D47:J47"/>
  </mergeCells>
  <conditionalFormatting sqref="J8:J42">
    <cfRule type="cellIs" dxfId="28" priority="1" operator="equal">
      <formula>0</formula>
    </cfRule>
  </conditionalFormatting>
  <pageMargins left="0.7" right="0.7" top="0.75" bottom="0.75" header="0.3" footer="0.3"/>
  <pageSetup scale="53" orientation="landscape" r:id="rId1"/>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515A88-4E80-4C90-A7DE-45502DDADD0A}">
  <sheetPr>
    <tabColor rgb="FFD4ECBA"/>
    <pageSetUpPr fitToPage="1"/>
  </sheetPr>
  <dimension ref="A1:M52"/>
  <sheetViews>
    <sheetView showOutlineSymbols="0" view="pageBreakPreview" topLeftCell="A2" zoomScale="60" zoomScaleNormal="70" workbookViewId="0">
      <selection activeCell="I10" sqref="I10"/>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05.75" customHeight="1" thickBot="1" x14ac:dyDescent="0.35">
      <c r="A5" s="72" t="s">
        <v>5</v>
      </c>
      <c r="B5" s="73">
        <v>7.1</v>
      </c>
      <c r="C5" s="913" t="str">
        <f>+VLOOKUP(B5,PPTO!B8:G94,2,FALSE)</f>
        <v>SUMINISTRO, TRANSPORTE  E INSTALACION DE  Salidas abastos 1/2"  PVC presión, incluye 1m de tubería contempladas por salidas, accesorios y toda actividad adicional para su correcta instalación.</v>
      </c>
      <c r="D5" s="914"/>
      <c r="E5" s="72" t="s">
        <v>7</v>
      </c>
      <c r="F5" s="74" t="str">
        <f>+VLOOKUP(B5,PPTO!B8:G94,3,FALSE)</f>
        <v>UN</v>
      </c>
      <c r="G5" s="915" t="s">
        <v>1120</v>
      </c>
      <c r="H5" s="915"/>
      <c r="I5" s="916">
        <f>+VLOOKUP(B5,PPTO!B8:G94,5,FALSE)</f>
        <v>57880.393582914476</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8" x14ac:dyDescent="0.3">
      <c r="A8" s="78"/>
      <c r="B8" s="79"/>
      <c r="C8" s="79"/>
      <c r="D8" s="94" t="s">
        <v>1230</v>
      </c>
      <c r="E8" s="89"/>
      <c r="F8" s="89"/>
      <c r="G8" s="89"/>
      <c r="H8" s="89"/>
      <c r="I8" s="90">
        <v>3</v>
      </c>
      <c r="J8" s="87">
        <f>+I8</f>
        <v>3</v>
      </c>
    </row>
    <row r="9" spans="1:10" ht="18" x14ac:dyDescent="0.3">
      <c r="A9" s="78"/>
      <c r="B9" s="79"/>
      <c r="C9" s="79"/>
      <c r="D9" s="94" t="s">
        <v>1206</v>
      </c>
      <c r="E9" s="89"/>
      <c r="F9" s="89"/>
      <c r="G9" s="89"/>
      <c r="H9" s="89"/>
      <c r="I9" s="93">
        <v>21</v>
      </c>
      <c r="J9" s="91">
        <f>+I9</f>
        <v>21</v>
      </c>
    </row>
    <row r="10" spans="1:10" ht="18" x14ac:dyDescent="0.3">
      <c r="A10" s="78"/>
      <c r="B10" s="79"/>
      <c r="C10" s="79"/>
      <c r="D10" s="94" t="s">
        <v>1207</v>
      </c>
      <c r="E10" s="89"/>
      <c r="F10" s="89"/>
      <c r="G10" s="89"/>
      <c r="H10" s="89"/>
      <c r="I10" s="93">
        <v>5</v>
      </c>
      <c r="J10" s="91">
        <f t="shared" ref="J10:J46" si="0">+PRODUCT(E10:I10)</f>
        <v>5</v>
      </c>
    </row>
    <row r="11" spans="1:10" ht="18" x14ac:dyDescent="0.3">
      <c r="A11" s="78"/>
      <c r="B11" s="79"/>
      <c r="C11" s="79"/>
      <c r="D11" s="94" t="s">
        <v>1213</v>
      </c>
      <c r="E11" s="89"/>
      <c r="F11" s="89"/>
      <c r="G11" s="89"/>
      <c r="H11" s="89"/>
      <c r="I11" s="93">
        <v>3</v>
      </c>
      <c r="J11" s="91">
        <f t="shared" si="0"/>
        <v>3</v>
      </c>
    </row>
    <row r="12" spans="1:10" ht="18" x14ac:dyDescent="0.3">
      <c r="A12" s="78"/>
      <c r="B12" s="79"/>
      <c r="C12" s="79"/>
      <c r="D12" s="94" t="s">
        <v>1231</v>
      </c>
      <c r="E12" s="89"/>
      <c r="F12" s="89"/>
      <c r="G12" s="89"/>
      <c r="H12" s="89"/>
      <c r="I12" s="93">
        <v>4</v>
      </c>
      <c r="J12" s="91">
        <f t="shared" si="0"/>
        <v>4</v>
      </c>
    </row>
    <row r="13" spans="1:10" ht="18" x14ac:dyDescent="0.3">
      <c r="A13" s="78"/>
      <c r="B13" s="79"/>
      <c r="C13" s="79"/>
      <c r="D13" s="94"/>
      <c r="E13" s="89"/>
      <c r="F13" s="89"/>
      <c r="G13" s="89"/>
      <c r="H13" s="89"/>
      <c r="I13" s="93"/>
      <c r="J13" s="91">
        <f t="shared" si="0"/>
        <v>0</v>
      </c>
    </row>
    <row r="14" spans="1:10" ht="18" x14ac:dyDescent="0.3">
      <c r="A14" s="78"/>
      <c r="B14" s="79"/>
      <c r="C14" s="79"/>
      <c r="D14" s="94"/>
      <c r="E14" s="89"/>
      <c r="F14" s="89"/>
      <c r="G14" s="89"/>
      <c r="H14" s="89"/>
      <c r="I14" s="93"/>
      <c r="J14" s="91">
        <f t="shared" si="0"/>
        <v>0</v>
      </c>
    </row>
    <row r="15" spans="1:10" ht="18" x14ac:dyDescent="0.3">
      <c r="A15" s="78"/>
      <c r="B15" s="79"/>
      <c r="C15" s="79"/>
      <c r="D15" s="94"/>
      <c r="E15" s="89"/>
      <c r="F15" s="89"/>
      <c r="G15" s="89"/>
      <c r="H15" s="89"/>
      <c r="I15" s="93"/>
      <c r="J15" s="91">
        <f t="shared" si="0"/>
        <v>0</v>
      </c>
    </row>
    <row r="16" spans="1:10" ht="18" x14ac:dyDescent="0.3">
      <c r="A16" s="78"/>
      <c r="B16" s="79"/>
      <c r="C16" s="79"/>
      <c r="D16" s="94"/>
      <c r="E16" s="89"/>
      <c r="F16" s="89"/>
      <c r="G16" s="89"/>
      <c r="H16" s="89"/>
      <c r="I16" s="93"/>
      <c r="J16" s="91">
        <f t="shared" si="0"/>
        <v>0</v>
      </c>
    </row>
    <row r="17" spans="1:10" ht="18" x14ac:dyDescent="0.3">
      <c r="A17" s="78"/>
      <c r="B17" s="79"/>
      <c r="C17" s="79"/>
      <c r="D17" s="94"/>
      <c r="E17" s="89"/>
      <c r="F17" s="89"/>
      <c r="G17" s="89"/>
      <c r="H17" s="89"/>
      <c r="I17" s="93"/>
      <c r="J17" s="91">
        <f t="shared" si="0"/>
        <v>0</v>
      </c>
    </row>
    <row r="18" spans="1:10" ht="18" x14ac:dyDescent="0.3">
      <c r="A18" s="78"/>
      <c r="B18" s="79"/>
      <c r="C18" s="79"/>
      <c r="D18" s="94"/>
      <c r="E18" s="89"/>
      <c r="F18" s="89"/>
      <c r="G18" s="89"/>
      <c r="H18" s="89"/>
      <c r="I18" s="93"/>
      <c r="J18" s="91">
        <f t="shared" si="0"/>
        <v>0</v>
      </c>
    </row>
    <row r="19" spans="1:10" ht="18" x14ac:dyDescent="0.3">
      <c r="A19" s="78"/>
      <c r="B19" s="79"/>
      <c r="C19" s="79"/>
      <c r="D19" s="95"/>
      <c r="E19" s="89"/>
      <c r="F19" s="89"/>
      <c r="G19" s="89"/>
      <c r="H19" s="89"/>
      <c r="I19" s="93"/>
      <c r="J19" s="91">
        <f t="shared" si="0"/>
        <v>0</v>
      </c>
    </row>
    <row r="20" spans="1:10" ht="18" x14ac:dyDescent="0.3">
      <c r="A20" s="78"/>
      <c r="B20" s="79"/>
      <c r="C20" s="79"/>
      <c r="D20" s="88"/>
      <c r="E20" s="89"/>
      <c r="F20" s="89"/>
      <c r="G20" s="89"/>
      <c r="H20" s="89"/>
      <c r="I20" s="90"/>
      <c r="J20" s="91">
        <f t="shared" si="0"/>
        <v>0</v>
      </c>
    </row>
    <row r="21" spans="1:10" ht="18" x14ac:dyDescent="0.3">
      <c r="A21" s="78"/>
      <c r="B21" s="79"/>
      <c r="C21" s="79"/>
      <c r="D21" s="88"/>
      <c r="E21" s="89"/>
      <c r="F21" s="89"/>
      <c r="G21" s="89"/>
      <c r="H21" s="89"/>
      <c r="I21" s="90"/>
      <c r="J21" s="91">
        <f t="shared" si="0"/>
        <v>0</v>
      </c>
    </row>
    <row r="22" spans="1:10" ht="18" x14ac:dyDescent="0.3">
      <c r="A22" s="78"/>
      <c r="B22" s="79"/>
      <c r="C22" s="79"/>
      <c r="D22" s="88"/>
      <c r="E22" s="89"/>
      <c r="F22" s="89"/>
      <c r="G22" s="89"/>
      <c r="H22" s="89"/>
      <c r="I22" s="90"/>
      <c r="J22" s="91">
        <f t="shared" si="0"/>
        <v>0</v>
      </c>
    </row>
    <row r="23" spans="1:10" ht="18" x14ac:dyDescent="0.3">
      <c r="A23" s="78"/>
      <c r="B23" s="79"/>
      <c r="C23" s="79"/>
      <c r="D23" s="94"/>
      <c r="E23" s="89"/>
      <c r="F23" s="89"/>
      <c r="G23" s="89"/>
      <c r="H23" s="89"/>
      <c r="I23" s="93"/>
      <c r="J23" s="91">
        <f t="shared" si="0"/>
        <v>0</v>
      </c>
    </row>
    <row r="24" spans="1:10" ht="18" x14ac:dyDescent="0.3">
      <c r="A24" s="78"/>
      <c r="B24" s="79"/>
      <c r="C24" s="79"/>
      <c r="D24" s="94"/>
      <c r="E24" s="89"/>
      <c r="F24" s="89"/>
      <c r="G24" s="89"/>
      <c r="H24" s="89"/>
      <c r="I24" s="93"/>
      <c r="J24" s="91">
        <f t="shared" si="0"/>
        <v>0</v>
      </c>
    </row>
    <row r="25" spans="1:10" ht="18" x14ac:dyDescent="0.3">
      <c r="A25" s="78"/>
      <c r="B25" s="79"/>
      <c r="C25" s="79"/>
      <c r="D25" s="94"/>
      <c r="E25" s="89"/>
      <c r="F25" s="89"/>
      <c r="G25" s="89"/>
      <c r="H25" s="89"/>
      <c r="I25" s="93"/>
      <c r="J25" s="91">
        <f t="shared" si="0"/>
        <v>0</v>
      </c>
    </row>
    <row r="26" spans="1:10" ht="18" x14ac:dyDescent="0.3">
      <c r="A26" s="78"/>
      <c r="B26" s="79"/>
      <c r="C26" s="79"/>
      <c r="D26" s="94"/>
      <c r="E26" s="89"/>
      <c r="F26" s="89"/>
      <c r="G26" s="89"/>
      <c r="H26" s="89"/>
      <c r="I26" s="93"/>
      <c r="J26" s="91">
        <f t="shared" si="0"/>
        <v>0</v>
      </c>
    </row>
    <row r="27" spans="1:10" ht="18" x14ac:dyDescent="0.3">
      <c r="A27" s="78"/>
      <c r="B27" s="79"/>
      <c r="C27" s="79"/>
      <c r="D27" s="94"/>
      <c r="E27" s="89"/>
      <c r="F27" s="89"/>
      <c r="G27" s="89"/>
      <c r="H27" s="89"/>
      <c r="I27" s="93"/>
      <c r="J27" s="91">
        <f t="shared" si="0"/>
        <v>0</v>
      </c>
    </row>
    <row r="28" spans="1:10" ht="18" x14ac:dyDescent="0.3">
      <c r="A28" s="78"/>
      <c r="B28" s="79"/>
      <c r="C28" s="79"/>
      <c r="D28" s="94"/>
      <c r="E28" s="89"/>
      <c r="F28" s="89"/>
      <c r="G28" s="89"/>
      <c r="H28" s="89"/>
      <c r="I28" s="93"/>
      <c r="J28" s="91">
        <f t="shared" si="0"/>
        <v>0</v>
      </c>
    </row>
    <row r="29" spans="1:10" ht="18" x14ac:dyDescent="0.3">
      <c r="A29" s="78"/>
      <c r="B29" s="79"/>
      <c r="C29" s="79"/>
      <c r="D29" s="94"/>
      <c r="E29" s="89"/>
      <c r="F29" s="89"/>
      <c r="G29" s="89"/>
      <c r="H29" s="89"/>
      <c r="I29" s="93"/>
      <c r="J29" s="91">
        <f t="shared" si="0"/>
        <v>0</v>
      </c>
    </row>
    <row r="30" spans="1:10" ht="18" x14ac:dyDescent="0.3">
      <c r="A30" s="78"/>
      <c r="B30" s="79"/>
      <c r="C30" s="79"/>
      <c r="D30" s="94"/>
      <c r="E30" s="89"/>
      <c r="F30" s="89"/>
      <c r="G30" s="89"/>
      <c r="H30" s="89"/>
      <c r="I30" s="93"/>
      <c r="J30" s="91">
        <f t="shared" si="0"/>
        <v>0</v>
      </c>
    </row>
    <row r="31" spans="1:10" ht="18" x14ac:dyDescent="0.3">
      <c r="A31" s="78"/>
      <c r="B31" s="79"/>
      <c r="C31" s="79"/>
      <c r="D31" s="94"/>
      <c r="E31" s="89"/>
      <c r="F31" s="89"/>
      <c r="G31" s="89"/>
      <c r="H31" s="89"/>
      <c r="I31" s="93"/>
      <c r="J31" s="91">
        <f t="shared" si="0"/>
        <v>0</v>
      </c>
    </row>
    <row r="32" spans="1:10" ht="18" x14ac:dyDescent="0.3">
      <c r="A32" s="78"/>
      <c r="B32" s="79"/>
      <c r="C32" s="79"/>
      <c r="D32" s="94"/>
      <c r="E32" s="89"/>
      <c r="F32" s="89"/>
      <c r="G32" s="89"/>
      <c r="H32" s="89"/>
      <c r="I32" s="93"/>
      <c r="J32" s="91">
        <f t="shared" si="0"/>
        <v>0</v>
      </c>
    </row>
    <row r="33" spans="1:13" ht="18" x14ac:dyDescent="0.3">
      <c r="A33" s="78"/>
      <c r="B33" s="79"/>
      <c r="C33" s="79"/>
      <c r="D33" s="94"/>
      <c r="E33" s="89"/>
      <c r="F33" s="89"/>
      <c r="G33" s="89"/>
      <c r="H33" s="89"/>
      <c r="I33" s="93"/>
      <c r="J33" s="91">
        <f t="shared" si="0"/>
        <v>0</v>
      </c>
    </row>
    <row r="34" spans="1:13" ht="18" x14ac:dyDescent="0.3">
      <c r="A34" s="78"/>
      <c r="B34" s="79"/>
      <c r="C34" s="79"/>
      <c r="D34" s="94"/>
      <c r="E34" s="89"/>
      <c r="F34" s="89"/>
      <c r="G34" s="89"/>
      <c r="H34" s="89"/>
      <c r="I34" s="93"/>
      <c r="J34" s="91">
        <f t="shared" si="0"/>
        <v>0</v>
      </c>
    </row>
    <row r="35" spans="1:13" ht="18" x14ac:dyDescent="0.3">
      <c r="A35" s="78"/>
      <c r="B35" s="79"/>
      <c r="C35" s="79"/>
      <c r="D35" s="94"/>
      <c r="E35" s="89"/>
      <c r="F35" s="89"/>
      <c r="G35" s="89"/>
      <c r="H35" s="89"/>
      <c r="I35" s="93"/>
      <c r="J35" s="91">
        <f t="shared" si="0"/>
        <v>0</v>
      </c>
    </row>
    <row r="36" spans="1:13" ht="18" x14ac:dyDescent="0.3">
      <c r="A36" s="78"/>
      <c r="B36" s="79"/>
      <c r="C36" s="79"/>
      <c r="D36" s="94"/>
      <c r="E36" s="89"/>
      <c r="F36" s="89"/>
      <c r="G36" s="89"/>
      <c r="H36" s="89"/>
      <c r="I36" s="93"/>
      <c r="J36" s="91">
        <f t="shared" si="0"/>
        <v>0</v>
      </c>
    </row>
    <row r="37" spans="1:13" ht="18" x14ac:dyDescent="0.3">
      <c r="A37" s="78"/>
      <c r="B37" s="79"/>
      <c r="C37" s="79"/>
      <c r="D37" s="94"/>
      <c r="E37" s="89"/>
      <c r="F37" s="89"/>
      <c r="G37" s="89"/>
      <c r="H37" s="89"/>
      <c r="I37" s="93"/>
      <c r="J37" s="91">
        <f t="shared" si="0"/>
        <v>0</v>
      </c>
    </row>
    <row r="38" spans="1:13" ht="18" x14ac:dyDescent="0.3">
      <c r="A38" s="78"/>
      <c r="B38" s="79"/>
      <c r="C38" s="79"/>
      <c r="D38" s="94"/>
      <c r="E38" s="89"/>
      <c r="F38" s="89"/>
      <c r="G38" s="89"/>
      <c r="H38" s="89"/>
      <c r="I38" s="93"/>
      <c r="J38" s="91">
        <f t="shared" si="0"/>
        <v>0</v>
      </c>
    </row>
    <row r="39" spans="1:13" ht="18" x14ac:dyDescent="0.3">
      <c r="A39" s="78"/>
      <c r="B39" s="79"/>
      <c r="C39" s="79"/>
      <c r="D39" s="94"/>
      <c r="E39" s="89"/>
      <c r="F39" s="89"/>
      <c r="G39" s="89"/>
      <c r="H39" s="89"/>
      <c r="I39" s="93"/>
      <c r="J39" s="91">
        <f t="shared" si="0"/>
        <v>0</v>
      </c>
    </row>
    <row r="40" spans="1:13" ht="18" x14ac:dyDescent="0.3">
      <c r="A40" s="78"/>
      <c r="B40" s="79"/>
      <c r="C40" s="79"/>
      <c r="D40" s="94"/>
      <c r="E40" s="89"/>
      <c r="F40" s="89"/>
      <c r="G40" s="92"/>
      <c r="H40" s="89"/>
      <c r="I40" s="93"/>
      <c r="J40" s="91"/>
    </row>
    <row r="41" spans="1:13" ht="18" x14ac:dyDescent="0.3">
      <c r="A41" s="78"/>
      <c r="B41" s="79"/>
      <c r="C41" s="79"/>
      <c r="D41" s="94"/>
      <c r="E41" s="89"/>
      <c r="F41" s="89"/>
      <c r="G41" s="92"/>
      <c r="H41" s="89"/>
      <c r="I41" s="93"/>
      <c r="J41" s="91"/>
    </row>
    <row r="42" spans="1:13" ht="18" x14ac:dyDescent="0.3">
      <c r="A42" s="78"/>
      <c r="B42" s="79"/>
      <c r="C42" s="79"/>
      <c r="D42" s="94"/>
      <c r="E42" s="89"/>
      <c r="F42" s="89"/>
      <c r="G42" s="92"/>
      <c r="H42" s="89"/>
      <c r="I42" s="93"/>
      <c r="J42" s="91"/>
    </row>
    <row r="43" spans="1:13" ht="18" x14ac:dyDescent="0.3">
      <c r="A43" s="78"/>
      <c r="B43" s="79"/>
      <c r="C43" s="79"/>
      <c r="D43" s="94"/>
      <c r="E43" s="89"/>
      <c r="F43" s="89"/>
      <c r="G43" s="92"/>
      <c r="H43" s="89"/>
      <c r="I43" s="93"/>
      <c r="J43" s="91"/>
    </row>
    <row r="44" spans="1:13" ht="18" x14ac:dyDescent="0.3">
      <c r="A44" s="78"/>
      <c r="B44" s="79"/>
      <c r="C44" s="79"/>
      <c r="D44" s="94"/>
      <c r="E44" s="89"/>
      <c r="F44" s="89"/>
      <c r="G44" s="92"/>
      <c r="H44" s="89"/>
      <c r="I44" s="93"/>
      <c r="J44" s="91"/>
    </row>
    <row r="45" spans="1:13" ht="18" x14ac:dyDescent="0.3">
      <c r="A45" s="78"/>
      <c r="B45" s="79"/>
      <c r="C45" s="79"/>
      <c r="D45" s="95"/>
      <c r="E45" s="89"/>
      <c r="F45" s="89"/>
      <c r="G45" s="92"/>
      <c r="H45" s="89"/>
      <c r="I45" s="93"/>
      <c r="J45" s="91">
        <f t="shared" si="0"/>
        <v>0</v>
      </c>
    </row>
    <row r="46" spans="1:13" ht="18.75" thickBot="1" x14ac:dyDescent="0.35">
      <c r="A46" s="78"/>
      <c r="B46" s="79"/>
      <c r="C46" s="79"/>
      <c r="D46" s="96"/>
      <c r="E46" s="97"/>
      <c r="F46" s="97"/>
      <c r="G46" s="98"/>
      <c r="H46" s="97"/>
      <c r="I46" s="99"/>
      <c r="J46" s="100">
        <f t="shared" si="0"/>
        <v>0</v>
      </c>
      <c r="M46" s="105"/>
    </row>
    <row r="47" spans="1:13" ht="21" thickBot="1" x14ac:dyDescent="0.35">
      <c r="A47" s="78"/>
      <c r="B47" s="79"/>
      <c r="C47" s="79"/>
      <c r="D47" s="933" t="s">
        <v>10</v>
      </c>
      <c r="E47" s="934"/>
      <c r="F47" s="934"/>
      <c r="G47" s="934"/>
      <c r="H47" s="934"/>
      <c r="I47" s="935"/>
      <c r="J47" s="102">
        <f>ROUND(SUM(J8:J46),2)</f>
        <v>36</v>
      </c>
    </row>
    <row r="48" spans="1:13" ht="21" thickBot="1" x14ac:dyDescent="0.35">
      <c r="A48" s="78"/>
      <c r="B48" s="79"/>
      <c r="C48" s="79"/>
      <c r="D48" s="933" t="s">
        <v>1127</v>
      </c>
      <c r="E48" s="934"/>
      <c r="F48" s="934"/>
      <c r="G48" s="934"/>
      <c r="H48" s="934"/>
      <c r="I48" s="935"/>
      <c r="J48" s="103"/>
    </row>
    <row r="49" spans="1:10" ht="21" thickBot="1" x14ac:dyDescent="0.35">
      <c r="A49" s="78"/>
      <c r="B49" s="79"/>
      <c r="C49" s="101"/>
      <c r="D49" s="933" t="s">
        <v>1128</v>
      </c>
      <c r="E49" s="934"/>
      <c r="F49" s="934"/>
      <c r="G49" s="934"/>
      <c r="H49" s="934"/>
      <c r="I49" s="935"/>
      <c r="J49" s="104">
        <f>+J47-J48</f>
        <v>36</v>
      </c>
    </row>
    <row r="50" spans="1:10" ht="21" thickBot="1" x14ac:dyDescent="0.35">
      <c r="A50" s="936" t="s">
        <v>1129</v>
      </c>
      <c r="B50" s="937"/>
      <c r="C50" s="938"/>
      <c r="D50" s="939" t="s">
        <v>1130</v>
      </c>
      <c r="E50" s="940"/>
      <c r="F50" s="940"/>
      <c r="G50" s="940"/>
      <c r="H50" s="940"/>
      <c r="I50" s="940"/>
      <c r="J50" s="941"/>
    </row>
    <row r="51" spans="1:10" ht="38.25" customHeight="1" thickBot="1" x14ac:dyDescent="0.35">
      <c r="A51" s="942" t="str">
        <f>PPTO!G3</f>
        <v>JUNIO DE 2026</v>
      </c>
      <c r="B51" s="943"/>
      <c r="C51" s="944"/>
      <c r="D51" s="921"/>
      <c r="E51" s="922"/>
      <c r="F51" s="922"/>
      <c r="G51" s="922"/>
      <c r="H51" s="922"/>
      <c r="I51" s="922"/>
      <c r="J51" s="923"/>
    </row>
    <row r="52" spans="1:10" ht="19.5" thickBot="1" x14ac:dyDescent="0.35">
      <c r="A52" s="918"/>
      <c r="B52" s="919"/>
      <c r="C52" s="920"/>
      <c r="D52" s="921" t="s">
        <v>1131</v>
      </c>
      <c r="E52" s="922"/>
      <c r="F52" s="922"/>
      <c r="G52" s="922"/>
      <c r="H52" s="922"/>
      <c r="I52" s="922"/>
      <c r="J52" s="923"/>
    </row>
  </sheetData>
  <mergeCells count="19">
    <mergeCell ref="A52:C52"/>
    <mergeCell ref="D52:J52"/>
    <mergeCell ref="D6:D7"/>
    <mergeCell ref="E6:G6"/>
    <mergeCell ref="I6:I7"/>
    <mergeCell ref="J6:J7"/>
    <mergeCell ref="D47:I47"/>
    <mergeCell ref="D48:I48"/>
    <mergeCell ref="D49:I49"/>
    <mergeCell ref="A50:C50"/>
    <mergeCell ref="D50:J50"/>
    <mergeCell ref="A51:C51"/>
    <mergeCell ref="D51:J51"/>
    <mergeCell ref="A2:J2"/>
    <mergeCell ref="A3:J3"/>
    <mergeCell ref="A4:J4"/>
    <mergeCell ref="C5:D5"/>
    <mergeCell ref="G5:H5"/>
    <mergeCell ref="I5:J5"/>
  </mergeCells>
  <conditionalFormatting sqref="J8:J46">
    <cfRule type="cellIs" dxfId="27" priority="1" operator="equal">
      <formula>0</formula>
    </cfRule>
  </conditionalFormatting>
  <pageMargins left="0.7" right="0.7" top="0.75" bottom="0.75" header="0.3" footer="0.3"/>
  <pageSetup scale="50" orientation="landscape" r:id="rId1"/>
  <drawing r:id="rId2"/>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6EA0B6-D485-4ED3-88F7-6CC75FC82277}">
  <sheetPr>
    <tabColor rgb="FFD4ECBA"/>
    <pageSetUpPr fitToPage="1"/>
  </sheetPr>
  <dimension ref="A1:M52"/>
  <sheetViews>
    <sheetView showOutlineSymbols="0" view="pageBreakPreview" topLeftCell="A3" zoomScale="60" zoomScaleNormal="70" workbookViewId="0">
      <selection activeCell="D9" sqref="D9:J12"/>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05.75" customHeight="1" thickBot="1" x14ac:dyDescent="0.35">
      <c r="A5" s="72" t="s">
        <v>5</v>
      </c>
      <c r="B5" s="73">
        <v>7.2</v>
      </c>
      <c r="C5" s="913" t="str">
        <f>+VLOOKUP(B5,PPTO!B8:G94,2,FALSE)</f>
        <v>SUMINISTRO, TRANSPORTE  E INSTALACION DE  Salidas sanitarias de 2" incluye: Accesorios, acoples y todo lo relacionado para su instalación de (lavadero, sanitario, lavamanos, ducha, etc.) incluye 2m de tubería contempladas por punto  y toda actividad adicional para su correcta instalación.</v>
      </c>
      <c r="D5" s="914"/>
      <c r="E5" s="72" t="s">
        <v>7</v>
      </c>
      <c r="F5" s="74" t="str">
        <f>+VLOOKUP(B5,PPTO!B8:G94,3,FALSE)</f>
        <v>UN</v>
      </c>
      <c r="G5" s="915" t="s">
        <v>1120</v>
      </c>
      <c r="H5" s="915"/>
      <c r="I5" s="916">
        <f>+VLOOKUP(B5,PPTO!B8:G94,5,FALSE)</f>
        <v>146505.39358291449</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8" x14ac:dyDescent="0.3">
      <c r="A8" s="78"/>
      <c r="B8" s="79"/>
      <c r="C8" s="79"/>
      <c r="D8" s="94"/>
      <c r="E8" s="89"/>
      <c r="F8" s="89"/>
      <c r="G8" s="89"/>
      <c r="H8" s="89"/>
      <c r="I8" s="90"/>
      <c r="J8" s="87"/>
    </row>
    <row r="9" spans="1:10" ht="18" x14ac:dyDescent="0.3">
      <c r="A9" s="78"/>
      <c r="B9" s="79"/>
      <c r="C9" s="79"/>
      <c r="D9" s="94" t="s">
        <v>1206</v>
      </c>
      <c r="E9" s="89"/>
      <c r="F9" s="89"/>
      <c r="G9" s="89"/>
      <c r="H9" s="89"/>
      <c r="I9" s="93">
        <v>20</v>
      </c>
      <c r="J9" s="91">
        <f>+I9</f>
        <v>20</v>
      </c>
    </row>
    <row r="10" spans="1:10" ht="18" x14ac:dyDescent="0.3">
      <c r="A10" s="78"/>
      <c r="B10" s="79"/>
      <c r="C10" s="79"/>
      <c r="D10" s="94" t="s">
        <v>1207</v>
      </c>
      <c r="E10" s="89"/>
      <c r="F10" s="89"/>
      <c r="G10" s="89"/>
      <c r="H10" s="89"/>
      <c r="I10" s="93">
        <v>5</v>
      </c>
      <c r="J10" s="91">
        <f t="shared" ref="J10:J12" si="0">+PRODUCT(E10:I10)</f>
        <v>5</v>
      </c>
    </row>
    <row r="11" spans="1:10" ht="18" x14ac:dyDescent="0.3">
      <c r="A11" s="78"/>
      <c r="B11" s="79"/>
      <c r="C11" s="79"/>
      <c r="D11" s="94" t="s">
        <v>1213</v>
      </c>
      <c r="E11" s="89"/>
      <c r="F11" s="89"/>
      <c r="G11" s="89"/>
      <c r="H11" s="89"/>
      <c r="I11" s="93">
        <v>7</v>
      </c>
      <c r="J11" s="91">
        <f t="shared" si="0"/>
        <v>7</v>
      </c>
    </row>
    <row r="12" spans="1:10" ht="18" x14ac:dyDescent="0.3">
      <c r="A12" s="78"/>
      <c r="B12" s="79"/>
      <c r="C12" s="79"/>
      <c r="D12" s="94" t="s">
        <v>1231</v>
      </c>
      <c r="E12" s="89"/>
      <c r="F12" s="89"/>
      <c r="G12" s="89"/>
      <c r="H12" s="89"/>
      <c r="I12" s="93">
        <v>4</v>
      </c>
      <c r="J12" s="91">
        <f t="shared" si="0"/>
        <v>4</v>
      </c>
    </row>
    <row r="13" spans="1:10" ht="18" x14ac:dyDescent="0.3">
      <c r="A13" s="78"/>
      <c r="B13" s="79"/>
      <c r="C13" s="79"/>
      <c r="D13" s="94"/>
      <c r="E13" s="89"/>
      <c r="F13" s="89"/>
      <c r="G13" s="89"/>
      <c r="H13" s="89"/>
      <c r="I13" s="93"/>
      <c r="J13" s="91">
        <f t="shared" ref="J13:J46" si="1">+PRODUCT(E13:I13)</f>
        <v>0</v>
      </c>
    </row>
    <row r="14" spans="1:10" ht="18" x14ac:dyDescent="0.3">
      <c r="A14" s="78"/>
      <c r="B14" s="79"/>
      <c r="C14" s="79"/>
      <c r="D14" s="94"/>
      <c r="E14" s="89"/>
      <c r="F14" s="89"/>
      <c r="G14" s="89"/>
      <c r="H14" s="89"/>
      <c r="I14" s="93"/>
      <c r="J14" s="91">
        <f t="shared" si="1"/>
        <v>0</v>
      </c>
    </row>
    <row r="15" spans="1:10" ht="18" x14ac:dyDescent="0.3">
      <c r="A15" s="78"/>
      <c r="B15" s="79"/>
      <c r="C15" s="79"/>
      <c r="D15" s="94"/>
      <c r="E15" s="89"/>
      <c r="F15" s="89"/>
      <c r="G15" s="89"/>
      <c r="H15" s="89"/>
      <c r="I15" s="93"/>
      <c r="J15" s="91">
        <f t="shared" si="1"/>
        <v>0</v>
      </c>
    </row>
    <row r="16" spans="1:10" ht="18" x14ac:dyDescent="0.3">
      <c r="A16" s="78"/>
      <c r="B16" s="79"/>
      <c r="C16" s="79"/>
      <c r="D16" s="94"/>
      <c r="E16" s="89"/>
      <c r="F16" s="89"/>
      <c r="G16" s="89"/>
      <c r="H16" s="89"/>
      <c r="I16" s="93"/>
      <c r="J16" s="91">
        <f t="shared" si="1"/>
        <v>0</v>
      </c>
    </row>
    <row r="17" spans="1:10" ht="18" x14ac:dyDescent="0.3">
      <c r="A17" s="78"/>
      <c r="B17" s="79"/>
      <c r="C17" s="79"/>
      <c r="D17" s="94"/>
      <c r="E17" s="89"/>
      <c r="F17" s="89"/>
      <c r="G17" s="89"/>
      <c r="H17" s="89"/>
      <c r="I17" s="93"/>
      <c r="J17" s="91">
        <f t="shared" si="1"/>
        <v>0</v>
      </c>
    </row>
    <row r="18" spans="1:10" ht="18" x14ac:dyDescent="0.3">
      <c r="A18" s="78"/>
      <c r="B18" s="79"/>
      <c r="C18" s="79"/>
      <c r="D18" s="94"/>
      <c r="E18" s="89"/>
      <c r="F18" s="89"/>
      <c r="G18" s="89"/>
      <c r="H18" s="89"/>
      <c r="I18" s="93"/>
      <c r="J18" s="91">
        <f t="shared" si="1"/>
        <v>0</v>
      </c>
    </row>
    <row r="19" spans="1:10" ht="18" x14ac:dyDescent="0.3">
      <c r="A19" s="78"/>
      <c r="B19" s="79"/>
      <c r="C19" s="79"/>
      <c r="D19" s="95"/>
      <c r="E19" s="89"/>
      <c r="F19" s="89"/>
      <c r="G19" s="89"/>
      <c r="H19" s="89"/>
      <c r="I19" s="93"/>
      <c r="J19" s="91">
        <f t="shared" si="1"/>
        <v>0</v>
      </c>
    </row>
    <row r="20" spans="1:10" ht="18" x14ac:dyDescent="0.3">
      <c r="A20" s="78"/>
      <c r="B20" s="79"/>
      <c r="C20" s="79"/>
      <c r="D20" s="88"/>
      <c r="E20" s="89"/>
      <c r="F20" s="89"/>
      <c r="G20" s="89"/>
      <c r="H20" s="89"/>
      <c r="I20" s="90"/>
      <c r="J20" s="91">
        <f t="shared" si="1"/>
        <v>0</v>
      </c>
    </row>
    <row r="21" spans="1:10" ht="18" x14ac:dyDescent="0.3">
      <c r="A21" s="78"/>
      <c r="B21" s="79"/>
      <c r="C21" s="79"/>
      <c r="D21" s="88"/>
      <c r="E21" s="89"/>
      <c r="F21" s="89"/>
      <c r="G21" s="89"/>
      <c r="H21" s="89"/>
      <c r="I21" s="90"/>
      <c r="J21" s="91">
        <f t="shared" si="1"/>
        <v>0</v>
      </c>
    </row>
    <row r="22" spans="1:10" ht="18" x14ac:dyDescent="0.3">
      <c r="A22" s="78"/>
      <c r="B22" s="79"/>
      <c r="C22" s="79"/>
      <c r="D22" s="88"/>
      <c r="E22" s="89"/>
      <c r="F22" s="89"/>
      <c r="G22" s="89"/>
      <c r="H22" s="89"/>
      <c r="I22" s="90"/>
      <c r="J22" s="91">
        <f t="shared" si="1"/>
        <v>0</v>
      </c>
    </row>
    <row r="23" spans="1:10" ht="18" x14ac:dyDescent="0.3">
      <c r="A23" s="78"/>
      <c r="B23" s="79"/>
      <c r="C23" s="79"/>
      <c r="D23" s="94"/>
      <c r="E23" s="89"/>
      <c r="F23" s="89"/>
      <c r="G23" s="89"/>
      <c r="H23" s="89"/>
      <c r="I23" s="93"/>
      <c r="J23" s="91">
        <f t="shared" si="1"/>
        <v>0</v>
      </c>
    </row>
    <row r="24" spans="1:10" ht="18" x14ac:dyDescent="0.3">
      <c r="A24" s="78"/>
      <c r="B24" s="79"/>
      <c r="C24" s="79"/>
      <c r="D24" s="94"/>
      <c r="E24" s="89"/>
      <c r="F24" s="89"/>
      <c r="G24" s="89"/>
      <c r="H24" s="89"/>
      <c r="I24" s="93"/>
      <c r="J24" s="91">
        <f t="shared" si="1"/>
        <v>0</v>
      </c>
    </row>
    <row r="25" spans="1:10" ht="18" x14ac:dyDescent="0.3">
      <c r="A25" s="78"/>
      <c r="B25" s="79"/>
      <c r="C25" s="79"/>
      <c r="D25" s="94"/>
      <c r="E25" s="89"/>
      <c r="F25" s="89"/>
      <c r="G25" s="89"/>
      <c r="H25" s="89"/>
      <c r="I25" s="93"/>
      <c r="J25" s="91">
        <f t="shared" si="1"/>
        <v>0</v>
      </c>
    </row>
    <row r="26" spans="1:10" ht="18" x14ac:dyDescent="0.3">
      <c r="A26" s="78"/>
      <c r="B26" s="79"/>
      <c r="C26" s="79"/>
      <c r="D26" s="94"/>
      <c r="E26" s="89"/>
      <c r="F26" s="89"/>
      <c r="G26" s="89"/>
      <c r="H26" s="89"/>
      <c r="I26" s="93"/>
      <c r="J26" s="91">
        <f t="shared" si="1"/>
        <v>0</v>
      </c>
    </row>
    <row r="27" spans="1:10" ht="18" x14ac:dyDescent="0.3">
      <c r="A27" s="78"/>
      <c r="B27" s="79"/>
      <c r="C27" s="79"/>
      <c r="D27" s="94"/>
      <c r="E27" s="89"/>
      <c r="F27" s="89"/>
      <c r="G27" s="89"/>
      <c r="H27" s="89"/>
      <c r="I27" s="93"/>
      <c r="J27" s="91">
        <f t="shared" si="1"/>
        <v>0</v>
      </c>
    </row>
    <row r="28" spans="1:10" ht="18" x14ac:dyDescent="0.3">
      <c r="A28" s="78"/>
      <c r="B28" s="79"/>
      <c r="C28" s="79"/>
      <c r="D28" s="94"/>
      <c r="E28" s="89"/>
      <c r="F28" s="89"/>
      <c r="G28" s="89"/>
      <c r="H28" s="89"/>
      <c r="I28" s="93"/>
      <c r="J28" s="91">
        <f t="shared" si="1"/>
        <v>0</v>
      </c>
    </row>
    <row r="29" spans="1:10" ht="18" x14ac:dyDescent="0.3">
      <c r="A29" s="78"/>
      <c r="B29" s="79"/>
      <c r="C29" s="79"/>
      <c r="D29" s="94"/>
      <c r="E29" s="89"/>
      <c r="F29" s="89"/>
      <c r="G29" s="89"/>
      <c r="H29" s="89"/>
      <c r="I29" s="93"/>
      <c r="J29" s="91">
        <f t="shared" si="1"/>
        <v>0</v>
      </c>
    </row>
    <row r="30" spans="1:10" ht="18" x14ac:dyDescent="0.3">
      <c r="A30" s="78"/>
      <c r="B30" s="79"/>
      <c r="C30" s="79"/>
      <c r="D30" s="94"/>
      <c r="E30" s="89"/>
      <c r="F30" s="89"/>
      <c r="G30" s="89"/>
      <c r="H30" s="89"/>
      <c r="I30" s="93"/>
      <c r="J30" s="91">
        <f t="shared" si="1"/>
        <v>0</v>
      </c>
    </row>
    <row r="31" spans="1:10" ht="18" x14ac:dyDescent="0.3">
      <c r="A31" s="78"/>
      <c r="B31" s="79"/>
      <c r="C31" s="79"/>
      <c r="D31" s="94"/>
      <c r="E31" s="89"/>
      <c r="F31" s="89"/>
      <c r="G31" s="89"/>
      <c r="H31" s="89"/>
      <c r="I31" s="93"/>
      <c r="J31" s="91">
        <f t="shared" si="1"/>
        <v>0</v>
      </c>
    </row>
    <row r="32" spans="1:10" ht="18" x14ac:dyDescent="0.3">
      <c r="A32" s="78"/>
      <c r="B32" s="79"/>
      <c r="C32" s="79"/>
      <c r="D32" s="94"/>
      <c r="E32" s="89"/>
      <c r="F32" s="89"/>
      <c r="G32" s="89"/>
      <c r="H32" s="89"/>
      <c r="I32" s="93"/>
      <c r="J32" s="91">
        <f t="shared" si="1"/>
        <v>0</v>
      </c>
    </row>
    <row r="33" spans="1:13" ht="18" x14ac:dyDescent="0.3">
      <c r="A33" s="78"/>
      <c r="B33" s="79"/>
      <c r="C33" s="79"/>
      <c r="D33" s="94"/>
      <c r="E33" s="89"/>
      <c r="F33" s="89"/>
      <c r="G33" s="89"/>
      <c r="H33" s="89"/>
      <c r="I33" s="93"/>
      <c r="J33" s="91">
        <f t="shared" si="1"/>
        <v>0</v>
      </c>
    </row>
    <row r="34" spans="1:13" ht="18" x14ac:dyDescent="0.3">
      <c r="A34" s="78"/>
      <c r="B34" s="79"/>
      <c r="C34" s="79"/>
      <c r="D34" s="94"/>
      <c r="E34" s="89"/>
      <c r="F34" s="89"/>
      <c r="G34" s="89"/>
      <c r="H34" s="89"/>
      <c r="I34" s="93"/>
      <c r="J34" s="91">
        <f t="shared" si="1"/>
        <v>0</v>
      </c>
    </row>
    <row r="35" spans="1:13" ht="18" x14ac:dyDescent="0.3">
      <c r="A35" s="78"/>
      <c r="B35" s="79"/>
      <c r="C35" s="79"/>
      <c r="D35" s="94"/>
      <c r="E35" s="89"/>
      <c r="F35" s="89"/>
      <c r="G35" s="89"/>
      <c r="H35" s="89"/>
      <c r="I35" s="93"/>
      <c r="J35" s="91">
        <f t="shared" si="1"/>
        <v>0</v>
      </c>
    </row>
    <row r="36" spans="1:13" ht="18" x14ac:dyDescent="0.3">
      <c r="A36" s="78"/>
      <c r="B36" s="79"/>
      <c r="C36" s="79"/>
      <c r="D36" s="94"/>
      <c r="E36" s="89"/>
      <c r="F36" s="89"/>
      <c r="G36" s="89"/>
      <c r="H36" s="89"/>
      <c r="I36" s="93"/>
      <c r="J36" s="91">
        <f t="shared" si="1"/>
        <v>0</v>
      </c>
    </row>
    <row r="37" spans="1:13" ht="18" x14ac:dyDescent="0.3">
      <c r="A37" s="78"/>
      <c r="B37" s="79"/>
      <c r="C37" s="79"/>
      <c r="D37" s="94"/>
      <c r="E37" s="89"/>
      <c r="F37" s="89"/>
      <c r="G37" s="89"/>
      <c r="H37" s="89"/>
      <c r="I37" s="93"/>
      <c r="J37" s="91">
        <f t="shared" si="1"/>
        <v>0</v>
      </c>
    </row>
    <row r="38" spans="1:13" ht="18" x14ac:dyDescent="0.3">
      <c r="A38" s="78"/>
      <c r="B38" s="79"/>
      <c r="C38" s="79"/>
      <c r="D38" s="94"/>
      <c r="E38" s="89"/>
      <c r="F38" s="89"/>
      <c r="G38" s="89"/>
      <c r="H38" s="89"/>
      <c r="I38" s="93"/>
      <c r="J38" s="91">
        <f t="shared" si="1"/>
        <v>0</v>
      </c>
    </row>
    <row r="39" spans="1:13" ht="18" x14ac:dyDescent="0.3">
      <c r="A39" s="78"/>
      <c r="B39" s="79"/>
      <c r="C39" s="79"/>
      <c r="D39" s="94"/>
      <c r="E39" s="89"/>
      <c r="F39" s="89"/>
      <c r="G39" s="89"/>
      <c r="H39" s="89"/>
      <c r="I39" s="93"/>
      <c r="J39" s="91">
        <f t="shared" si="1"/>
        <v>0</v>
      </c>
    </row>
    <row r="40" spans="1:13" ht="18" x14ac:dyDescent="0.3">
      <c r="A40" s="78"/>
      <c r="B40" s="79"/>
      <c r="C40" s="79"/>
      <c r="D40" s="94"/>
      <c r="E40" s="89"/>
      <c r="F40" s="89"/>
      <c r="G40" s="92"/>
      <c r="H40" s="89"/>
      <c r="I40" s="93"/>
      <c r="J40" s="91"/>
    </row>
    <row r="41" spans="1:13" ht="18" x14ac:dyDescent="0.3">
      <c r="A41" s="78"/>
      <c r="B41" s="79"/>
      <c r="C41" s="79"/>
      <c r="D41" s="94"/>
      <c r="E41" s="89"/>
      <c r="F41" s="89"/>
      <c r="G41" s="92"/>
      <c r="H41" s="89"/>
      <c r="I41" s="93"/>
      <c r="J41" s="91"/>
    </row>
    <row r="42" spans="1:13" ht="18" x14ac:dyDescent="0.3">
      <c r="A42" s="78"/>
      <c r="B42" s="79"/>
      <c r="C42" s="79"/>
      <c r="D42" s="94"/>
      <c r="E42" s="89"/>
      <c r="F42" s="89"/>
      <c r="G42" s="92"/>
      <c r="H42" s="89"/>
      <c r="I42" s="93"/>
      <c r="J42" s="91"/>
    </row>
    <row r="43" spans="1:13" ht="18" x14ac:dyDescent="0.3">
      <c r="A43" s="78"/>
      <c r="B43" s="79"/>
      <c r="C43" s="79"/>
      <c r="D43" s="94"/>
      <c r="E43" s="89"/>
      <c r="F43" s="89"/>
      <c r="G43" s="92"/>
      <c r="H43" s="89"/>
      <c r="I43" s="93"/>
      <c r="J43" s="91"/>
    </row>
    <row r="44" spans="1:13" ht="18" x14ac:dyDescent="0.3">
      <c r="A44" s="78"/>
      <c r="B44" s="79"/>
      <c r="C44" s="79"/>
      <c r="D44" s="94"/>
      <c r="E44" s="89"/>
      <c r="F44" s="89"/>
      <c r="G44" s="92"/>
      <c r="H44" s="89"/>
      <c r="I44" s="93"/>
      <c r="J44" s="91"/>
    </row>
    <row r="45" spans="1:13" ht="18" x14ac:dyDescent="0.3">
      <c r="A45" s="78"/>
      <c r="B45" s="79"/>
      <c r="C45" s="79"/>
      <c r="D45" s="95"/>
      <c r="E45" s="89"/>
      <c r="F45" s="89"/>
      <c r="G45" s="92"/>
      <c r="H45" s="89"/>
      <c r="I45" s="93"/>
      <c r="J45" s="91">
        <f t="shared" si="1"/>
        <v>0</v>
      </c>
    </row>
    <row r="46" spans="1:13" ht="18.75" thickBot="1" x14ac:dyDescent="0.35">
      <c r="A46" s="78"/>
      <c r="B46" s="79"/>
      <c r="C46" s="79"/>
      <c r="D46" s="96"/>
      <c r="E46" s="97"/>
      <c r="F46" s="97"/>
      <c r="G46" s="98"/>
      <c r="H46" s="97"/>
      <c r="I46" s="99"/>
      <c r="J46" s="100">
        <f t="shared" si="1"/>
        <v>0</v>
      </c>
      <c r="M46" s="105"/>
    </row>
    <row r="47" spans="1:13" ht="21" thickBot="1" x14ac:dyDescent="0.35">
      <c r="A47" s="78"/>
      <c r="B47" s="79"/>
      <c r="C47" s="79"/>
      <c r="D47" s="933" t="s">
        <v>10</v>
      </c>
      <c r="E47" s="934"/>
      <c r="F47" s="934"/>
      <c r="G47" s="934"/>
      <c r="H47" s="934"/>
      <c r="I47" s="935"/>
      <c r="J47" s="102">
        <f>ROUND(SUM(J8:J46),2)</f>
        <v>36</v>
      </c>
    </row>
    <row r="48" spans="1:13" ht="21" thickBot="1" x14ac:dyDescent="0.35">
      <c r="A48" s="78"/>
      <c r="B48" s="79"/>
      <c r="C48" s="79"/>
      <c r="D48" s="933" t="s">
        <v>1127</v>
      </c>
      <c r="E48" s="934"/>
      <c r="F48" s="934"/>
      <c r="G48" s="934"/>
      <c r="H48" s="934"/>
      <c r="I48" s="935"/>
      <c r="J48" s="103"/>
    </row>
    <row r="49" spans="1:10" ht="21" thickBot="1" x14ac:dyDescent="0.35">
      <c r="A49" s="78"/>
      <c r="B49" s="79"/>
      <c r="C49" s="101"/>
      <c r="D49" s="933" t="s">
        <v>1128</v>
      </c>
      <c r="E49" s="934"/>
      <c r="F49" s="934"/>
      <c r="G49" s="934"/>
      <c r="H49" s="934"/>
      <c r="I49" s="935"/>
      <c r="J49" s="104">
        <f>+J47-J48</f>
        <v>36</v>
      </c>
    </row>
    <row r="50" spans="1:10" ht="21" thickBot="1" x14ac:dyDescent="0.35">
      <c r="A50" s="936" t="s">
        <v>1129</v>
      </c>
      <c r="B50" s="937"/>
      <c r="C50" s="938"/>
      <c r="D50" s="939" t="s">
        <v>1130</v>
      </c>
      <c r="E50" s="940"/>
      <c r="F50" s="940"/>
      <c r="G50" s="940"/>
      <c r="H50" s="940"/>
      <c r="I50" s="940"/>
      <c r="J50" s="941"/>
    </row>
    <row r="51" spans="1:10" ht="38.25" customHeight="1" thickBot="1" x14ac:dyDescent="0.35">
      <c r="A51" s="942" t="str">
        <f>PPTO!G3</f>
        <v>JUNIO DE 2026</v>
      </c>
      <c r="B51" s="943"/>
      <c r="C51" s="944"/>
      <c r="D51" s="921"/>
      <c r="E51" s="922"/>
      <c r="F51" s="922"/>
      <c r="G51" s="922"/>
      <c r="H51" s="922"/>
      <c r="I51" s="922"/>
      <c r="J51" s="923"/>
    </row>
    <row r="52" spans="1:10" ht="19.5" thickBot="1" x14ac:dyDescent="0.35">
      <c r="A52" s="918"/>
      <c r="B52" s="919"/>
      <c r="C52" s="920"/>
      <c r="D52" s="921" t="s">
        <v>1131</v>
      </c>
      <c r="E52" s="922"/>
      <c r="F52" s="922"/>
      <c r="G52" s="922"/>
      <c r="H52" s="922"/>
      <c r="I52" s="922"/>
      <c r="J52" s="923"/>
    </row>
  </sheetData>
  <mergeCells count="19">
    <mergeCell ref="A2:J2"/>
    <mergeCell ref="A3:J3"/>
    <mergeCell ref="A4:J4"/>
    <mergeCell ref="C5:D5"/>
    <mergeCell ref="G5:H5"/>
    <mergeCell ref="I5:J5"/>
    <mergeCell ref="A52:C52"/>
    <mergeCell ref="D52:J52"/>
    <mergeCell ref="D6:D7"/>
    <mergeCell ref="E6:G6"/>
    <mergeCell ref="I6:I7"/>
    <mergeCell ref="J6:J7"/>
    <mergeCell ref="D47:I47"/>
    <mergeCell ref="D48:I48"/>
    <mergeCell ref="D49:I49"/>
    <mergeCell ref="A50:C50"/>
    <mergeCell ref="D50:J50"/>
    <mergeCell ref="A51:C51"/>
    <mergeCell ref="D51:J51"/>
  </mergeCells>
  <conditionalFormatting sqref="J8:J46">
    <cfRule type="cellIs" dxfId="26" priority="1" operator="equal">
      <formula>0</formula>
    </cfRule>
  </conditionalFormatting>
  <pageMargins left="0.7" right="0.7" top="0.75" bottom="0.75" header="0.3" footer="0.3"/>
  <pageSetup scale="50" orientation="landscape" r:id="rId1"/>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913268-9DA3-4723-8059-DE56052BA58B}">
  <sheetPr>
    <tabColor rgb="FFD4ECBA"/>
    <pageSetUpPr fitToPage="1"/>
  </sheetPr>
  <dimension ref="A1:M52"/>
  <sheetViews>
    <sheetView showOutlineSymbols="0" view="pageBreakPreview" zoomScale="60" zoomScaleNormal="70" workbookViewId="0">
      <selection activeCell="L21" sqref="L21:M21"/>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05.75" customHeight="1" thickBot="1" x14ac:dyDescent="0.35">
      <c r="A5" s="72" t="s">
        <v>5</v>
      </c>
      <c r="B5" s="73">
        <v>7.3</v>
      </c>
      <c r="C5" s="913" t="str">
        <f>+VLOOKUP(B5,PPTO!B8:G94,2,FALSE)</f>
        <v>SUMINISTRO, TRANSPORTE  E INSTALACION de tubería para Bajante sanitario en tubería de 3" PVC. Bajante de ventilación incluye: (tubería por m, amarres, accesorios de empalme, equipos de alturas y todo lo relacionado para su instalación, altura elemento 1,5m.máx)</v>
      </c>
      <c r="D5" s="914"/>
      <c r="E5" s="72" t="s">
        <v>7</v>
      </c>
      <c r="F5" s="74" t="str">
        <f>+VLOOKUP(B5,PPTO!B8:G94,3,FALSE)</f>
        <v>UND</v>
      </c>
      <c r="G5" s="915" t="s">
        <v>1120</v>
      </c>
      <c r="H5" s="915"/>
      <c r="I5" s="916">
        <f>+VLOOKUP(B5,PPTO!B8:G94,5,FALSE)</f>
        <v>136281.47229949737</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8" x14ac:dyDescent="0.3">
      <c r="A8" s="78"/>
      <c r="B8" s="79"/>
      <c r="C8" s="79"/>
      <c r="D8" s="94" t="s">
        <v>1206</v>
      </c>
      <c r="E8" s="89"/>
      <c r="F8" s="89"/>
      <c r="G8" s="89"/>
      <c r="H8" s="89"/>
      <c r="I8" s="93">
        <v>9</v>
      </c>
      <c r="J8" s="91">
        <f>+I8</f>
        <v>9</v>
      </c>
    </row>
    <row r="9" spans="1:10" ht="18" x14ac:dyDescent="0.3">
      <c r="A9" s="78"/>
      <c r="B9" s="79"/>
      <c r="C9" s="79"/>
      <c r="D9" s="94" t="s">
        <v>1231</v>
      </c>
      <c r="E9" s="89"/>
      <c r="F9" s="89"/>
      <c r="G9" s="89"/>
      <c r="H9" s="89"/>
      <c r="I9" s="93">
        <v>1</v>
      </c>
      <c r="J9" s="91">
        <f t="shared" ref="J9" si="0">+PRODUCT(E9:I9)</f>
        <v>1</v>
      </c>
    </row>
    <row r="10" spans="1:10" ht="18" x14ac:dyDescent="0.3">
      <c r="A10" s="78"/>
      <c r="B10" s="79"/>
      <c r="C10" s="79"/>
      <c r="D10" s="94"/>
      <c r="E10" s="89"/>
      <c r="F10" s="89"/>
      <c r="G10" s="89"/>
      <c r="H10" s="89"/>
      <c r="I10" s="93"/>
      <c r="J10" s="91"/>
    </row>
    <row r="11" spans="1:10" ht="18" x14ac:dyDescent="0.3">
      <c r="A11" s="78"/>
      <c r="B11" s="79"/>
      <c r="C11" s="79"/>
      <c r="D11" s="94"/>
      <c r="E11" s="89"/>
      <c r="F11" s="89"/>
      <c r="G11" s="89"/>
      <c r="H11" s="89"/>
      <c r="I11" s="93"/>
      <c r="J11" s="91"/>
    </row>
    <row r="12" spans="1:10" ht="18" x14ac:dyDescent="0.3">
      <c r="A12" s="78"/>
      <c r="B12" s="79"/>
      <c r="C12" s="79"/>
      <c r="D12" s="94"/>
      <c r="E12" s="89"/>
      <c r="F12" s="89"/>
      <c r="G12" s="89"/>
      <c r="H12" s="89"/>
      <c r="I12" s="93"/>
      <c r="J12" s="91">
        <f t="shared" ref="J12:J46" si="1">+PRODUCT(E12:I12)</f>
        <v>0</v>
      </c>
    </row>
    <row r="13" spans="1:10" ht="18" x14ac:dyDescent="0.3">
      <c r="A13" s="78"/>
      <c r="B13" s="79"/>
      <c r="C13" s="79"/>
      <c r="D13" s="94"/>
      <c r="E13" s="89"/>
      <c r="F13" s="89"/>
      <c r="G13" s="89"/>
      <c r="H13" s="89"/>
      <c r="I13" s="93"/>
      <c r="J13" s="91">
        <f t="shared" si="1"/>
        <v>0</v>
      </c>
    </row>
    <row r="14" spans="1:10" ht="18" x14ac:dyDescent="0.3">
      <c r="A14" s="78"/>
      <c r="B14" s="79"/>
      <c r="C14" s="79"/>
      <c r="D14" s="94"/>
      <c r="E14" s="89"/>
      <c r="F14" s="89"/>
      <c r="G14" s="89"/>
      <c r="H14" s="89"/>
      <c r="I14" s="93"/>
      <c r="J14" s="91">
        <f t="shared" si="1"/>
        <v>0</v>
      </c>
    </row>
    <row r="15" spans="1:10" ht="18" x14ac:dyDescent="0.3">
      <c r="A15" s="78"/>
      <c r="B15" s="79"/>
      <c r="C15" s="79"/>
      <c r="D15" s="94"/>
      <c r="E15" s="89"/>
      <c r="F15" s="89"/>
      <c r="G15" s="89"/>
      <c r="H15" s="89"/>
      <c r="I15" s="93"/>
      <c r="J15" s="91">
        <f t="shared" si="1"/>
        <v>0</v>
      </c>
    </row>
    <row r="16" spans="1:10" ht="18" x14ac:dyDescent="0.3">
      <c r="A16" s="78"/>
      <c r="B16" s="79"/>
      <c r="C16" s="79"/>
      <c r="D16" s="94"/>
      <c r="E16" s="89"/>
      <c r="F16" s="89"/>
      <c r="G16" s="89"/>
      <c r="H16" s="89"/>
      <c r="I16" s="93"/>
      <c r="J16" s="91">
        <f t="shared" si="1"/>
        <v>0</v>
      </c>
    </row>
    <row r="17" spans="1:10" ht="18" x14ac:dyDescent="0.3">
      <c r="A17" s="78"/>
      <c r="B17" s="79"/>
      <c r="C17" s="79"/>
      <c r="D17" s="94"/>
      <c r="E17" s="89"/>
      <c r="F17" s="89"/>
      <c r="G17" s="89"/>
      <c r="H17" s="89"/>
      <c r="I17" s="93"/>
      <c r="J17" s="91">
        <f t="shared" si="1"/>
        <v>0</v>
      </c>
    </row>
    <row r="18" spans="1:10" ht="18" x14ac:dyDescent="0.3">
      <c r="A18" s="78"/>
      <c r="B18" s="79"/>
      <c r="C18" s="79"/>
      <c r="D18" s="94"/>
      <c r="E18" s="89"/>
      <c r="F18" s="89"/>
      <c r="G18" s="89"/>
      <c r="H18" s="89"/>
      <c r="I18" s="93"/>
      <c r="J18" s="91">
        <f t="shared" si="1"/>
        <v>0</v>
      </c>
    </row>
    <row r="19" spans="1:10" ht="18" x14ac:dyDescent="0.3">
      <c r="A19" s="78"/>
      <c r="B19" s="79"/>
      <c r="C19" s="79"/>
      <c r="D19" s="95"/>
      <c r="E19" s="89"/>
      <c r="F19" s="89"/>
      <c r="G19" s="89"/>
      <c r="H19" s="89"/>
      <c r="I19" s="93"/>
      <c r="J19" s="91">
        <f t="shared" si="1"/>
        <v>0</v>
      </c>
    </row>
    <row r="20" spans="1:10" ht="18" x14ac:dyDescent="0.3">
      <c r="A20" s="78"/>
      <c r="B20" s="79"/>
      <c r="C20" s="79"/>
      <c r="D20" s="88"/>
      <c r="E20" s="89"/>
      <c r="F20" s="89"/>
      <c r="G20" s="89"/>
      <c r="H20" s="89"/>
      <c r="I20" s="90"/>
      <c r="J20" s="91">
        <f t="shared" si="1"/>
        <v>0</v>
      </c>
    </row>
    <row r="21" spans="1:10" ht="18" x14ac:dyDescent="0.3">
      <c r="A21" s="78"/>
      <c r="B21" s="79"/>
      <c r="C21" s="79"/>
      <c r="D21" s="88"/>
      <c r="E21" s="89"/>
      <c r="F21" s="89"/>
      <c r="G21" s="89"/>
      <c r="H21" s="89"/>
      <c r="I21" s="90"/>
      <c r="J21" s="91">
        <f t="shared" si="1"/>
        <v>0</v>
      </c>
    </row>
    <row r="22" spans="1:10" ht="18" x14ac:dyDescent="0.3">
      <c r="A22" s="78"/>
      <c r="B22" s="79"/>
      <c r="C22" s="79"/>
      <c r="D22" s="88"/>
      <c r="E22" s="89"/>
      <c r="F22" s="89"/>
      <c r="G22" s="89"/>
      <c r="H22" s="89"/>
      <c r="I22" s="90"/>
      <c r="J22" s="91">
        <f t="shared" si="1"/>
        <v>0</v>
      </c>
    </row>
    <row r="23" spans="1:10" ht="18" x14ac:dyDescent="0.3">
      <c r="A23" s="78"/>
      <c r="B23" s="79"/>
      <c r="C23" s="79"/>
      <c r="D23" s="94"/>
      <c r="E23" s="89"/>
      <c r="F23" s="89"/>
      <c r="G23" s="89"/>
      <c r="H23" s="89"/>
      <c r="I23" s="93"/>
      <c r="J23" s="91">
        <f t="shared" si="1"/>
        <v>0</v>
      </c>
    </row>
    <row r="24" spans="1:10" ht="18" x14ac:dyDescent="0.3">
      <c r="A24" s="78"/>
      <c r="B24" s="79"/>
      <c r="C24" s="79"/>
      <c r="D24" s="94"/>
      <c r="E24" s="89"/>
      <c r="F24" s="89"/>
      <c r="G24" s="89"/>
      <c r="H24" s="89"/>
      <c r="I24" s="93"/>
      <c r="J24" s="91">
        <f t="shared" si="1"/>
        <v>0</v>
      </c>
    </row>
    <row r="25" spans="1:10" ht="18" x14ac:dyDescent="0.3">
      <c r="A25" s="78"/>
      <c r="B25" s="79"/>
      <c r="C25" s="79"/>
      <c r="D25" s="94"/>
      <c r="E25" s="89"/>
      <c r="F25" s="89"/>
      <c r="G25" s="89"/>
      <c r="H25" s="89"/>
      <c r="I25" s="93"/>
      <c r="J25" s="91">
        <f t="shared" si="1"/>
        <v>0</v>
      </c>
    </row>
    <row r="26" spans="1:10" ht="18" x14ac:dyDescent="0.3">
      <c r="A26" s="78"/>
      <c r="B26" s="79"/>
      <c r="C26" s="79"/>
      <c r="D26" s="94"/>
      <c r="E26" s="89"/>
      <c r="F26" s="89"/>
      <c r="G26" s="89"/>
      <c r="H26" s="89"/>
      <c r="I26" s="93"/>
      <c r="J26" s="91">
        <f t="shared" si="1"/>
        <v>0</v>
      </c>
    </row>
    <row r="27" spans="1:10" ht="18" x14ac:dyDescent="0.3">
      <c r="A27" s="78"/>
      <c r="B27" s="79"/>
      <c r="C27" s="79"/>
      <c r="D27" s="94"/>
      <c r="E27" s="89"/>
      <c r="F27" s="89"/>
      <c r="G27" s="89"/>
      <c r="H27" s="89"/>
      <c r="I27" s="93"/>
      <c r="J27" s="91">
        <f t="shared" si="1"/>
        <v>0</v>
      </c>
    </row>
    <row r="28" spans="1:10" ht="18" x14ac:dyDescent="0.3">
      <c r="A28" s="78"/>
      <c r="B28" s="79"/>
      <c r="C28" s="79"/>
      <c r="D28" s="94"/>
      <c r="E28" s="89"/>
      <c r="F28" s="89"/>
      <c r="G28" s="89"/>
      <c r="H28" s="89"/>
      <c r="I28" s="93"/>
      <c r="J28" s="91">
        <f t="shared" si="1"/>
        <v>0</v>
      </c>
    </row>
    <row r="29" spans="1:10" ht="18" x14ac:dyDescent="0.3">
      <c r="A29" s="78"/>
      <c r="B29" s="79"/>
      <c r="C29" s="79"/>
      <c r="D29" s="94"/>
      <c r="E29" s="89"/>
      <c r="F29" s="89"/>
      <c r="G29" s="89"/>
      <c r="H29" s="89"/>
      <c r="I29" s="93"/>
      <c r="J29" s="91">
        <f t="shared" si="1"/>
        <v>0</v>
      </c>
    </row>
    <row r="30" spans="1:10" ht="18" x14ac:dyDescent="0.3">
      <c r="A30" s="78"/>
      <c r="B30" s="79"/>
      <c r="C30" s="79"/>
      <c r="D30" s="94"/>
      <c r="E30" s="89"/>
      <c r="F30" s="89"/>
      <c r="G30" s="89"/>
      <c r="H30" s="89"/>
      <c r="I30" s="93"/>
      <c r="J30" s="91">
        <f t="shared" si="1"/>
        <v>0</v>
      </c>
    </row>
    <row r="31" spans="1:10" ht="18" x14ac:dyDescent="0.3">
      <c r="A31" s="78"/>
      <c r="B31" s="79"/>
      <c r="C31" s="79"/>
      <c r="D31" s="94"/>
      <c r="E31" s="89"/>
      <c r="F31" s="89"/>
      <c r="G31" s="89"/>
      <c r="H31" s="89"/>
      <c r="I31" s="93"/>
      <c r="J31" s="91">
        <f t="shared" si="1"/>
        <v>0</v>
      </c>
    </row>
    <row r="32" spans="1:10" ht="18" x14ac:dyDescent="0.3">
      <c r="A32" s="78"/>
      <c r="B32" s="79"/>
      <c r="C32" s="79"/>
      <c r="D32" s="94"/>
      <c r="E32" s="89"/>
      <c r="F32" s="89"/>
      <c r="G32" s="89"/>
      <c r="H32" s="89"/>
      <c r="I32" s="93"/>
      <c r="J32" s="91">
        <f t="shared" si="1"/>
        <v>0</v>
      </c>
    </row>
    <row r="33" spans="1:13" ht="18" x14ac:dyDescent="0.3">
      <c r="A33" s="78"/>
      <c r="B33" s="79"/>
      <c r="C33" s="79"/>
      <c r="D33" s="94"/>
      <c r="E33" s="89"/>
      <c r="F33" s="89"/>
      <c r="G33" s="89"/>
      <c r="H33" s="89"/>
      <c r="I33" s="93"/>
      <c r="J33" s="91">
        <f t="shared" si="1"/>
        <v>0</v>
      </c>
    </row>
    <row r="34" spans="1:13" ht="18" x14ac:dyDescent="0.3">
      <c r="A34" s="78"/>
      <c r="B34" s="79"/>
      <c r="C34" s="79"/>
      <c r="D34" s="94"/>
      <c r="E34" s="89"/>
      <c r="F34" s="89"/>
      <c r="G34" s="89"/>
      <c r="H34" s="89"/>
      <c r="I34" s="93"/>
      <c r="J34" s="91">
        <f t="shared" si="1"/>
        <v>0</v>
      </c>
    </row>
    <row r="35" spans="1:13" ht="18" x14ac:dyDescent="0.3">
      <c r="A35" s="78"/>
      <c r="B35" s="79"/>
      <c r="C35" s="79"/>
      <c r="D35" s="94"/>
      <c r="E35" s="89"/>
      <c r="F35" s="89"/>
      <c r="G35" s="89"/>
      <c r="H35" s="89"/>
      <c r="I35" s="93"/>
      <c r="J35" s="91">
        <f t="shared" si="1"/>
        <v>0</v>
      </c>
    </row>
    <row r="36" spans="1:13" ht="18" x14ac:dyDescent="0.3">
      <c r="A36" s="78"/>
      <c r="B36" s="79"/>
      <c r="C36" s="79"/>
      <c r="D36" s="94"/>
      <c r="E36" s="89"/>
      <c r="F36" s="89"/>
      <c r="G36" s="89"/>
      <c r="H36" s="89"/>
      <c r="I36" s="93"/>
      <c r="J36" s="91">
        <f t="shared" si="1"/>
        <v>0</v>
      </c>
    </row>
    <row r="37" spans="1:13" ht="18" x14ac:dyDescent="0.3">
      <c r="A37" s="78"/>
      <c r="B37" s="79"/>
      <c r="C37" s="79"/>
      <c r="D37" s="94"/>
      <c r="E37" s="89"/>
      <c r="F37" s="89"/>
      <c r="G37" s="89"/>
      <c r="H37" s="89"/>
      <c r="I37" s="93"/>
      <c r="J37" s="91">
        <f t="shared" si="1"/>
        <v>0</v>
      </c>
    </row>
    <row r="38" spans="1:13" ht="18" x14ac:dyDescent="0.3">
      <c r="A38" s="78"/>
      <c r="B38" s="79"/>
      <c r="C38" s="79"/>
      <c r="D38" s="94"/>
      <c r="E38" s="89"/>
      <c r="F38" s="89"/>
      <c r="G38" s="89"/>
      <c r="H38" s="89"/>
      <c r="I38" s="93"/>
      <c r="J38" s="91">
        <f t="shared" si="1"/>
        <v>0</v>
      </c>
    </row>
    <row r="39" spans="1:13" ht="18" x14ac:dyDescent="0.3">
      <c r="A39" s="78"/>
      <c r="B39" s="79"/>
      <c r="C39" s="79"/>
      <c r="D39" s="94"/>
      <c r="E39" s="89"/>
      <c r="F39" s="89"/>
      <c r="G39" s="89"/>
      <c r="H39" s="89"/>
      <c r="I39" s="93"/>
      <c r="J39" s="91">
        <f t="shared" si="1"/>
        <v>0</v>
      </c>
    </row>
    <row r="40" spans="1:13" ht="18" x14ac:dyDescent="0.3">
      <c r="A40" s="78"/>
      <c r="B40" s="79"/>
      <c r="C40" s="79"/>
      <c r="D40" s="94"/>
      <c r="E40" s="89"/>
      <c r="F40" s="89"/>
      <c r="G40" s="92"/>
      <c r="H40" s="89"/>
      <c r="I40" s="93"/>
      <c r="J40" s="91"/>
    </row>
    <row r="41" spans="1:13" ht="18" x14ac:dyDescent="0.3">
      <c r="A41" s="78"/>
      <c r="B41" s="79"/>
      <c r="C41" s="79"/>
      <c r="D41" s="94"/>
      <c r="E41" s="89"/>
      <c r="F41" s="89"/>
      <c r="G41" s="92"/>
      <c r="H41" s="89"/>
      <c r="I41" s="93"/>
      <c r="J41" s="91"/>
    </row>
    <row r="42" spans="1:13" ht="18" x14ac:dyDescent="0.3">
      <c r="A42" s="78"/>
      <c r="B42" s="79"/>
      <c r="C42" s="79"/>
      <c r="D42" s="94"/>
      <c r="E42" s="89"/>
      <c r="F42" s="89"/>
      <c r="G42" s="92"/>
      <c r="H42" s="89"/>
      <c r="I42" s="93"/>
      <c r="J42" s="91"/>
    </row>
    <row r="43" spans="1:13" ht="18" x14ac:dyDescent="0.3">
      <c r="A43" s="78"/>
      <c r="B43" s="79"/>
      <c r="C43" s="79"/>
      <c r="D43" s="94"/>
      <c r="E43" s="89"/>
      <c r="F43" s="89"/>
      <c r="G43" s="92"/>
      <c r="H43" s="89"/>
      <c r="I43" s="93"/>
      <c r="J43" s="91"/>
    </row>
    <row r="44" spans="1:13" ht="18" x14ac:dyDescent="0.3">
      <c r="A44" s="78"/>
      <c r="B44" s="79"/>
      <c r="C44" s="79"/>
      <c r="D44" s="94"/>
      <c r="E44" s="89"/>
      <c r="F44" s="89"/>
      <c r="G44" s="92"/>
      <c r="H44" s="89"/>
      <c r="I44" s="93"/>
      <c r="J44" s="91"/>
    </row>
    <row r="45" spans="1:13" ht="18" x14ac:dyDescent="0.3">
      <c r="A45" s="78"/>
      <c r="B45" s="79"/>
      <c r="C45" s="79"/>
      <c r="D45" s="95"/>
      <c r="E45" s="89"/>
      <c r="F45" s="89"/>
      <c r="G45" s="92"/>
      <c r="H45" s="89"/>
      <c r="I45" s="93"/>
      <c r="J45" s="91">
        <f t="shared" si="1"/>
        <v>0</v>
      </c>
    </row>
    <row r="46" spans="1:13" ht="18.75" thickBot="1" x14ac:dyDescent="0.35">
      <c r="A46" s="78"/>
      <c r="B46" s="79"/>
      <c r="C46" s="79"/>
      <c r="D46" s="96"/>
      <c r="E46" s="97"/>
      <c r="F46" s="97"/>
      <c r="G46" s="98"/>
      <c r="H46" s="97"/>
      <c r="I46" s="99"/>
      <c r="J46" s="100">
        <f t="shared" si="1"/>
        <v>0</v>
      </c>
      <c r="M46" s="105">
        <f>J47/1.5</f>
        <v>6.666666666666667</v>
      </c>
    </row>
    <row r="47" spans="1:13" ht="21" thickBot="1" x14ac:dyDescent="0.35">
      <c r="A47" s="78"/>
      <c r="B47" s="79"/>
      <c r="C47" s="79"/>
      <c r="D47" s="933" t="s">
        <v>10</v>
      </c>
      <c r="E47" s="934"/>
      <c r="F47" s="934"/>
      <c r="G47" s="934"/>
      <c r="H47" s="934"/>
      <c r="I47" s="935"/>
      <c r="J47" s="102">
        <f>ROUND(SUM(J8:J46),2)</f>
        <v>10</v>
      </c>
    </row>
    <row r="48" spans="1:13" ht="21" thickBot="1" x14ac:dyDescent="0.35">
      <c r="A48" s="78"/>
      <c r="B48" s="79"/>
      <c r="C48" s="79"/>
      <c r="D48" s="933" t="s">
        <v>1127</v>
      </c>
      <c r="E48" s="934"/>
      <c r="F48" s="934"/>
      <c r="G48" s="934"/>
      <c r="H48" s="934"/>
      <c r="I48" s="935"/>
      <c r="J48" s="103"/>
    </row>
    <row r="49" spans="1:10" ht="21" thickBot="1" x14ac:dyDescent="0.35">
      <c r="A49" s="78"/>
      <c r="B49" s="79"/>
      <c r="C49" s="101"/>
      <c r="D49" s="933" t="s">
        <v>1128</v>
      </c>
      <c r="E49" s="934"/>
      <c r="F49" s="934"/>
      <c r="G49" s="934"/>
      <c r="H49" s="934"/>
      <c r="I49" s="935"/>
      <c r="J49" s="104">
        <f>+J47-J48</f>
        <v>10</v>
      </c>
    </row>
    <row r="50" spans="1:10" ht="21" thickBot="1" x14ac:dyDescent="0.35">
      <c r="A50" s="936" t="s">
        <v>1129</v>
      </c>
      <c r="B50" s="937"/>
      <c r="C50" s="938"/>
      <c r="D50" s="939" t="s">
        <v>1130</v>
      </c>
      <c r="E50" s="940"/>
      <c r="F50" s="940"/>
      <c r="G50" s="940"/>
      <c r="H50" s="940"/>
      <c r="I50" s="940"/>
      <c r="J50" s="941"/>
    </row>
    <row r="51" spans="1:10" ht="38.25" customHeight="1" thickBot="1" x14ac:dyDescent="0.35">
      <c r="A51" s="942" t="str">
        <f>PPTO!G3</f>
        <v>JUNIO DE 2026</v>
      </c>
      <c r="B51" s="943"/>
      <c r="C51" s="944"/>
      <c r="D51" s="921"/>
      <c r="E51" s="922"/>
      <c r="F51" s="922"/>
      <c r="G51" s="922"/>
      <c r="H51" s="922"/>
      <c r="I51" s="922"/>
      <c r="J51" s="923"/>
    </row>
    <row r="52" spans="1:10" ht="19.5" thickBot="1" x14ac:dyDescent="0.35">
      <c r="A52" s="918"/>
      <c r="B52" s="919"/>
      <c r="C52" s="920"/>
      <c r="D52" s="921" t="s">
        <v>1131</v>
      </c>
      <c r="E52" s="922"/>
      <c r="F52" s="922"/>
      <c r="G52" s="922"/>
      <c r="H52" s="922"/>
      <c r="I52" s="922"/>
      <c r="J52" s="923"/>
    </row>
  </sheetData>
  <mergeCells count="19">
    <mergeCell ref="A2:J2"/>
    <mergeCell ref="A3:J3"/>
    <mergeCell ref="A4:J4"/>
    <mergeCell ref="C5:D5"/>
    <mergeCell ref="G5:H5"/>
    <mergeCell ref="I5:J5"/>
    <mergeCell ref="A52:C52"/>
    <mergeCell ref="D52:J52"/>
    <mergeCell ref="D6:D7"/>
    <mergeCell ref="E6:G6"/>
    <mergeCell ref="I6:I7"/>
    <mergeCell ref="J6:J7"/>
    <mergeCell ref="D47:I47"/>
    <mergeCell ref="D48:I48"/>
    <mergeCell ref="D49:I49"/>
    <mergeCell ref="A50:C50"/>
    <mergeCell ref="D50:J50"/>
    <mergeCell ref="A51:C51"/>
    <mergeCell ref="D51:J51"/>
  </mergeCells>
  <conditionalFormatting sqref="J8:J46">
    <cfRule type="cellIs" dxfId="25" priority="1" operator="equal">
      <formula>0</formula>
    </cfRule>
  </conditionalFormatting>
  <pageMargins left="0.7" right="0.7" top="0.75" bottom="0.75" header="0.3" footer="0.3"/>
  <pageSetup scale="50" orientation="landscape" r:id="rId1"/>
  <drawing r:id="rId2"/>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4F708A-6B75-4B5B-B64D-38C27F834DA7}">
  <sheetPr>
    <tabColor rgb="FFD4ECBA"/>
    <pageSetUpPr fitToPage="1"/>
  </sheetPr>
  <dimension ref="A1:M52"/>
  <sheetViews>
    <sheetView showOutlineSymbols="0" view="pageBreakPreview" topLeftCell="A2" zoomScale="60" zoomScaleNormal="70" workbookViewId="0">
      <selection activeCell="J9" sqref="J9:J10"/>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05.75" customHeight="1" thickBot="1" x14ac:dyDescent="0.35">
      <c r="A5" s="72" t="s">
        <v>5</v>
      </c>
      <c r="B5" s="73">
        <v>7.4</v>
      </c>
      <c r="C5" s="913" t="str">
        <f>+VLOOKUP(B5,PPTO!B8:G94,2,FALSE)</f>
        <v>SUMINISTRO, TRANSPORTE  E INSTALACION de Tubería ALL D=4" en desagües primer piso incluye: excavación primer por metro lineal con pendiente, tubería, y accesorios.)</v>
      </c>
      <c r="D5" s="914"/>
      <c r="E5" s="72" t="s">
        <v>7</v>
      </c>
      <c r="F5" s="74" t="str">
        <f>+VLOOKUP(B5,PPTO!B8:G94,3,FALSE)</f>
        <v>ML</v>
      </c>
      <c r="G5" s="915" t="s">
        <v>1120</v>
      </c>
      <c r="H5" s="915"/>
      <c r="I5" s="916">
        <f>+VLOOKUP(B5,PPTO!B8:G94,5,FALSE)</f>
        <v>54390.288061080275</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8" x14ac:dyDescent="0.3">
      <c r="A8" s="78"/>
      <c r="B8" s="79"/>
      <c r="C8" s="79"/>
      <c r="D8" s="88"/>
      <c r="E8" s="89"/>
      <c r="F8" s="89"/>
      <c r="G8" s="89"/>
      <c r="H8" s="89"/>
      <c r="I8" s="90"/>
      <c r="J8" s="87"/>
    </row>
    <row r="9" spans="1:10" ht="18" x14ac:dyDescent="0.3">
      <c r="A9" s="78"/>
      <c r="B9" s="79"/>
      <c r="C9" s="79"/>
      <c r="D9" s="94" t="s">
        <v>1232</v>
      </c>
      <c r="E9" s="89"/>
      <c r="F9" s="89">
        <f>40.01+1.2+1.3+40.93</f>
        <v>83.44</v>
      </c>
      <c r="G9" s="89"/>
      <c r="H9" s="89"/>
      <c r="I9" s="93">
        <v>1</v>
      </c>
      <c r="J9" s="91">
        <f t="shared" ref="J9:J46" si="0">+PRODUCT(E9:I9)</f>
        <v>83.44</v>
      </c>
    </row>
    <row r="10" spans="1:10" ht="18" x14ac:dyDescent="0.3">
      <c r="A10" s="78"/>
      <c r="B10" s="79"/>
      <c r="C10" s="79"/>
      <c r="D10" s="94" t="s">
        <v>1233</v>
      </c>
      <c r="E10" s="89"/>
      <c r="F10" s="89">
        <v>3.2</v>
      </c>
      <c r="G10" s="89"/>
      <c r="H10" s="89"/>
      <c r="I10" s="93">
        <v>12</v>
      </c>
      <c r="J10" s="91">
        <f t="shared" si="0"/>
        <v>38.400000000000006</v>
      </c>
    </row>
    <row r="11" spans="1:10" ht="18" x14ac:dyDescent="0.3">
      <c r="A11" s="78"/>
      <c r="B11" s="79"/>
      <c r="C11" s="79"/>
      <c r="D11" s="94"/>
      <c r="E11" s="89"/>
      <c r="F11" s="89"/>
      <c r="G11" s="89"/>
      <c r="H11" s="89"/>
      <c r="I11" s="93"/>
      <c r="J11" s="91"/>
    </row>
    <row r="12" spans="1:10" ht="18" x14ac:dyDescent="0.3">
      <c r="A12" s="78"/>
      <c r="B12" s="79"/>
      <c r="C12" s="79"/>
      <c r="D12" s="94"/>
      <c r="E12" s="89"/>
      <c r="F12" s="89"/>
      <c r="G12" s="89"/>
      <c r="H12" s="89"/>
      <c r="I12" s="93"/>
      <c r="J12" s="91"/>
    </row>
    <row r="13" spans="1:10" ht="18" x14ac:dyDescent="0.3">
      <c r="A13" s="78"/>
      <c r="B13" s="79"/>
      <c r="C13" s="79"/>
      <c r="D13" s="94"/>
      <c r="E13" s="89"/>
      <c r="F13" s="89"/>
      <c r="G13" s="89"/>
      <c r="H13" s="89"/>
      <c r="I13" s="93"/>
      <c r="J13" s="91"/>
    </row>
    <row r="14" spans="1:10" ht="18" x14ac:dyDescent="0.3">
      <c r="A14" s="78"/>
      <c r="B14" s="79"/>
      <c r="C14" s="79"/>
      <c r="D14" s="94"/>
      <c r="E14" s="89"/>
      <c r="F14" s="89"/>
      <c r="G14" s="89"/>
      <c r="H14" s="89"/>
      <c r="I14" s="93"/>
      <c r="J14" s="91"/>
    </row>
    <row r="15" spans="1:10" ht="18" x14ac:dyDescent="0.3">
      <c r="A15" s="78"/>
      <c r="B15" s="79"/>
      <c r="C15" s="79"/>
      <c r="D15" s="94"/>
      <c r="E15" s="89"/>
      <c r="F15" s="89"/>
      <c r="G15" s="89"/>
      <c r="H15" s="89"/>
      <c r="I15" s="93"/>
      <c r="J15" s="91"/>
    </row>
    <row r="16" spans="1:10" ht="18" x14ac:dyDescent="0.3">
      <c r="A16" s="78"/>
      <c r="B16" s="79"/>
      <c r="C16" s="79"/>
      <c r="D16" s="94"/>
      <c r="E16" s="89"/>
      <c r="F16" s="89"/>
      <c r="G16" s="89"/>
      <c r="H16" s="89"/>
      <c r="I16" s="93"/>
      <c r="J16" s="91"/>
    </row>
    <row r="17" spans="1:10" ht="18" x14ac:dyDescent="0.3">
      <c r="A17" s="78"/>
      <c r="B17" s="79"/>
      <c r="C17" s="79"/>
      <c r="D17" s="94"/>
      <c r="E17" s="89"/>
      <c r="F17" s="89"/>
      <c r="G17" s="89"/>
      <c r="H17" s="89"/>
      <c r="I17" s="93"/>
      <c r="J17" s="91">
        <f t="shared" si="0"/>
        <v>0</v>
      </c>
    </row>
    <row r="18" spans="1:10" ht="18" x14ac:dyDescent="0.3">
      <c r="A18" s="78"/>
      <c r="B18" s="79"/>
      <c r="C18" s="79"/>
      <c r="D18" s="94"/>
      <c r="E18" s="89"/>
      <c r="F18" s="89"/>
      <c r="G18" s="89"/>
      <c r="H18" s="89"/>
      <c r="I18" s="93"/>
      <c r="J18" s="91">
        <f t="shared" si="0"/>
        <v>0</v>
      </c>
    </row>
    <row r="19" spans="1:10" ht="18" x14ac:dyDescent="0.3">
      <c r="A19" s="78"/>
      <c r="B19" s="79"/>
      <c r="C19" s="79"/>
      <c r="D19" s="95"/>
      <c r="E19" s="89"/>
      <c r="F19" s="89"/>
      <c r="G19" s="89"/>
      <c r="H19" s="89"/>
      <c r="I19" s="93"/>
      <c r="J19" s="91">
        <f t="shared" si="0"/>
        <v>0</v>
      </c>
    </row>
    <row r="20" spans="1:10" ht="18" x14ac:dyDescent="0.3">
      <c r="A20" s="78"/>
      <c r="B20" s="79"/>
      <c r="C20" s="79"/>
      <c r="D20" s="88"/>
      <c r="E20" s="89"/>
      <c r="F20" s="89"/>
      <c r="G20" s="89"/>
      <c r="H20" s="89"/>
      <c r="I20" s="90"/>
      <c r="J20" s="91">
        <f t="shared" si="0"/>
        <v>0</v>
      </c>
    </row>
    <row r="21" spans="1:10" ht="18" x14ac:dyDescent="0.3">
      <c r="A21" s="78"/>
      <c r="B21" s="79"/>
      <c r="C21" s="79"/>
      <c r="D21" s="88"/>
      <c r="E21" s="89"/>
      <c r="F21" s="89"/>
      <c r="G21" s="89"/>
      <c r="H21" s="89"/>
      <c r="I21" s="90"/>
      <c r="J21" s="91">
        <f t="shared" si="0"/>
        <v>0</v>
      </c>
    </row>
    <row r="22" spans="1:10" ht="18" x14ac:dyDescent="0.3">
      <c r="A22" s="78"/>
      <c r="B22" s="79"/>
      <c r="C22" s="79"/>
      <c r="D22" s="88"/>
      <c r="E22" s="89"/>
      <c r="F22" s="89"/>
      <c r="G22" s="89"/>
      <c r="H22" s="89"/>
      <c r="I22" s="90"/>
      <c r="J22" s="91">
        <f t="shared" si="0"/>
        <v>0</v>
      </c>
    </row>
    <row r="23" spans="1:10" ht="18" x14ac:dyDescent="0.3">
      <c r="A23" s="78"/>
      <c r="B23" s="79"/>
      <c r="C23" s="79"/>
      <c r="D23" s="94"/>
      <c r="E23" s="89"/>
      <c r="F23" s="89"/>
      <c r="G23" s="89"/>
      <c r="H23" s="89"/>
      <c r="I23" s="93"/>
      <c r="J23" s="91">
        <f t="shared" si="0"/>
        <v>0</v>
      </c>
    </row>
    <row r="24" spans="1:10" ht="18" x14ac:dyDescent="0.3">
      <c r="A24" s="78"/>
      <c r="B24" s="79"/>
      <c r="C24" s="79"/>
      <c r="D24" s="94"/>
      <c r="E24" s="89"/>
      <c r="F24" s="89"/>
      <c r="G24" s="89"/>
      <c r="H24" s="89"/>
      <c r="I24" s="93"/>
      <c r="J24" s="91">
        <f t="shared" si="0"/>
        <v>0</v>
      </c>
    </row>
    <row r="25" spans="1:10" ht="18" x14ac:dyDescent="0.3">
      <c r="A25" s="78"/>
      <c r="B25" s="79"/>
      <c r="C25" s="79"/>
      <c r="D25" s="94"/>
      <c r="E25" s="89"/>
      <c r="F25" s="89"/>
      <c r="G25" s="89"/>
      <c r="H25" s="89"/>
      <c r="I25" s="93"/>
      <c r="J25" s="91">
        <f t="shared" si="0"/>
        <v>0</v>
      </c>
    </row>
    <row r="26" spans="1:10" ht="18" x14ac:dyDescent="0.3">
      <c r="A26" s="78"/>
      <c r="B26" s="79"/>
      <c r="C26" s="79"/>
      <c r="D26" s="94"/>
      <c r="E26" s="89"/>
      <c r="F26" s="89"/>
      <c r="G26" s="89"/>
      <c r="H26" s="89"/>
      <c r="I26" s="93"/>
      <c r="J26" s="91">
        <f t="shared" si="0"/>
        <v>0</v>
      </c>
    </row>
    <row r="27" spans="1:10" ht="18" x14ac:dyDescent="0.3">
      <c r="A27" s="78"/>
      <c r="B27" s="79"/>
      <c r="C27" s="79"/>
      <c r="D27" s="94"/>
      <c r="E27" s="89"/>
      <c r="F27" s="89"/>
      <c r="G27" s="89"/>
      <c r="H27" s="89"/>
      <c r="I27" s="93"/>
      <c r="J27" s="91">
        <f t="shared" si="0"/>
        <v>0</v>
      </c>
    </row>
    <row r="28" spans="1:10" ht="18" x14ac:dyDescent="0.3">
      <c r="A28" s="78"/>
      <c r="B28" s="79"/>
      <c r="C28" s="79"/>
      <c r="D28" s="94"/>
      <c r="E28" s="89"/>
      <c r="F28" s="89"/>
      <c r="G28" s="89"/>
      <c r="H28" s="89"/>
      <c r="I28" s="93"/>
      <c r="J28" s="91">
        <f t="shared" si="0"/>
        <v>0</v>
      </c>
    </row>
    <row r="29" spans="1:10" ht="18" x14ac:dyDescent="0.3">
      <c r="A29" s="78"/>
      <c r="B29" s="79"/>
      <c r="C29" s="79"/>
      <c r="D29" s="94"/>
      <c r="E29" s="89"/>
      <c r="F29" s="89"/>
      <c r="G29" s="89"/>
      <c r="H29" s="89"/>
      <c r="I29" s="93"/>
      <c r="J29" s="91">
        <f t="shared" si="0"/>
        <v>0</v>
      </c>
    </row>
    <row r="30" spans="1:10" ht="18" x14ac:dyDescent="0.3">
      <c r="A30" s="78"/>
      <c r="B30" s="79"/>
      <c r="C30" s="79"/>
      <c r="D30" s="94"/>
      <c r="E30" s="89"/>
      <c r="F30" s="89"/>
      <c r="G30" s="89"/>
      <c r="H30" s="89"/>
      <c r="I30" s="93"/>
      <c r="J30" s="91">
        <f t="shared" si="0"/>
        <v>0</v>
      </c>
    </row>
    <row r="31" spans="1:10" ht="18" x14ac:dyDescent="0.3">
      <c r="A31" s="78"/>
      <c r="B31" s="79"/>
      <c r="C31" s="79"/>
      <c r="D31" s="94"/>
      <c r="E31" s="89"/>
      <c r="F31" s="89"/>
      <c r="G31" s="89"/>
      <c r="H31" s="89"/>
      <c r="I31" s="93"/>
      <c r="J31" s="91">
        <f t="shared" si="0"/>
        <v>0</v>
      </c>
    </row>
    <row r="32" spans="1:10" ht="18" x14ac:dyDescent="0.3">
      <c r="A32" s="78"/>
      <c r="B32" s="79"/>
      <c r="C32" s="79"/>
      <c r="D32" s="94"/>
      <c r="E32" s="89"/>
      <c r="F32" s="89"/>
      <c r="G32" s="89"/>
      <c r="H32" s="89"/>
      <c r="I32" s="93"/>
      <c r="J32" s="91">
        <f t="shared" si="0"/>
        <v>0</v>
      </c>
    </row>
    <row r="33" spans="1:13" ht="18" x14ac:dyDescent="0.3">
      <c r="A33" s="78"/>
      <c r="B33" s="79"/>
      <c r="C33" s="79"/>
      <c r="D33" s="94"/>
      <c r="E33" s="89"/>
      <c r="F33" s="89"/>
      <c r="G33" s="89"/>
      <c r="H33" s="89"/>
      <c r="I33" s="93"/>
      <c r="J33" s="91">
        <f t="shared" si="0"/>
        <v>0</v>
      </c>
    </row>
    <row r="34" spans="1:13" ht="18" x14ac:dyDescent="0.3">
      <c r="A34" s="78"/>
      <c r="B34" s="79"/>
      <c r="C34" s="79"/>
      <c r="D34" s="94"/>
      <c r="E34" s="89"/>
      <c r="F34" s="89"/>
      <c r="G34" s="89"/>
      <c r="H34" s="89"/>
      <c r="I34" s="93"/>
      <c r="J34" s="91">
        <f t="shared" si="0"/>
        <v>0</v>
      </c>
    </row>
    <row r="35" spans="1:13" ht="18" x14ac:dyDescent="0.3">
      <c r="A35" s="78"/>
      <c r="B35" s="79"/>
      <c r="C35" s="79"/>
      <c r="D35" s="94"/>
      <c r="E35" s="89"/>
      <c r="F35" s="89"/>
      <c r="G35" s="89"/>
      <c r="H35" s="89"/>
      <c r="I35" s="93"/>
      <c r="J35" s="91">
        <f t="shared" si="0"/>
        <v>0</v>
      </c>
    </row>
    <row r="36" spans="1:13" ht="18" x14ac:dyDescent="0.3">
      <c r="A36" s="78"/>
      <c r="B36" s="79"/>
      <c r="C36" s="79"/>
      <c r="D36" s="94"/>
      <c r="E36" s="89"/>
      <c r="F36" s="89"/>
      <c r="G36" s="89"/>
      <c r="H36" s="89"/>
      <c r="I36" s="93"/>
      <c r="J36" s="91">
        <f t="shared" si="0"/>
        <v>0</v>
      </c>
    </row>
    <row r="37" spans="1:13" ht="18" x14ac:dyDescent="0.3">
      <c r="A37" s="78"/>
      <c r="B37" s="79"/>
      <c r="C37" s="79"/>
      <c r="D37" s="94"/>
      <c r="E37" s="89"/>
      <c r="F37" s="89"/>
      <c r="G37" s="89"/>
      <c r="H37" s="89"/>
      <c r="I37" s="93"/>
      <c r="J37" s="91">
        <f t="shared" si="0"/>
        <v>0</v>
      </c>
    </row>
    <row r="38" spans="1:13" ht="18" x14ac:dyDescent="0.3">
      <c r="A38" s="78"/>
      <c r="B38" s="79"/>
      <c r="C38" s="79"/>
      <c r="D38" s="94"/>
      <c r="E38" s="89"/>
      <c r="F38" s="89"/>
      <c r="G38" s="89"/>
      <c r="H38" s="89"/>
      <c r="I38" s="93"/>
      <c r="J38" s="91">
        <f t="shared" si="0"/>
        <v>0</v>
      </c>
    </row>
    <row r="39" spans="1:13" ht="18" x14ac:dyDescent="0.3">
      <c r="A39" s="78"/>
      <c r="B39" s="79"/>
      <c r="C39" s="79"/>
      <c r="D39" s="94"/>
      <c r="E39" s="89"/>
      <c r="F39" s="89"/>
      <c r="G39" s="89"/>
      <c r="H39" s="89"/>
      <c r="I39" s="93"/>
      <c r="J39" s="91">
        <f t="shared" si="0"/>
        <v>0</v>
      </c>
    </row>
    <row r="40" spans="1:13" ht="18" x14ac:dyDescent="0.3">
      <c r="A40" s="78"/>
      <c r="B40" s="79"/>
      <c r="C40" s="79"/>
      <c r="D40" s="94"/>
      <c r="E40" s="89"/>
      <c r="F40" s="89"/>
      <c r="G40" s="92"/>
      <c r="H40" s="89"/>
      <c r="I40" s="93"/>
      <c r="J40" s="91"/>
    </row>
    <row r="41" spans="1:13" ht="18" x14ac:dyDescent="0.3">
      <c r="A41" s="78"/>
      <c r="B41" s="79"/>
      <c r="C41" s="79"/>
      <c r="D41" s="94"/>
      <c r="E41" s="89"/>
      <c r="F41" s="89"/>
      <c r="G41" s="92"/>
      <c r="H41" s="89"/>
      <c r="I41" s="93"/>
      <c r="J41" s="91"/>
    </row>
    <row r="42" spans="1:13" ht="18" x14ac:dyDescent="0.3">
      <c r="A42" s="78"/>
      <c r="B42" s="79"/>
      <c r="C42" s="79"/>
      <c r="D42" s="94"/>
      <c r="E42" s="89"/>
      <c r="F42" s="89"/>
      <c r="G42" s="92"/>
      <c r="H42" s="89"/>
      <c r="I42" s="93"/>
      <c r="J42" s="91"/>
    </row>
    <row r="43" spans="1:13" ht="18" x14ac:dyDescent="0.3">
      <c r="A43" s="78"/>
      <c r="B43" s="79"/>
      <c r="C43" s="79"/>
      <c r="D43" s="94"/>
      <c r="E43" s="89"/>
      <c r="F43" s="89"/>
      <c r="G43" s="92"/>
      <c r="H43" s="89"/>
      <c r="I43" s="93"/>
      <c r="J43" s="91"/>
    </row>
    <row r="44" spans="1:13" ht="18" x14ac:dyDescent="0.3">
      <c r="A44" s="78"/>
      <c r="B44" s="79"/>
      <c r="C44" s="79"/>
      <c r="D44" s="94"/>
      <c r="E44" s="89"/>
      <c r="F44" s="89"/>
      <c r="G44" s="92"/>
      <c r="H44" s="89"/>
      <c r="I44" s="93"/>
      <c r="J44" s="91"/>
    </row>
    <row r="45" spans="1:13" ht="18" x14ac:dyDescent="0.3">
      <c r="A45" s="78"/>
      <c r="B45" s="79"/>
      <c r="C45" s="79"/>
      <c r="D45" s="95"/>
      <c r="E45" s="89"/>
      <c r="F45" s="89"/>
      <c r="G45" s="92"/>
      <c r="H45" s="89"/>
      <c r="I45" s="93"/>
      <c r="J45" s="91">
        <f t="shared" si="0"/>
        <v>0</v>
      </c>
    </row>
    <row r="46" spans="1:13" ht="18.75" thickBot="1" x14ac:dyDescent="0.35">
      <c r="A46" s="78"/>
      <c r="B46" s="79"/>
      <c r="C46" s="79"/>
      <c r="D46" s="96"/>
      <c r="E46" s="97"/>
      <c r="F46" s="97"/>
      <c r="G46" s="98"/>
      <c r="H46" s="97"/>
      <c r="I46" s="99"/>
      <c r="J46" s="100">
        <f t="shared" si="0"/>
        <v>0</v>
      </c>
      <c r="M46" s="105">
        <f>J47/1.5</f>
        <v>81.226666666666674</v>
      </c>
    </row>
    <row r="47" spans="1:13" ht="21" thickBot="1" x14ac:dyDescent="0.35">
      <c r="A47" s="78"/>
      <c r="B47" s="79"/>
      <c r="C47" s="79"/>
      <c r="D47" s="933" t="s">
        <v>10</v>
      </c>
      <c r="E47" s="934"/>
      <c r="F47" s="934"/>
      <c r="G47" s="934"/>
      <c r="H47" s="934"/>
      <c r="I47" s="935"/>
      <c r="J47" s="102">
        <f>ROUND(SUM(J8:J46),2)</f>
        <v>121.84</v>
      </c>
    </row>
    <row r="48" spans="1:13" ht="21" thickBot="1" x14ac:dyDescent="0.35">
      <c r="A48" s="78"/>
      <c r="B48" s="79"/>
      <c r="C48" s="79"/>
      <c r="D48" s="933" t="s">
        <v>1127</v>
      </c>
      <c r="E48" s="934"/>
      <c r="F48" s="934"/>
      <c r="G48" s="934"/>
      <c r="H48" s="934"/>
      <c r="I48" s="935"/>
      <c r="J48" s="103"/>
    </row>
    <row r="49" spans="1:10" ht="21" thickBot="1" x14ac:dyDescent="0.35">
      <c r="A49" s="78"/>
      <c r="B49" s="79"/>
      <c r="C49" s="101"/>
      <c r="D49" s="933" t="s">
        <v>1128</v>
      </c>
      <c r="E49" s="934"/>
      <c r="F49" s="934"/>
      <c r="G49" s="934"/>
      <c r="H49" s="934"/>
      <c r="I49" s="935"/>
      <c r="J49" s="104">
        <f>+J47-J48</f>
        <v>121.84</v>
      </c>
    </row>
    <row r="50" spans="1:10" ht="21" thickBot="1" x14ac:dyDescent="0.35">
      <c r="A50" s="936" t="s">
        <v>1129</v>
      </c>
      <c r="B50" s="937"/>
      <c r="C50" s="938"/>
      <c r="D50" s="939" t="s">
        <v>1130</v>
      </c>
      <c r="E50" s="940"/>
      <c r="F50" s="940"/>
      <c r="G50" s="940"/>
      <c r="H50" s="940"/>
      <c r="I50" s="940"/>
      <c r="J50" s="941"/>
    </row>
    <row r="51" spans="1:10" ht="38.25" customHeight="1" thickBot="1" x14ac:dyDescent="0.35">
      <c r="A51" s="942" t="str">
        <f>PPTO!G3</f>
        <v>JUNIO DE 2026</v>
      </c>
      <c r="B51" s="943"/>
      <c r="C51" s="944"/>
      <c r="D51" s="921"/>
      <c r="E51" s="922"/>
      <c r="F51" s="922"/>
      <c r="G51" s="922"/>
      <c r="H51" s="922"/>
      <c r="I51" s="922"/>
      <c r="J51" s="923"/>
    </row>
    <row r="52" spans="1:10" ht="19.5" thickBot="1" x14ac:dyDescent="0.35">
      <c r="A52" s="918"/>
      <c r="B52" s="919"/>
      <c r="C52" s="920"/>
      <c r="D52" s="921" t="s">
        <v>1131</v>
      </c>
      <c r="E52" s="922"/>
      <c r="F52" s="922"/>
      <c r="G52" s="922"/>
      <c r="H52" s="922"/>
      <c r="I52" s="922"/>
      <c r="J52" s="923"/>
    </row>
  </sheetData>
  <mergeCells count="19">
    <mergeCell ref="A2:J2"/>
    <mergeCell ref="A3:J3"/>
    <mergeCell ref="A4:J4"/>
    <mergeCell ref="C5:D5"/>
    <mergeCell ref="G5:H5"/>
    <mergeCell ref="I5:J5"/>
    <mergeCell ref="A52:C52"/>
    <mergeCell ref="D52:J52"/>
    <mergeCell ref="D6:D7"/>
    <mergeCell ref="E6:G6"/>
    <mergeCell ref="I6:I7"/>
    <mergeCell ref="J6:J7"/>
    <mergeCell ref="D47:I47"/>
    <mergeCell ref="D48:I48"/>
    <mergeCell ref="D49:I49"/>
    <mergeCell ref="A50:C50"/>
    <mergeCell ref="D50:J50"/>
    <mergeCell ref="A51:C51"/>
    <mergeCell ref="D51:J51"/>
  </mergeCells>
  <conditionalFormatting sqref="J8:J46">
    <cfRule type="cellIs" dxfId="24" priority="1" operator="equal">
      <formula>0</formula>
    </cfRule>
  </conditionalFormatting>
  <pageMargins left="0.7" right="0.7" top="0.75" bottom="0.75" header="0.3" footer="0.3"/>
  <pageSetup scale="50" orientation="landscape" r:id="rId1"/>
  <drawing r:id="rId2"/>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C3A36B-EFBB-4C03-B122-DF5807C63D4F}">
  <sheetPr>
    <tabColor rgb="FFD4ECBA"/>
    <pageSetUpPr fitToPage="1"/>
  </sheetPr>
  <dimension ref="A1:M52"/>
  <sheetViews>
    <sheetView showOutlineSymbols="0" view="pageBreakPreview" zoomScale="60" zoomScaleNormal="70" workbookViewId="0">
      <selection activeCell="D12" sqref="D12"/>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05.75" customHeight="1" thickBot="1" x14ac:dyDescent="0.35">
      <c r="A5" s="72" t="s">
        <v>5</v>
      </c>
      <c r="B5" s="73">
        <v>7.5</v>
      </c>
      <c r="C5" s="913" t="str">
        <f>+VLOOKUP(B5,PPTO!B8:G94,2,FALSE)</f>
        <v>SUMINISTRO, TRANSPORTE  E INSTALACION de Tubería ALL D=6" en desagües primer piso incluye: excavación por metro lineal con pendiente, tubería, y accesorios.)</v>
      </c>
      <c r="D5" s="914"/>
      <c r="E5" s="72" t="s">
        <v>7</v>
      </c>
      <c r="F5" s="74" t="str">
        <f>+VLOOKUP(B5,PPTO!B8:G94,3,FALSE)</f>
        <v>ML</v>
      </c>
      <c r="G5" s="915" t="s">
        <v>1120</v>
      </c>
      <c r="H5" s="915"/>
      <c r="I5" s="916">
        <f>+VLOOKUP(B5,PPTO!B8:G94,5,FALSE)</f>
        <v>95340.288061080268</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8" x14ac:dyDescent="0.3">
      <c r="A8" s="78"/>
      <c r="B8" s="79"/>
      <c r="C8" s="79"/>
      <c r="D8" s="88"/>
      <c r="E8" s="89"/>
      <c r="F8" s="89"/>
      <c r="G8" s="89"/>
      <c r="H8" s="89"/>
      <c r="I8" s="90"/>
      <c r="J8" s="87"/>
    </row>
    <row r="9" spans="1:10" ht="18" x14ac:dyDescent="0.3">
      <c r="A9" s="78"/>
      <c r="B9" s="79"/>
      <c r="C9" s="79"/>
      <c r="D9" s="94" t="s">
        <v>1234</v>
      </c>
      <c r="E9" s="89"/>
      <c r="F9" s="89"/>
      <c r="G9" s="89"/>
      <c r="H9" s="89"/>
      <c r="I9" s="89">
        <v>10.6</v>
      </c>
      <c r="J9" s="91">
        <f t="shared" ref="J9:J46" si="0">+PRODUCT(E9:I9)</f>
        <v>10.6</v>
      </c>
    </row>
    <row r="10" spans="1:10" ht="18" x14ac:dyDescent="0.3">
      <c r="A10" s="78"/>
      <c r="B10" s="79"/>
      <c r="C10" s="79"/>
      <c r="D10" s="94" t="s">
        <v>1235</v>
      </c>
      <c r="E10" s="89"/>
      <c r="F10" s="89"/>
      <c r="G10" s="89"/>
      <c r="H10" s="89"/>
      <c r="I10" s="89">
        <v>16.5</v>
      </c>
      <c r="J10" s="91">
        <f t="shared" si="0"/>
        <v>16.5</v>
      </c>
    </row>
    <row r="11" spans="1:10" ht="18" x14ac:dyDescent="0.3">
      <c r="A11" s="78"/>
      <c r="B11" s="79"/>
      <c r="C11" s="79"/>
      <c r="D11" s="94" t="s">
        <v>1236</v>
      </c>
      <c r="E11" s="89"/>
      <c r="F11" s="89"/>
      <c r="G11" s="89"/>
      <c r="H11" s="89"/>
      <c r="I11" s="89">
        <f>8.08*2</f>
        <v>16.16</v>
      </c>
      <c r="J11" s="91">
        <f t="shared" si="0"/>
        <v>16.16</v>
      </c>
    </row>
    <row r="12" spans="1:10" ht="18" x14ac:dyDescent="0.3">
      <c r="A12" s="78"/>
      <c r="B12" s="79"/>
      <c r="C12" s="79"/>
      <c r="D12" s="94"/>
      <c r="E12" s="89"/>
      <c r="F12" s="89"/>
      <c r="G12" s="89"/>
      <c r="H12" s="89"/>
      <c r="I12" s="93"/>
      <c r="J12" s="91">
        <f t="shared" si="0"/>
        <v>0</v>
      </c>
    </row>
    <row r="13" spans="1:10" ht="18" x14ac:dyDescent="0.3">
      <c r="A13" s="78"/>
      <c r="B13" s="79"/>
      <c r="C13" s="79"/>
      <c r="D13" s="94"/>
      <c r="E13" s="89"/>
      <c r="F13" s="89"/>
      <c r="G13" s="89"/>
      <c r="H13" s="89"/>
      <c r="I13" s="93"/>
      <c r="J13" s="91">
        <f t="shared" si="0"/>
        <v>0</v>
      </c>
    </row>
    <row r="14" spans="1:10" ht="18" x14ac:dyDescent="0.3">
      <c r="A14" s="78"/>
      <c r="B14" s="79"/>
      <c r="C14" s="79"/>
      <c r="D14" s="94"/>
      <c r="E14" s="89"/>
      <c r="F14" s="89"/>
      <c r="G14" s="89"/>
      <c r="H14" s="89"/>
      <c r="I14" s="93"/>
      <c r="J14" s="91">
        <f t="shared" si="0"/>
        <v>0</v>
      </c>
    </row>
    <row r="15" spans="1:10" ht="18" x14ac:dyDescent="0.3">
      <c r="A15" s="78"/>
      <c r="B15" s="79"/>
      <c r="C15" s="79"/>
      <c r="D15" s="94"/>
      <c r="E15" s="89"/>
      <c r="F15" s="89"/>
      <c r="G15" s="89"/>
      <c r="H15" s="89"/>
      <c r="I15" s="93"/>
      <c r="J15" s="91">
        <f t="shared" si="0"/>
        <v>0</v>
      </c>
    </row>
    <row r="16" spans="1:10" ht="18" x14ac:dyDescent="0.3">
      <c r="A16" s="78"/>
      <c r="B16" s="79"/>
      <c r="C16" s="79"/>
      <c r="D16" s="94"/>
      <c r="E16" s="89"/>
      <c r="F16" s="89"/>
      <c r="G16" s="89"/>
      <c r="H16" s="89"/>
      <c r="I16" s="93"/>
      <c r="J16" s="91">
        <f t="shared" si="0"/>
        <v>0</v>
      </c>
    </row>
    <row r="17" spans="1:10" ht="18" x14ac:dyDescent="0.3">
      <c r="A17" s="78"/>
      <c r="B17" s="79"/>
      <c r="C17" s="79"/>
      <c r="D17" s="94"/>
      <c r="E17" s="89"/>
      <c r="F17" s="89"/>
      <c r="G17" s="89"/>
      <c r="H17" s="89"/>
      <c r="I17" s="93"/>
      <c r="J17" s="91">
        <f t="shared" si="0"/>
        <v>0</v>
      </c>
    </row>
    <row r="18" spans="1:10" ht="18" x14ac:dyDescent="0.3">
      <c r="A18" s="78"/>
      <c r="B18" s="79"/>
      <c r="C18" s="79"/>
      <c r="D18" s="94"/>
      <c r="E18" s="89"/>
      <c r="F18" s="89"/>
      <c r="G18" s="89"/>
      <c r="H18" s="89"/>
      <c r="I18" s="93"/>
      <c r="J18" s="91">
        <f t="shared" si="0"/>
        <v>0</v>
      </c>
    </row>
    <row r="19" spans="1:10" ht="18" x14ac:dyDescent="0.3">
      <c r="A19" s="78"/>
      <c r="B19" s="79"/>
      <c r="C19" s="79"/>
      <c r="D19" s="95"/>
      <c r="E19" s="89"/>
      <c r="F19" s="89"/>
      <c r="G19" s="89"/>
      <c r="H19" s="89"/>
      <c r="I19" s="93"/>
      <c r="J19" s="91">
        <f t="shared" si="0"/>
        <v>0</v>
      </c>
    </row>
    <row r="20" spans="1:10" ht="18" x14ac:dyDescent="0.3">
      <c r="A20" s="78"/>
      <c r="B20" s="79"/>
      <c r="C20" s="79"/>
      <c r="D20" s="88"/>
      <c r="E20" s="89"/>
      <c r="F20" s="89"/>
      <c r="G20" s="89"/>
      <c r="H20" s="89"/>
      <c r="I20" s="90"/>
      <c r="J20" s="91">
        <f t="shared" si="0"/>
        <v>0</v>
      </c>
    </row>
    <row r="21" spans="1:10" ht="18" x14ac:dyDescent="0.3">
      <c r="A21" s="78"/>
      <c r="B21" s="79"/>
      <c r="C21" s="79"/>
      <c r="D21" s="88"/>
      <c r="E21" s="89"/>
      <c r="F21" s="89"/>
      <c r="G21" s="89"/>
      <c r="H21" s="89"/>
      <c r="I21" s="90"/>
      <c r="J21" s="91">
        <f t="shared" si="0"/>
        <v>0</v>
      </c>
    </row>
    <row r="22" spans="1:10" ht="18" x14ac:dyDescent="0.3">
      <c r="A22" s="78"/>
      <c r="B22" s="79"/>
      <c r="C22" s="79"/>
      <c r="D22" s="88"/>
      <c r="E22" s="89"/>
      <c r="F22" s="89"/>
      <c r="G22" s="89"/>
      <c r="H22" s="89"/>
      <c r="I22" s="90"/>
      <c r="J22" s="91">
        <f t="shared" si="0"/>
        <v>0</v>
      </c>
    </row>
    <row r="23" spans="1:10" ht="18" x14ac:dyDescent="0.3">
      <c r="A23" s="78"/>
      <c r="B23" s="79"/>
      <c r="C23" s="79"/>
      <c r="D23" s="94"/>
      <c r="E23" s="89"/>
      <c r="F23" s="89"/>
      <c r="G23" s="89"/>
      <c r="H23" s="89"/>
      <c r="I23" s="93"/>
      <c r="J23" s="91">
        <f t="shared" si="0"/>
        <v>0</v>
      </c>
    </row>
    <row r="24" spans="1:10" ht="18" x14ac:dyDescent="0.3">
      <c r="A24" s="78"/>
      <c r="B24" s="79"/>
      <c r="C24" s="79"/>
      <c r="D24" s="94"/>
      <c r="E24" s="89"/>
      <c r="F24" s="89"/>
      <c r="G24" s="89"/>
      <c r="H24" s="89"/>
      <c r="I24" s="93"/>
      <c r="J24" s="91">
        <f t="shared" si="0"/>
        <v>0</v>
      </c>
    </row>
    <row r="25" spans="1:10" ht="18" x14ac:dyDescent="0.3">
      <c r="A25" s="78"/>
      <c r="B25" s="79"/>
      <c r="C25" s="79"/>
      <c r="D25" s="94"/>
      <c r="E25" s="89"/>
      <c r="F25" s="89"/>
      <c r="G25" s="89"/>
      <c r="H25" s="89"/>
      <c r="I25" s="93"/>
      <c r="J25" s="91">
        <f t="shared" si="0"/>
        <v>0</v>
      </c>
    </row>
    <row r="26" spans="1:10" ht="18" x14ac:dyDescent="0.3">
      <c r="A26" s="78"/>
      <c r="B26" s="79"/>
      <c r="C26" s="79"/>
      <c r="D26" s="94"/>
      <c r="E26" s="89"/>
      <c r="F26" s="89"/>
      <c r="G26" s="89"/>
      <c r="H26" s="89"/>
      <c r="I26" s="93"/>
      <c r="J26" s="91">
        <f t="shared" si="0"/>
        <v>0</v>
      </c>
    </row>
    <row r="27" spans="1:10" ht="18" x14ac:dyDescent="0.3">
      <c r="A27" s="78"/>
      <c r="B27" s="79"/>
      <c r="C27" s="79"/>
      <c r="D27" s="94"/>
      <c r="E27" s="89"/>
      <c r="F27" s="89"/>
      <c r="G27" s="89"/>
      <c r="H27" s="89"/>
      <c r="I27" s="93"/>
      <c r="J27" s="91">
        <f t="shared" si="0"/>
        <v>0</v>
      </c>
    </row>
    <row r="28" spans="1:10" ht="18" x14ac:dyDescent="0.3">
      <c r="A28" s="78"/>
      <c r="B28" s="79"/>
      <c r="C28" s="79"/>
      <c r="D28" s="94"/>
      <c r="E28" s="89"/>
      <c r="F28" s="89"/>
      <c r="G28" s="89"/>
      <c r="H28" s="89"/>
      <c r="I28" s="93"/>
      <c r="J28" s="91">
        <f t="shared" si="0"/>
        <v>0</v>
      </c>
    </row>
    <row r="29" spans="1:10" ht="18" x14ac:dyDescent="0.3">
      <c r="A29" s="78"/>
      <c r="B29" s="79"/>
      <c r="C29" s="79"/>
      <c r="D29" s="94"/>
      <c r="E29" s="89"/>
      <c r="F29" s="89"/>
      <c r="G29" s="89"/>
      <c r="H29" s="89"/>
      <c r="I29" s="93"/>
      <c r="J29" s="91">
        <f t="shared" si="0"/>
        <v>0</v>
      </c>
    </row>
    <row r="30" spans="1:10" ht="18" x14ac:dyDescent="0.3">
      <c r="A30" s="78"/>
      <c r="B30" s="79"/>
      <c r="C30" s="79"/>
      <c r="D30" s="94"/>
      <c r="E30" s="89"/>
      <c r="F30" s="89"/>
      <c r="G30" s="89"/>
      <c r="H30" s="89"/>
      <c r="I30" s="93"/>
      <c r="J30" s="91">
        <f t="shared" si="0"/>
        <v>0</v>
      </c>
    </row>
    <row r="31" spans="1:10" ht="18" x14ac:dyDescent="0.3">
      <c r="A31" s="78"/>
      <c r="B31" s="79"/>
      <c r="C31" s="79"/>
      <c r="D31" s="94"/>
      <c r="E31" s="89"/>
      <c r="F31" s="89"/>
      <c r="G31" s="89"/>
      <c r="H31" s="89"/>
      <c r="I31" s="93"/>
      <c r="J31" s="91">
        <f t="shared" si="0"/>
        <v>0</v>
      </c>
    </row>
    <row r="32" spans="1:10" ht="18" x14ac:dyDescent="0.3">
      <c r="A32" s="78"/>
      <c r="B32" s="79"/>
      <c r="C32" s="79"/>
      <c r="D32" s="94"/>
      <c r="E32" s="89"/>
      <c r="F32" s="89"/>
      <c r="G32" s="89"/>
      <c r="H32" s="89"/>
      <c r="I32" s="93"/>
      <c r="J32" s="91">
        <f t="shared" si="0"/>
        <v>0</v>
      </c>
    </row>
    <row r="33" spans="1:13" ht="18" x14ac:dyDescent="0.3">
      <c r="A33" s="78"/>
      <c r="B33" s="79"/>
      <c r="C33" s="79"/>
      <c r="D33" s="94"/>
      <c r="E33" s="89"/>
      <c r="F33" s="89"/>
      <c r="G33" s="89"/>
      <c r="H33" s="89"/>
      <c r="I33" s="93"/>
      <c r="J33" s="91">
        <f t="shared" si="0"/>
        <v>0</v>
      </c>
    </row>
    <row r="34" spans="1:13" ht="18" x14ac:dyDescent="0.3">
      <c r="A34" s="78"/>
      <c r="B34" s="79"/>
      <c r="C34" s="79"/>
      <c r="D34" s="94"/>
      <c r="E34" s="89"/>
      <c r="F34" s="89"/>
      <c r="G34" s="89"/>
      <c r="H34" s="89"/>
      <c r="I34" s="93"/>
      <c r="J34" s="91">
        <f t="shared" si="0"/>
        <v>0</v>
      </c>
    </row>
    <row r="35" spans="1:13" ht="18" x14ac:dyDescent="0.3">
      <c r="A35" s="78"/>
      <c r="B35" s="79"/>
      <c r="C35" s="79"/>
      <c r="D35" s="94"/>
      <c r="E35" s="89"/>
      <c r="F35" s="89"/>
      <c r="G35" s="89"/>
      <c r="H35" s="89"/>
      <c r="I35" s="93"/>
      <c r="J35" s="91">
        <f t="shared" si="0"/>
        <v>0</v>
      </c>
    </row>
    <row r="36" spans="1:13" ht="18" x14ac:dyDescent="0.3">
      <c r="A36" s="78"/>
      <c r="B36" s="79"/>
      <c r="C36" s="79"/>
      <c r="D36" s="94"/>
      <c r="E36" s="89"/>
      <c r="F36" s="89"/>
      <c r="G36" s="89"/>
      <c r="H36" s="89"/>
      <c r="I36" s="93"/>
      <c r="J36" s="91">
        <f t="shared" si="0"/>
        <v>0</v>
      </c>
    </row>
    <row r="37" spans="1:13" ht="18" x14ac:dyDescent="0.3">
      <c r="A37" s="78"/>
      <c r="B37" s="79"/>
      <c r="C37" s="79"/>
      <c r="D37" s="94"/>
      <c r="E37" s="89"/>
      <c r="F37" s="89"/>
      <c r="G37" s="89"/>
      <c r="H37" s="89"/>
      <c r="I37" s="93"/>
      <c r="J37" s="91">
        <f t="shared" si="0"/>
        <v>0</v>
      </c>
    </row>
    <row r="38" spans="1:13" ht="18" x14ac:dyDescent="0.3">
      <c r="A38" s="78"/>
      <c r="B38" s="79"/>
      <c r="C38" s="79"/>
      <c r="D38" s="94"/>
      <c r="E38" s="89"/>
      <c r="F38" s="89"/>
      <c r="G38" s="89"/>
      <c r="H38" s="89"/>
      <c r="I38" s="93"/>
      <c r="J38" s="91">
        <f t="shared" si="0"/>
        <v>0</v>
      </c>
    </row>
    <row r="39" spans="1:13" ht="18" x14ac:dyDescent="0.3">
      <c r="A39" s="78"/>
      <c r="B39" s="79"/>
      <c r="C39" s="79"/>
      <c r="D39" s="94"/>
      <c r="E39" s="89"/>
      <c r="F39" s="89"/>
      <c r="G39" s="89"/>
      <c r="H39" s="89"/>
      <c r="I39" s="93"/>
      <c r="J39" s="91">
        <f t="shared" si="0"/>
        <v>0</v>
      </c>
    </row>
    <row r="40" spans="1:13" ht="18" x14ac:dyDescent="0.3">
      <c r="A40" s="78"/>
      <c r="B40" s="79"/>
      <c r="C40" s="79"/>
      <c r="D40" s="94"/>
      <c r="E40" s="89"/>
      <c r="F40" s="89"/>
      <c r="G40" s="92"/>
      <c r="H40" s="89"/>
      <c r="I40" s="93"/>
      <c r="J40" s="91"/>
    </row>
    <row r="41" spans="1:13" ht="18" x14ac:dyDescent="0.3">
      <c r="A41" s="78"/>
      <c r="B41" s="79"/>
      <c r="C41" s="79"/>
      <c r="D41" s="94"/>
      <c r="E41" s="89"/>
      <c r="F41" s="89"/>
      <c r="G41" s="92"/>
      <c r="H41" s="89"/>
      <c r="I41" s="93"/>
      <c r="J41" s="91"/>
    </row>
    <row r="42" spans="1:13" ht="18" x14ac:dyDescent="0.3">
      <c r="A42" s="78"/>
      <c r="B42" s="79"/>
      <c r="C42" s="79"/>
      <c r="D42" s="94"/>
      <c r="E42" s="89"/>
      <c r="F42" s="89"/>
      <c r="G42" s="92"/>
      <c r="H42" s="89"/>
      <c r="I42" s="93"/>
      <c r="J42" s="91"/>
    </row>
    <row r="43" spans="1:13" ht="18" x14ac:dyDescent="0.3">
      <c r="A43" s="78"/>
      <c r="B43" s="79"/>
      <c r="C43" s="79"/>
      <c r="D43" s="94"/>
      <c r="E43" s="89"/>
      <c r="F43" s="89"/>
      <c r="G43" s="92"/>
      <c r="H43" s="89"/>
      <c r="I43" s="93"/>
      <c r="J43" s="91"/>
    </row>
    <row r="44" spans="1:13" ht="18" x14ac:dyDescent="0.3">
      <c r="A44" s="78"/>
      <c r="B44" s="79"/>
      <c r="C44" s="79"/>
      <c r="D44" s="94"/>
      <c r="E44" s="89"/>
      <c r="F44" s="89"/>
      <c r="G44" s="92"/>
      <c r="H44" s="89"/>
      <c r="I44" s="93"/>
      <c r="J44" s="91"/>
    </row>
    <row r="45" spans="1:13" ht="18" x14ac:dyDescent="0.3">
      <c r="A45" s="78"/>
      <c r="B45" s="79"/>
      <c r="C45" s="79"/>
      <c r="D45" s="95"/>
      <c r="E45" s="89"/>
      <c r="F45" s="89"/>
      <c r="G45" s="92"/>
      <c r="H45" s="89"/>
      <c r="I45" s="93"/>
      <c r="J45" s="91">
        <f t="shared" si="0"/>
        <v>0</v>
      </c>
    </row>
    <row r="46" spans="1:13" ht="18.75" thickBot="1" x14ac:dyDescent="0.35">
      <c r="A46" s="78"/>
      <c r="B46" s="79"/>
      <c r="C46" s="79"/>
      <c r="D46" s="96"/>
      <c r="E46" s="97"/>
      <c r="F46" s="97"/>
      <c r="G46" s="98"/>
      <c r="H46" s="97"/>
      <c r="I46" s="99"/>
      <c r="J46" s="100">
        <f t="shared" si="0"/>
        <v>0</v>
      </c>
      <c r="M46" s="105">
        <f>J47/1.5</f>
        <v>28.84</v>
      </c>
    </row>
    <row r="47" spans="1:13" ht="21" thickBot="1" x14ac:dyDescent="0.35">
      <c r="A47" s="78"/>
      <c r="B47" s="79"/>
      <c r="C47" s="79"/>
      <c r="D47" s="933" t="s">
        <v>10</v>
      </c>
      <c r="E47" s="934"/>
      <c r="F47" s="934"/>
      <c r="G47" s="934"/>
      <c r="H47" s="934"/>
      <c r="I47" s="935"/>
      <c r="J47" s="102">
        <f>ROUND(SUM(J8:J46),2)</f>
        <v>43.26</v>
      </c>
    </row>
    <row r="48" spans="1:13" ht="21" thickBot="1" x14ac:dyDescent="0.35">
      <c r="A48" s="78"/>
      <c r="B48" s="79"/>
      <c r="C48" s="79"/>
      <c r="D48" s="933" t="s">
        <v>1127</v>
      </c>
      <c r="E48" s="934"/>
      <c r="F48" s="934"/>
      <c r="G48" s="934"/>
      <c r="H48" s="934"/>
      <c r="I48" s="935"/>
      <c r="J48" s="103"/>
    </row>
    <row r="49" spans="1:10" ht="21" thickBot="1" x14ac:dyDescent="0.35">
      <c r="A49" s="78"/>
      <c r="B49" s="79"/>
      <c r="C49" s="101"/>
      <c r="D49" s="933" t="s">
        <v>1128</v>
      </c>
      <c r="E49" s="934"/>
      <c r="F49" s="934"/>
      <c r="G49" s="934"/>
      <c r="H49" s="934"/>
      <c r="I49" s="935"/>
      <c r="J49" s="104">
        <f>+J47-J48</f>
        <v>43.26</v>
      </c>
    </row>
    <row r="50" spans="1:10" ht="21" thickBot="1" x14ac:dyDescent="0.35">
      <c r="A50" s="936" t="s">
        <v>1129</v>
      </c>
      <c r="B50" s="937"/>
      <c r="C50" s="938"/>
      <c r="D50" s="939" t="s">
        <v>1130</v>
      </c>
      <c r="E50" s="940"/>
      <c r="F50" s="940"/>
      <c r="G50" s="940"/>
      <c r="H50" s="940"/>
      <c r="I50" s="940"/>
      <c r="J50" s="941"/>
    </row>
    <row r="51" spans="1:10" ht="38.25" customHeight="1" thickBot="1" x14ac:dyDescent="0.35">
      <c r="A51" s="942" t="str">
        <f>PPTO!G3</f>
        <v>JUNIO DE 2026</v>
      </c>
      <c r="B51" s="943"/>
      <c r="C51" s="944"/>
      <c r="D51" s="921"/>
      <c r="E51" s="922"/>
      <c r="F51" s="922"/>
      <c r="G51" s="922"/>
      <c r="H51" s="922"/>
      <c r="I51" s="922"/>
      <c r="J51" s="923"/>
    </row>
    <row r="52" spans="1:10" ht="19.5" thickBot="1" x14ac:dyDescent="0.35">
      <c r="A52" s="918"/>
      <c r="B52" s="919"/>
      <c r="C52" s="920"/>
      <c r="D52" s="921" t="s">
        <v>1131</v>
      </c>
      <c r="E52" s="922"/>
      <c r="F52" s="922"/>
      <c r="G52" s="922"/>
      <c r="H52" s="922"/>
      <c r="I52" s="922"/>
      <c r="J52" s="923"/>
    </row>
  </sheetData>
  <mergeCells count="19">
    <mergeCell ref="A2:J2"/>
    <mergeCell ref="A3:J3"/>
    <mergeCell ref="A4:J4"/>
    <mergeCell ref="C5:D5"/>
    <mergeCell ref="G5:H5"/>
    <mergeCell ref="I5:J5"/>
    <mergeCell ref="A52:C52"/>
    <mergeCell ref="D52:J52"/>
    <mergeCell ref="D6:D7"/>
    <mergeCell ref="E6:G6"/>
    <mergeCell ref="I6:I7"/>
    <mergeCell ref="J6:J7"/>
    <mergeCell ref="D47:I47"/>
    <mergeCell ref="D48:I48"/>
    <mergeCell ref="D49:I49"/>
    <mergeCell ref="A50:C50"/>
    <mergeCell ref="D50:J50"/>
    <mergeCell ref="A51:C51"/>
    <mergeCell ref="D51:J51"/>
  </mergeCells>
  <conditionalFormatting sqref="J8:J46">
    <cfRule type="cellIs" dxfId="23" priority="1" operator="equal">
      <formula>0</formula>
    </cfRule>
  </conditionalFormatting>
  <pageMargins left="0.7" right="0.7" top="0.75" bottom="0.75" header="0.3" footer="0.3"/>
  <pageSetup scale="50" orientation="landscape" r:id="rId1"/>
  <drawing r:id="rId2"/>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BBF6C3-8A55-427D-B173-49D91CF11494}">
  <sheetPr>
    <tabColor rgb="FFD4ECBA"/>
    <pageSetUpPr fitToPage="1"/>
  </sheetPr>
  <dimension ref="A1:M52"/>
  <sheetViews>
    <sheetView showOutlineSymbols="0" view="pageBreakPreview" topLeftCell="A20" zoomScale="60" zoomScaleNormal="70" workbookViewId="0">
      <selection activeCell="I10" sqref="I10"/>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05.75" customHeight="1" thickBot="1" x14ac:dyDescent="0.35">
      <c r="A5" s="72" t="s">
        <v>5</v>
      </c>
      <c r="B5" s="73">
        <v>7.6</v>
      </c>
      <c r="C5" s="913" t="str">
        <f>+VLOOKUP(B5,PPTO!B8:G94,2,FALSE)</f>
        <v>SUMINISTRO, TRANSPORTE  E INSTALACION de Tubería PVC 4" en desagües primer piso incluye: excavación por metro lineal con pendiente, tubería, y accesorios.)</v>
      </c>
      <c r="D5" s="914"/>
      <c r="E5" s="72" t="s">
        <v>7</v>
      </c>
      <c r="F5" s="74" t="str">
        <f>+VLOOKUP(B5,PPTO!B8:G94,3,FALSE)</f>
        <v>ML</v>
      </c>
      <c r="G5" s="915" t="s">
        <v>1120</v>
      </c>
      <c r="H5" s="915"/>
      <c r="I5" s="916">
        <f>+VLOOKUP(B5,PPTO!B8:G94,5,FALSE)</f>
        <v>54390.288061080275</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8" x14ac:dyDescent="0.3">
      <c r="A8" s="78"/>
      <c r="B8" s="79"/>
      <c r="C8" s="79"/>
      <c r="D8" s="88"/>
      <c r="E8" s="89"/>
      <c r="F8" s="89"/>
      <c r="G8" s="89"/>
      <c r="H8" s="89"/>
      <c r="I8" s="90"/>
      <c r="J8" s="87"/>
    </row>
    <row r="9" spans="1:10" ht="18" x14ac:dyDescent="0.3">
      <c r="A9" s="78"/>
      <c r="B9" s="79"/>
      <c r="C9" s="79"/>
      <c r="D9" s="94" t="s">
        <v>1234</v>
      </c>
      <c r="E9" s="89"/>
      <c r="F9" s="89"/>
      <c r="G9" s="89"/>
      <c r="H9" s="89"/>
      <c r="I9" s="89">
        <f>31.85+7.38+3.19</f>
        <v>42.42</v>
      </c>
      <c r="J9" s="91">
        <f t="shared" ref="J9:J46" si="0">+PRODUCT(E9:I9)</f>
        <v>42.42</v>
      </c>
    </row>
    <row r="10" spans="1:10" ht="18" x14ac:dyDescent="0.3">
      <c r="A10" s="78"/>
      <c r="B10" s="79"/>
      <c r="C10" s="79"/>
      <c r="D10" s="94" t="s">
        <v>1235</v>
      </c>
      <c r="E10" s="89"/>
      <c r="F10" s="89"/>
      <c r="G10" s="89"/>
      <c r="H10" s="89"/>
      <c r="I10" s="89">
        <f>8.84+31.43+4.62+3.2+5.32</f>
        <v>53.41</v>
      </c>
      <c r="J10" s="91">
        <f t="shared" si="0"/>
        <v>53.41</v>
      </c>
    </row>
    <row r="11" spans="1:10" ht="18" x14ac:dyDescent="0.3">
      <c r="A11" s="78"/>
      <c r="B11" s="79"/>
      <c r="C11" s="79"/>
      <c r="D11" s="94"/>
      <c r="E11" s="89"/>
      <c r="F11" s="89"/>
      <c r="G11" s="89"/>
      <c r="H11" s="89"/>
      <c r="I11" s="93"/>
      <c r="J11" s="91">
        <f t="shared" si="0"/>
        <v>0</v>
      </c>
    </row>
    <row r="12" spans="1:10" ht="18" x14ac:dyDescent="0.3">
      <c r="A12" s="78"/>
      <c r="B12" s="79"/>
      <c r="C12" s="79"/>
      <c r="D12" s="94"/>
      <c r="E12" s="89"/>
      <c r="F12" s="89"/>
      <c r="G12" s="89"/>
      <c r="H12" s="89"/>
      <c r="I12" s="93"/>
      <c r="J12" s="91">
        <f t="shared" si="0"/>
        <v>0</v>
      </c>
    </row>
    <row r="13" spans="1:10" ht="18" x14ac:dyDescent="0.3">
      <c r="A13" s="78"/>
      <c r="B13" s="79"/>
      <c r="C13" s="79"/>
      <c r="D13" s="94"/>
      <c r="E13" s="89"/>
      <c r="F13" s="89"/>
      <c r="G13" s="89"/>
      <c r="H13" s="89"/>
      <c r="I13" s="93"/>
      <c r="J13" s="91">
        <f t="shared" si="0"/>
        <v>0</v>
      </c>
    </row>
    <row r="14" spans="1:10" ht="18" x14ac:dyDescent="0.3">
      <c r="A14" s="78"/>
      <c r="B14" s="79"/>
      <c r="C14" s="79"/>
      <c r="D14" s="94"/>
      <c r="E14" s="89"/>
      <c r="F14" s="89"/>
      <c r="G14" s="89"/>
      <c r="H14" s="89"/>
      <c r="I14" s="93"/>
      <c r="J14" s="91">
        <f t="shared" si="0"/>
        <v>0</v>
      </c>
    </row>
    <row r="15" spans="1:10" ht="18" x14ac:dyDescent="0.3">
      <c r="A15" s="78"/>
      <c r="B15" s="79"/>
      <c r="C15" s="79"/>
      <c r="D15" s="94"/>
      <c r="E15" s="89"/>
      <c r="F15" s="89"/>
      <c r="G15" s="89"/>
      <c r="H15" s="89"/>
      <c r="I15" s="93"/>
      <c r="J15" s="91">
        <f t="shared" si="0"/>
        <v>0</v>
      </c>
    </row>
    <row r="16" spans="1:10" ht="18" x14ac:dyDescent="0.3">
      <c r="A16" s="78"/>
      <c r="B16" s="79"/>
      <c r="C16" s="79"/>
      <c r="D16" s="94"/>
      <c r="E16" s="89"/>
      <c r="F16" s="89"/>
      <c r="G16" s="89"/>
      <c r="H16" s="89"/>
      <c r="I16" s="93"/>
      <c r="J16" s="91">
        <f t="shared" si="0"/>
        <v>0</v>
      </c>
    </row>
    <row r="17" spans="1:10" ht="18" x14ac:dyDescent="0.3">
      <c r="A17" s="78"/>
      <c r="B17" s="79"/>
      <c r="C17" s="79"/>
      <c r="D17" s="94"/>
      <c r="E17" s="89"/>
      <c r="F17" s="89"/>
      <c r="G17" s="89"/>
      <c r="H17" s="89"/>
      <c r="I17" s="93"/>
      <c r="J17" s="91">
        <f t="shared" si="0"/>
        <v>0</v>
      </c>
    </row>
    <row r="18" spans="1:10" ht="18" x14ac:dyDescent="0.3">
      <c r="A18" s="78"/>
      <c r="B18" s="79"/>
      <c r="C18" s="79"/>
      <c r="D18" s="94"/>
      <c r="E18" s="89"/>
      <c r="F18" s="89"/>
      <c r="G18" s="89"/>
      <c r="H18" s="89"/>
      <c r="I18" s="93"/>
      <c r="J18" s="91">
        <f t="shared" si="0"/>
        <v>0</v>
      </c>
    </row>
    <row r="19" spans="1:10" ht="18" x14ac:dyDescent="0.3">
      <c r="A19" s="78"/>
      <c r="B19" s="79"/>
      <c r="C19" s="79"/>
      <c r="D19" s="95"/>
      <c r="E19" s="89"/>
      <c r="F19" s="89"/>
      <c r="G19" s="89"/>
      <c r="H19" s="89"/>
      <c r="I19" s="93"/>
      <c r="J19" s="91">
        <f t="shared" si="0"/>
        <v>0</v>
      </c>
    </row>
    <row r="20" spans="1:10" ht="18" x14ac:dyDescent="0.3">
      <c r="A20" s="78"/>
      <c r="B20" s="79"/>
      <c r="C20" s="79"/>
      <c r="D20" s="88"/>
      <c r="E20" s="89"/>
      <c r="F20" s="89"/>
      <c r="G20" s="89"/>
      <c r="H20" s="89"/>
      <c r="I20" s="90"/>
      <c r="J20" s="91">
        <f t="shared" si="0"/>
        <v>0</v>
      </c>
    </row>
    <row r="21" spans="1:10" ht="18" x14ac:dyDescent="0.3">
      <c r="A21" s="78"/>
      <c r="B21" s="79"/>
      <c r="C21" s="79"/>
      <c r="D21" s="88"/>
      <c r="E21" s="89"/>
      <c r="F21" s="89"/>
      <c r="G21" s="89"/>
      <c r="H21" s="89"/>
      <c r="I21" s="90"/>
      <c r="J21" s="91">
        <f t="shared" si="0"/>
        <v>0</v>
      </c>
    </row>
    <row r="22" spans="1:10" ht="18" x14ac:dyDescent="0.3">
      <c r="A22" s="78"/>
      <c r="B22" s="79"/>
      <c r="C22" s="79"/>
      <c r="D22" s="88"/>
      <c r="E22" s="89"/>
      <c r="F22" s="89"/>
      <c r="G22" s="89"/>
      <c r="H22" s="89"/>
      <c r="I22" s="90"/>
      <c r="J22" s="91">
        <f t="shared" si="0"/>
        <v>0</v>
      </c>
    </row>
    <row r="23" spans="1:10" ht="18" x14ac:dyDescent="0.3">
      <c r="A23" s="78"/>
      <c r="B23" s="79"/>
      <c r="C23" s="79"/>
      <c r="D23" s="94"/>
      <c r="E23" s="89"/>
      <c r="F23" s="89"/>
      <c r="G23" s="89"/>
      <c r="H23" s="89"/>
      <c r="I23" s="93"/>
      <c r="J23" s="91">
        <f t="shared" si="0"/>
        <v>0</v>
      </c>
    </row>
    <row r="24" spans="1:10" ht="18" x14ac:dyDescent="0.3">
      <c r="A24" s="78"/>
      <c r="B24" s="79"/>
      <c r="C24" s="79"/>
      <c r="D24" s="94"/>
      <c r="E24" s="89"/>
      <c r="F24" s="89"/>
      <c r="G24" s="89"/>
      <c r="H24" s="89"/>
      <c r="I24" s="93"/>
      <c r="J24" s="91">
        <f t="shared" si="0"/>
        <v>0</v>
      </c>
    </row>
    <row r="25" spans="1:10" ht="18" x14ac:dyDescent="0.3">
      <c r="A25" s="78"/>
      <c r="B25" s="79"/>
      <c r="C25" s="79"/>
      <c r="D25" s="94"/>
      <c r="E25" s="89"/>
      <c r="F25" s="89"/>
      <c r="G25" s="89"/>
      <c r="H25" s="89"/>
      <c r="I25" s="93"/>
      <c r="J25" s="91">
        <f t="shared" si="0"/>
        <v>0</v>
      </c>
    </row>
    <row r="26" spans="1:10" ht="18" x14ac:dyDescent="0.3">
      <c r="A26" s="78"/>
      <c r="B26" s="79"/>
      <c r="C26" s="79"/>
      <c r="D26" s="94"/>
      <c r="E26" s="89"/>
      <c r="F26" s="89"/>
      <c r="G26" s="89"/>
      <c r="H26" s="89"/>
      <c r="I26" s="93"/>
      <c r="J26" s="91">
        <f t="shared" si="0"/>
        <v>0</v>
      </c>
    </row>
    <row r="27" spans="1:10" ht="18" x14ac:dyDescent="0.3">
      <c r="A27" s="78"/>
      <c r="B27" s="79"/>
      <c r="C27" s="79"/>
      <c r="D27" s="94"/>
      <c r="E27" s="89"/>
      <c r="F27" s="89"/>
      <c r="G27" s="89"/>
      <c r="H27" s="89"/>
      <c r="I27" s="93"/>
      <c r="J27" s="91">
        <f t="shared" si="0"/>
        <v>0</v>
      </c>
    </row>
    <row r="28" spans="1:10" ht="18" x14ac:dyDescent="0.3">
      <c r="A28" s="78"/>
      <c r="B28" s="79"/>
      <c r="C28" s="79"/>
      <c r="D28" s="94"/>
      <c r="E28" s="89"/>
      <c r="F28" s="89"/>
      <c r="G28" s="89"/>
      <c r="H28" s="89"/>
      <c r="I28" s="93"/>
      <c r="J28" s="91">
        <f t="shared" si="0"/>
        <v>0</v>
      </c>
    </row>
    <row r="29" spans="1:10" ht="18" x14ac:dyDescent="0.3">
      <c r="A29" s="78"/>
      <c r="B29" s="79"/>
      <c r="C29" s="79"/>
      <c r="D29" s="94"/>
      <c r="E29" s="89"/>
      <c r="F29" s="89"/>
      <c r="G29" s="89"/>
      <c r="H29" s="89"/>
      <c r="I29" s="93"/>
      <c r="J29" s="91">
        <f t="shared" si="0"/>
        <v>0</v>
      </c>
    </row>
    <row r="30" spans="1:10" ht="18" x14ac:dyDescent="0.3">
      <c r="A30" s="78"/>
      <c r="B30" s="79"/>
      <c r="C30" s="79"/>
      <c r="D30" s="94"/>
      <c r="E30" s="89"/>
      <c r="F30" s="89"/>
      <c r="G30" s="89"/>
      <c r="H30" s="89"/>
      <c r="I30" s="93"/>
      <c r="J30" s="91">
        <f t="shared" si="0"/>
        <v>0</v>
      </c>
    </row>
    <row r="31" spans="1:10" ht="18" x14ac:dyDescent="0.3">
      <c r="A31" s="78"/>
      <c r="B31" s="79"/>
      <c r="C31" s="79"/>
      <c r="D31" s="94"/>
      <c r="E31" s="89"/>
      <c r="F31" s="89"/>
      <c r="G31" s="89"/>
      <c r="H31" s="89"/>
      <c r="I31" s="93"/>
      <c r="J31" s="91">
        <f t="shared" si="0"/>
        <v>0</v>
      </c>
    </row>
    <row r="32" spans="1:10" ht="18" x14ac:dyDescent="0.3">
      <c r="A32" s="78"/>
      <c r="B32" s="79"/>
      <c r="C32" s="79"/>
      <c r="D32" s="94"/>
      <c r="E32" s="89"/>
      <c r="F32" s="89"/>
      <c r="G32" s="89"/>
      <c r="H32" s="89"/>
      <c r="I32" s="93"/>
      <c r="J32" s="91">
        <f t="shared" si="0"/>
        <v>0</v>
      </c>
    </row>
    <row r="33" spans="1:13" ht="18" x14ac:dyDescent="0.3">
      <c r="A33" s="78"/>
      <c r="B33" s="79"/>
      <c r="C33" s="79"/>
      <c r="D33" s="94"/>
      <c r="E33" s="89"/>
      <c r="F33" s="89"/>
      <c r="G33" s="89"/>
      <c r="H33" s="89"/>
      <c r="I33" s="93"/>
      <c r="J33" s="91">
        <f t="shared" si="0"/>
        <v>0</v>
      </c>
    </row>
    <row r="34" spans="1:13" ht="18" x14ac:dyDescent="0.3">
      <c r="A34" s="78"/>
      <c r="B34" s="79"/>
      <c r="C34" s="79"/>
      <c r="D34" s="94"/>
      <c r="E34" s="89"/>
      <c r="F34" s="89"/>
      <c r="G34" s="89"/>
      <c r="H34" s="89"/>
      <c r="I34" s="93"/>
      <c r="J34" s="91">
        <f t="shared" si="0"/>
        <v>0</v>
      </c>
    </row>
    <row r="35" spans="1:13" ht="18" x14ac:dyDescent="0.3">
      <c r="A35" s="78"/>
      <c r="B35" s="79"/>
      <c r="C35" s="79"/>
      <c r="D35" s="94"/>
      <c r="E35" s="89"/>
      <c r="F35" s="89"/>
      <c r="G35" s="89"/>
      <c r="H35" s="89"/>
      <c r="I35" s="93"/>
      <c r="J35" s="91">
        <f t="shared" si="0"/>
        <v>0</v>
      </c>
    </row>
    <row r="36" spans="1:13" ht="18" x14ac:dyDescent="0.3">
      <c r="A36" s="78"/>
      <c r="B36" s="79"/>
      <c r="C36" s="79"/>
      <c r="D36" s="94"/>
      <c r="E36" s="89"/>
      <c r="F36" s="89"/>
      <c r="G36" s="89"/>
      <c r="H36" s="89"/>
      <c r="I36" s="93"/>
      <c r="J36" s="91">
        <f t="shared" si="0"/>
        <v>0</v>
      </c>
    </row>
    <row r="37" spans="1:13" ht="18" x14ac:dyDescent="0.3">
      <c r="A37" s="78"/>
      <c r="B37" s="79"/>
      <c r="C37" s="79"/>
      <c r="D37" s="94"/>
      <c r="E37" s="89"/>
      <c r="F37" s="89"/>
      <c r="G37" s="89"/>
      <c r="H37" s="89"/>
      <c r="I37" s="93"/>
      <c r="J37" s="91">
        <f t="shared" si="0"/>
        <v>0</v>
      </c>
    </row>
    <row r="38" spans="1:13" ht="18" x14ac:dyDescent="0.3">
      <c r="A38" s="78"/>
      <c r="B38" s="79"/>
      <c r="C38" s="79"/>
      <c r="D38" s="94"/>
      <c r="E38" s="89"/>
      <c r="F38" s="89"/>
      <c r="G38" s="89"/>
      <c r="H38" s="89"/>
      <c r="I38" s="93"/>
      <c r="J38" s="91">
        <f t="shared" si="0"/>
        <v>0</v>
      </c>
    </row>
    <row r="39" spans="1:13" ht="18" x14ac:dyDescent="0.3">
      <c r="A39" s="78"/>
      <c r="B39" s="79"/>
      <c r="C39" s="79"/>
      <c r="D39" s="94"/>
      <c r="E39" s="89"/>
      <c r="F39" s="89"/>
      <c r="G39" s="89"/>
      <c r="H39" s="89"/>
      <c r="I39" s="93"/>
      <c r="J39" s="91">
        <f t="shared" si="0"/>
        <v>0</v>
      </c>
    </row>
    <row r="40" spans="1:13" ht="18" x14ac:dyDescent="0.3">
      <c r="A40" s="78"/>
      <c r="B40" s="79"/>
      <c r="C40" s="79"/>
      <c r="D40" s="94"/>
      <c r="E40" s="89"/>
      <c r="F40" s="89"/>
      <c r="G40" s="92"/>
      <c r="H40" s="89"/>
      <c r="I40" s="93"/>
      <c r="J40" s="91"/>
    </row>
    <row r="41" spans="1:13" ht="18" x14ac:dyDescent="0.3">
      <c r="A41" s="78"/>
      <c r="B41" s="79"/>
      <c r="C41" s="79"/>
      <c r="D41" s="94"/>
      <c r="E41" s="89"/>
      <c r="F41" s="89"/>
      <c r="G41" s="92"/>
      <c r="H41" s="89"/>
      <c r="I41" s="93"/>
      <c r="J41" s="91"/>
    </row>
    <row r="42" spans="1:13" ht="18" x14ac:dyDescent="0.3">
      <c r="A42" s="78"/>
      <c r="B42" s="79"/>
      <c r="C42" s="79"/>
      <c r="D42" s="94"/>
      <c r="E42" s="89"/>
      <c r="F42" s="89"/>
      <c r="G42" s="92"/>
      <c r="H42" s="89"/>
      <c r="I42" s="93"/>
      <c r="J42" s="91"/>
    </row>
    <row r="43" spans="1:13" ht="18" x14ac:dyDescent="0.3">
      <c r="A43" s="78"/>
      <c r="B43" s="79"/>
      <c r="C43" s="79"/>
      <c r="D43" s="94"/>
      <c r="E43" s="89"/>
      <c r="F43" s="89"/>
      <c r="G43" s="92"/>
      <c r="H43" s="89"/>
      <c r="I43" s="93"/>
      <c r="J43" s="91"/>
    </row>
    <row r="44" spans="1:13" ht="18" x14ac:dyDescent="0.3">
      <c r="A44" s="78"/>
      <c r="B44" s="79"/>
      <c r="C44" s="79"/>
      <c r="D44" s="94"/>
      <c r="E44" s="89"/>
      <c r="F44" s="89"/>
      <c r="G44" s="92"/>
      <c r="H44" s="89"/>
      <c r="I44" s="93"/>
      <c r="J44" s="91"/>
    </row>
    <row r="45" spans="1:13" ht="18" x14ac:dyDescent="0.3">
      <c r="A45" s="78"/>
      <c r="B45" s="79"/>
      <c r="C45" s="79"/>
      <c r="D45" s="95"/>
      <c r="E45" s="89"/>
      <c r="F45" s="89"/>
      <c r="G45" s="92"/>
      <c r="H45" s="89"/>
      <c r="I45" s="93"/>
      <c r="J45" s="91">
        <f t="shared" si="0"/>
        <v>0</v>
      </c>
    </row>
    <row r="46" spans="1:13" ht="18.75" thickBot="1" x14ac:dyDescent="0.35">
      <c r="A46" s="78"/>
      <c r="B46" s="79"/>
      <c r="C46" s="79"/>
      <c r="D46" s="96"/>
      <c r="E46" s="97"/>
      <c r="F46" s="97"/>
      <c r="G46" s="98"/>
      <c r="H46" s="97"/>
      <c r="I46" s="99"/>
      <c r="J46" s="100">
        <f t="shared" si="0"/>
        <v>0</v>
      </c>
      <c r="M46" s="105">
        <f>J47/1.5</f>
        <v>63.886666666666663</v>
      </c>
    </row>
    <row r="47" spans="1:13" ht="21" thickBot="1" x14ac:dyDescent="0.35">
      <c r="A47" s="78"/>
      <c r="B47" s="79"/>
      <c r="C47" s="79"/>
      <c r="D47" s="933" t="s">
        <v>10</v>
      </c>
      <c r="E47" s="934"/>
      <c r="F47" s="934"/>
      <c r="G47" s="934"/>
      <c r="H47" s="934"/>
      <c r="I47" s="935"/>
      <c r="J47" s="102">
        <f>ROUND(SUM(J8:J46),2)</f>
        <v>95.83</v>
      </c>
    </row>
    <row r="48" spans="1:13" ht="21" thickBot="1" x14ac:dyDescent="0.35">
      <c r="A48" s="78"/>
      <c r="B48" s="79"/>
      <c r="C48" s="79"/>
      <c r="D48" s="933" t="s">
        <v>1127</v>
      </c>
      <c r="E48" s="934"/>
      <c r="F48" s="934"/>
      <c r="G48" s="934"/>
      <c r="H48" s="934"/>
      <c r="I48" s="935"/>
      <c r="J48" s="103"/>
    </row>
    <row r="49" spans="1:10" ht="21" thickBot="1" x14ac:dyDescent="0.35">
      <c r="A49" s="78"/>
      <c r="B49" s="79"/>
      <c r="C49" s="101"/>
      <c r="D49" s="933" t="s">
        <v>1128</v>
      </c>
      <c r="E49" s="934"/>
      <c r="F49" s="934"/>
      <c r="G49" s="934"/>
      <c r="H49" s="934"/>
      <c r="I49" s="935"/>
      <c r="J49" s="104">
        <f>+J47-J48</f>
        <v>95.83</v>
      </c>
    </row>
    <row r="50" spans="1:10" ht="21" thickBot="1" x14ac:dyDescent="0.35">
      <c r="A50" s="936" t="s">
        <v>1129</v>
      </c>
      <c r="B50" s="937"/>
      <c r="C50" s="938"/>
      <c r="D50" s="939" t="s">
        <v>1130</v>
      </c>
      <c r="E50" s="940"/>
      <c r="F50" s="940"/>
      <c r="G50" s="940"/>
      <c r="H50" s="940"/>
      <c r="I50" s="940"/>
      <c r="J50" s="941"/>
    </row>
    <row r="51" spans="1:10" ht="38.25" customHeight="1" thickBot="1" x14ac:dyDescent="0.35">
      <c r="A51" s="942" t="str">
        <f>PPTO!G3</f>
        <v>JUNIO DE 2026</v>
      </c>
      <c r="B51" s="943"/>
      <c r="C51" s="944"/>
      <c r="D51" s="921"/>
      <c r="E51" s="922"/>
      <c r="F51" s="922"/>
      <c r="G51" s="922"/>
      <c r="H51" s="922"/>
      <c r="I51" s="922"/>
      <c r="J51" s="923"/>
    </row>
    <row r="52" spans="1:10" ht="19.5" thickBot="1" x14ac:dyDescent="0.35">
      <c r="A52" s="918"/>
      <c r="B52" s="919"/>
      <c r="C52" s="920"/>
      <c r="D52" s="921" t="s">
        <v>1131</v>
      </c>
      <c r="E52" s="922"/>
      <c r="F52" s="922"/>
      <c r="G52" s="922"/>
      <c r="H52" s="922"/>
      <c r="I52" s="922"/>
      <c r="J52" s="923"/>
    </row>
  </sheetData>
  <mergeCells count="19">
    <mergeCell ref="A52:C52"/>
    <mergeCell ref="D52:J52"/>
    <mergeCell ref="D6:D7"/>
    <mergeCell ref="E6:G6"/>
    <mergeCell ref="I6:I7"/>
    <mergeCell ref="J6:J7"/>
    <mergeCell ref="D47:I47"/>
    <mergeCell ref="D48:I48"/>
    <mergeCell ref="D49:I49"/>
    <mergeCell ref="A50:C50"/>
    <mergeCell ref="D50:J50"/>
    <mergeCell ref="A51:C51"/>
    <mergeCell ref="D51:J51"/>
    <mergeCell ref="A2:J2"/>
    <mergeCell ref="A3:J3"/>
    <mergeCell ref="A4:J4"/>
    <mergeCell ref="C5:D5"/>
    <mergeCell ref="G5:H5"/>
    <mergeCell ref="I5:J5"/>
  </mergeCells>
  <conditionalFormatting sqref="J8:J46">
    <cfRule type="cellIs" dxfId="22" priority="1" operator="equal">
      <formula>0</formula>
    </cfRule>
  </conditionalFormatting>
  <pageMargins left="0.7" right="0.7" top="0.75" bottom="0.75" header="0.3" footer="0.3"/>
  <pageSetup scale="50" orientation="landscape" r:id="rId1"/>
  <drawing r:id="rId2"/>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75E982-9EBB-403B-B04C-2F86E5AAFAEC}">
  <sheetPr>
    <tabColor rgb="FFD4ECBA"/>
    <pageSetUpPr fitToPage="1"/>
  </sheetPr>
  <dimension ref="A1:M52"/>
  <sheetViews>
    <sheetView showOutlineSymbols="0" view="pageBreakPreview" zoomScale="60" zoomScaleNormal="70" workbookViewId="0">
      <selection activeCell="J9" sqref="J9"/>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05.75" customHeight="1" thickBot="1" x14ac:dyDescent="0.35">
      <c r="A5" s="72" t="s">
        <v>5</v>
      </c>
      <c r="B5" s="73">
        <v>7.7</v>
      </c>
      <c r="C5" s="913" t="str">
        <f>+VLOOKUP(B5,PPTO!B8:G94,2,FALSE)</f>
        <v xml:space="preserve"> SUMINISTRO, TRANSPORTE  E INSTALACION de Canastilla para lavaplatos con rejilla extraíble, set de tubería y empaques incluidos para evitar fugas, dos mangueras de alimentación con acoples para el agua</v>
      </c>
      <c r="D5" s="914"/>
      <c r="E5" s="72" t="s">
        <v>7</v>
      </c>
      <c r="F5" s="74" t="str">
        <f>+VLOOKUP(B5,PPTO!B8:G94,3,FALSE)</f>
        <v>UN</v>
      </c>
      <c r="G5" s="915" t="s">
        <v>1120</v>
      </c>
      <c r="H5" s="915"/>
      <c r="I5" s="916">
        <f>+VLOOKUP(B5,PPTO!B8:G94,5,FALSE)</f>
        <v>1201476.2361497488</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8" x14ac:dyDescent="0.3">
      <c r="A8" s="78"/>
      <c r="B8" s="79"/>
      <c r="C8" s="79"/>
      <c r="D8" s="88" t="s">
        <v>1189</v>
      </c>
      <c r="E8" s="89"/>
      <c r="F8" s="89"/>
      <c r="G8" s="89"/>
      <c r="H8" s="89"/>
      <c r="I8" s="90">
        <v>3</v>
      </c>
      <c r="J8" s="87">
        <f>+I8</f>
        <v>3</v>
      </c>
    </row>
    <row r="9" spans="1:10" ht="18" x14ac:dyDescent="0.3">
      <c r="A9" s="78"/>
      <c r="B9" s="79"/>
      <c r="C9" s="79"/>
      <c r="D9" s="94"/>
      <c r="E9" s="89"/>
      <c r="F9" s="89"/>
      <c r="G9" s="89"/>
      <c r="H9" s="89"/>
      <c r="I9" s="93"/>
      <c r="J9" s="91">
        <f t="shared" ref="J9:J46" si="0">+PRODUCT(E9:I9)</f>
        <v>0</v>
      </c>
    </row>
    <row r="10" spans="1:10" ht="18" x14ac:dyDescent="0.3">
      <c r="A10" s="78"/>
      <c r="B10" s="79"/>
      <c r="C10" s="79"/>
      <c r="D10" s="94"/>
      <c r="E10" s="89"/>
      <c r="F10" s="89"/>
      <c r="G10" s="89"/>
      <c r="H10" s="89"/>
      <c r="I10" s="93"/>
      <c r="J10" s="91">
        <f t="shared" si="0"/>
        <v>0</v>
      </c>
    </row>
    <row r="11" spans="1:10" ht="18" x14ac:dyDescent="0.3">
      <c r="A11" s="78"/>
      <c r="B11" s="79"/>
      <c r="C11" s="79"/>
      <c r="D11" s="94"/>
      <c r="E11" s="89"/>
      <c r="F11" s="89"/>
      <c r="G11" s="89"/>
      <c r="H11" s="89"/>
      <c r="I11" s="93"/>
      <c r="J11" s="91">
        <f t="shared" si="0"/>
        <v>0</v>
      </c>
    </row>
    <row r="12" spans="1:10" ht="18" x14ac:dyDescent="0.3">
      <c r="A12" s="78"/>
      <c r="B12" s="79"/>
      <c r="C12" s="79"/>
      <c r="D12" s="94"/>
      <c r="E12" s="89"/>
      <c r="F12" s="89"/>
      <c r="G12" s="89"/>
      <c r="H12" s="89"/>
      <c r="I12" s="93"/>
      <c r="J12" s="91">
        <f t="shared" si="0"/>
        <v>0</v>
      </c>
    </row>
    <row r="13" spans="1:10" ht="18" x14ac:dyDescent="0.3">
      <c r="A13" s="78"/>
      <c r="B13" s="79"/>
      <c r="C13" s="79"/>
      <c r="D13" s="94"/>
      <c r="E13" s="89"/>
      <c r="F13" s="89"/>
      <c r="G13" s="89"/>
      <c r="H13" s="89"/>
      <c r="I13" s="93"/>
      <c r="J13" s="91">
        <f t="shared" si="0"/>
        <v>0</v>
      </c>
    </row>
    <row r="14" spans="1:10" ht="18" x14ac:dyDescent="0.3">
      <c r="A14" s="78"/>
      <c r="B14" s="79"/>
      <c r="C14" s="79"/>
      <c r="D14" s="94"/>
      <c r="E14" s="89"/>
      <c r="F14" s="89"/>
      <c r="G14" s="89"/>
      <c r="H14" s="89"/>
      <c r="I14" s="93"/>
      <c r="J14" s="91">
        <f t="shared" si="0"/>
        <v>0</v>
      </c>
    </row>
    <row r="15" spans="1:10" ht="18" x14ac:dyDescent="0.3">
      <c r="A15" s="78"/>
      <c r="B15" s="79"/>
      <c r="C15" s="79"/>
      <c r="D15" s="94"/>
      <c r="E15" s="89"/>
      <c r="F15" s="89"/>
      <c r="G15" s="89"/>
      <c r="H15" s="89"/>
      <c r="I15" s="93"/>
      <c r="J15" s="91">
        <f t="shared" si="0"/>
        <v>0</v>
      </c>
    </row>
    <row r="16" spans="1:10" ht="18" x14ac:dyDescent="0.3">
      <c r="A16" s="78"/>
      <c r="B16" s="79"/>
      <c r="C16" s="79"/>
      <c r="D16" s="94"/>
      <c r="E16" s="89"/>
      <c r="F16" s="89"/>
      <c r="G16" s="89"/>
      <c r="H16" s="89"/>
      <c r="I16" s="93"/>
      <c r="J16" s="91">
        <f t="shared" si="0"/>
        <v>0</v>
      </c>
    </row>
    <row r="17" spans="1:10" ht="18" x14ac:dyDescent="0.3">
      <c r="A17" s="78"/>
      <c r="B17" s="79"/>
      <c r="C17" s="79"/>
      <c r="D17" s="94"/>
      <c r="E17" s="89"/>
      <c r="F17" s="89"/>
      <c r="G17" s="89"/>
      <c r="H17" s="89"/>
      <c r="I17" s="93"/>
      <c r="J17" s="91">
        <f t="shared" si="0"/>
        <v>0</v>
      </c>
    </row>
    <row r="18" spans="1:10" ht="18" x14ac:dyDescent="0.3">
      <c r="A18" s="78"/>
      <c r="B18" s="79"/>
      <c r="C18" s="79"/>
      <c r="D18" s="94"/>
      <c r="E18" s="89"/>
      <c r="F18" s="89"/>
      <c r="G18" s="89"/>
      <c r="H18" s="89"/>
      <c r="I18" s="93"/>
      <c r="J18" s="91">
        <f t="shared" si="0"/>
        <v>0</v>
      </c>
    </row>
    <row r="19" spans="1:10" ht="18" x14ac:dyDescent="0.3">
      <c r="A19" s="78"/>
      <c r="B19" s="79"/>
      <c r="C19" s="79"/>
      <c r="D19" s="95"/>
      <c r="E19" s="89"/>
      <c r="F19" s="89"/>
      <c r="G19" s="89"/>
      <c r="H19" s="89"/>
      <c r="I19" s="93"/>
      <c r="J19" s="91">
        <f t="shared" si="0"/>
        <v>0</v>
      </c>
    </row>
    <row r="20" spans="1:10" ht="18" x14ac:dyDescent="0.3">
      <c r="A20" s="78"/>
      <c r="B20" s="79"/>
      <c r="C20" s="79"/>
      <c r="D20" s="88"/>
      <c r="E20" s="89"/>
      <c r="F20" s="89"/>
      <c r="G20" s="89"/>
      <c r="H20" s="89"/>
      <c r="I20" s="90"/>
      <c r="J20" s="91">
        <f t="shared" si="0"/>
        <v>0</v>
      </c>
    </row>
    <row r="21" spans="1:10" ht="18" x14ac:dyDescent="0.3">
      <c r="A21" s="78"/>
      <c r="B21" s="79"/>
      <c r="C21" s="79"/>
      <c r="D21" s="88"/>
      <c r="E21" s="89"/>
      <c r="F21" s="89"/>
      <c r="G21" s="89"/>
      <c r="H21" s="89"/>
      <c r="I21" s="90"/>
      <c r="J21" s="91">
        <f t="shared" si="0"/>
        <v>0</v>
      </c>
    </row>
    <row r="22" spans="1:10" ht="18" x14ac:dyDescent="0.3">
      <c r="A22" s="78"/>
      <c r="B22" s="79"/>
      <c r="C22" s="79"/>
      <c r="D22" s="88"/>
      <c r="E22" s="89"/>
      <c r="F22" s="89"/>
      <c r="G22" s="89"/>
      <c r="H22" s="89"/>
      <c r="I22" s="90"/>
      <c r="J22" s="91">
        <f t="shared" si="0"/>
        <v>0</v>
      </c>
    </row>
    <row r="23" spans="1:10" ht="18" x14ac:dyDescent="0.3">
      <c r="A23" s="78"/>
      <c r="B23" s="79"/>
      <c r="C23" s="79"/>
      <c r="D23" s="94"/>
      <c r="E23" s="89"/>
      <c r="F23" s="89"/>
      <c r="G23" s="89"/>
      <c r="H23" s="89"/>
      <c r="I23" s="93"/>
      <c r="J23" s="91">
        <f t="shared" si="0"/>
        <v>0</v>
      </c>
    </row>
    <row r="24" spans="1:10" ht="18" x14ac:dyDescent="0.3">
      <c r="A24" s="78"/>
      <c r="B24" s="79"/>
      <c r="C24" s="79"/>
      <c r="D24" s="94"/>
      <c r="E24" s="89"/>
      <c r="F24" s="89"/>
      <c r="G24" s="89"/>
      <c r="H24" s="89"/>
      <c r="I24" s="93"/>
      <c r="J24" s="91">
        <f t="shared" si="0"/>
        <v>0</v>
      </c>
    </row>
    <row r="25" spans="1:10" ht="18" x14ac:dyDescent="0.3">
      <c r="A25" s="78"/>
      <c r="B25" s="79"/>
      <c r="C25" s="79"/>
      <c r="D25" s="94"/>
      <c r="E25" s="89"/>
      <c r="F25" s="89"/>
      <c r="G25" s="89"/>
      <c r="H25" s="89"/>
      <c r="I25" s="93"/>
      <c r="J25" s="91">
        <f t="shared" si="0"/>
        <v>0</v>
      </c>
    </row>
    <row r="26" spans="1:10" ht="18" x14ac:dyDescent="0.3">
      <c r="A26" s="78"/>
      <c r="B26" s="79"/>
      <c r="C26" s="79"/>
      <c r="D26" s="94"/>
      <c r="E26" s="89"/>
      <c r="F26" s="89"/>
      <c r="G26" s="89"/>
      <c r="H26" s="89"/>
      <c r="I26" s="93"/>
      <c r="J26" s="91">
        <f t="shared" si="0"/>
        <v>0</v>
      </c>
    </row>
    <row r="27" spans="1:10" ht="18" x14ac:dyDescent="0.3">
      <c r="A27" s="78"/>
      <c r="B27" s="79"/>
      <c r="C27" s="79"/>
      <c r="D27" s="94"/>
      <c r="E27" s="89"/>
      <c r="F27" s="89"/>
      <c r="G27" s="89"/>
      <c r="H27" s="89"/>
      <c r="I27" s="93"/>
      <c r="J27" s="91">
        <f t="shared" si="0"/>
        <v>0</v>
      </c>
    </row>
    <row r="28" spans="1:10" ht="18" x14ac:dyDescent="0.3">
      <c r="A28" s="78"/>
      <c r="B28" s="79"/>
      <c r="C28" s="79"/>
      <c r="D28" s="94"/>
      <c r="E28" s="89"/>
      <c r="F28" s="89"/>
      <c r="G28" s="89"/>
      <c r="H28" s="89"/>
      <c r="I28" s="93"/>
      <c r="J28" s="91">
        <f t="shared" si="0"/>
        <v>0</v>
      </c>
    </row>
    <row r="29" spans="1:10" ht="18" x14ac:dyDescent="0.3">
      <c r="A29" s="78"/>
      <c r="B29" s="79"/>
      <c r="C29" s="79"/>
      <c r="D29" s="94"/>
      <c r="E29" s="89"/>
      <c r="F29" s="89"/>
      <c r="G29" s="89"/>
      <c r="H29" s="89"/>
      <c r="I29" s="93"/>
      <c r="J29" s="91">
        <f t="shared" si="0"/>
        <v>0</v>
      </c>
    </row>
    <row r="30" spans="1:10" ht="18" x14ac:dyDescent="0.3">
      <c r="A30" s="78"/>
      <c r="B30" s="79"/>
      <c r="C30" s="79"/>
      <c r="D30" s="94"/>
      <c r="E30" s="89"/>
      <c r="F30" s="89"/>
      <c r="G30" s="89"/>
      <c r="H30" s="89"/>
      <c r="I30" s="93"/>
      <c r="J30" s="91">
        <f t="shared" si="0"/>
        <v>0</v>
      </c>
    </row>
    <row r="31" spans="1:10" ht="18" x14ac:dyDescent="0.3">
      <c r="A31" s="78"/>
      <c r="B31" s="79"/>
      <c r="C31" s="79"/>
      <c r="D31" s="94"/>
      <c r="E31" s="89"/>
      <c r="F31" s="89"/>
      <c r="G31" s="89"/>
      <c r="H31" s="89"/>
      <c r="I31" s="93"/>
      <c r="J31" s="91">
        <f t="shared" si="0"/>
        <v>0</v>
      </c>
    </row>
    <row r="32" spans="1:10" ht="18" x14ac:dyDescent="0.3">
      <c r="A32" s="78"/>
      <c r="B32" s="79"/>
      <c r="C32" s="79"/>
      <c r="D32" s="94"/>
      <c r="E32" s="89"/>
      <c r="F32" s="89"/>
      <c r="G32" s="89"/>
      <c r="H32" s="89"/>
      <c r="I32" s="93"/>
      <c r="J32" s="91">
        <f t="shared" si="0"/>
        <v>0</v>
      </c>
    </row>
    <row r="33" spans="1:13" ht="18" x14ac:dyDescent="0.3">
      <c r="A33" s="78"/>
      <c r="B33" s="79"/>
      <c r="C33" s="79"/>
      <c r="D33" s="94"/>
      <c r="E33" s="89"/>
      <c r="F33" s="89"/>
      <c r="G33" s="89"/>
      <c r="H33" s="89"/>
      <c r="I33" s="93"/>
      <c r="J33" s="91">
        <f t="shared" si="0"/>
        <v>0</v>
      </c>
    </row>
    <row r="34" spans="1:13" ht="18" x14ac:dyDescent="0.3">
      <c r="A34" s="78"/>
      <c r="B34" s="79"/>
      <c r="C34" s="79"/>
      <c r="D34" s="94"/>
      <c r="E34" s="89"/>
      <c r="F34" s="89"/>
      <c r="G34" s="89"/>
      <c r="H34" s="89"/>
      <c r="I34" s="93"/>
      <c r="J34" s="91">
        <f t="shared" si="0"/>
        <v>0</v>
      </c>
    </row>
    <row r="35" spans="1:13" ht="18" x14ac:dyDescent="0.3">
      <c r="A35" s="78"/>
      <c r="B35" s="79"/>
      <c r="C35" s="79"/>
      <c r="D35" s="94"/>
      <c r="E35" s="89"/>
      <c r="F35" s="89"/>
      <c r="G35" s="89"/>
      <c r="H35" s="89"/>
      <c r="I35" s="93"/>
      <c r="J35" s="91">
        <f t="shared" si="0"/>
        <v>0</v>
      </c>
    </row>
    <row r="36" spans="1:13" ht="18" x14ac:dyDescent="0.3">
      <c r="A36" s="78"/>
      <c r="B36" s="79"/>
      <c r="C36" s="79"/>
      <c r="D36" s="94"/>
      <c r="E36" s="89"/>
      <c r="F36" s="89"/>
      <c r="G36" s="89"/>
      <c r="H36" s="89"/>
      <c r="I36" s="93"/>
      <c r="J36" s="91">
        <f t="shared" si="0"/>
        <v>0</v>
      </c>
    </row>
    <row r="37" spans="1:13" ht="18" x14ac:dyDescent="0.3">
      <c r="A37" s="78"/>
      <c r="B37" s="79"/>
      <c r="C37" s="79"/>
      <c r="D37" s="94"/>
      <c r="E37" s="89"/>
      <c r="F37" s="89"/>
      <c r="G37" s="89"/>
      <c r="H37" s="89"/>
      <c r="I37" s="93"/>
      <c r="J37" s="91">
        <f t="shared" si="0"/>
        <v>0</v>
      </c>
    </row>
    <row r="38" spans="1:13" ht="18" x14ac:dyDescent="0.3">
      <c r="A38" s="78"/>
      <c r="B38" s="79"/>
      <c r="C38" s="79"/>
      <c r="D38" s="94"/>
      <c r="E38" s="89"/>
      <c r="F38" s="89"/>
      <c r="G38" s="89"/>
      <c r="H38" s="89"/>
      <c r="I38" s="93"/>
      <c r="J38" s="91">
        <f t="shared" si="0"/>
        <v>0</v>
      </c>
    </row>
    <row r="39" spans="1:13" ht="18" x14ac:dyDescent="0.3">
      <c r="A39" s="78"/>
      <c r="B39" s="79"/>
      <c r="C39" s="79"/>
      <c r="D39" s="94"/>
      <c r="E39" s="89"/>
      <c r="F39" s="89"/>
      <c r="G39" s="89"/>
      <c r="H39" s="89"/>
      <c r="I39" s="93"/>
      <c r="J39" s="91">
        <f t="shared" si="0"/>
        <v>0</v>
      </c>
    </row>
    <row r="40" spans="1:13" ht="18" x14ac:dyDescent="0.3">
      <c r="A40" s="78"/>
      <c r="B40" s="79"/>
      <c r="C40" s="79"/>
      <c r="D40" s="94"/>
      <c r="E40" s="89"/>
      <c r="F40" s="89"/>
      <c r="G40" s="92"/>
      <c r="H40" s="89"/>
      <c r="I40" s="93"/>
      <c r="J40" s="91"/>
    </row>
    <row r="41" spans="1:13" ht="18" x14ac:dyDescent="0.3">
      <c r="A41" s="78"/>
      <c r="B41" s="79"/>
      <c r="C41" s="79"/>
      <c r="D41" s="94"/>
      <c r="E41" s="89"/>
      <c r="F41" s="89"/>
      <c r="G41" s="92"/>
      <c r="H41" s="89"/>
      <c r="I41" s="93"/>
      <c r="J41" s="91"/>
    </row>
    <row r="42" spans="1:13" ht="18" x14ac:dyDescent="0.3">
      <c r="A42" s="78"/>
      <c r="B42" s="79"/>
      <c r="C42" s="79"/>
      <c r="D42" s="94"/>
      <c r="E42" s="89"/>
      <c r="F42" s="89"/>
      <c r="G42" s="92"/>
      <c r="H42" s="89"/>
      <c r="I42" s="93"/>
      <c r="J42" s="91"/>
    </row>
    <row r="43" spans="1:13" ht="18" x14ac:dyDescent="0.3">
      <c r="A43" s="78"/>
      <c r="B43" s="79"/>
      <c r="C43" s="79"/>
      <c r="D43" s="94"/>
      <c r="E43" s="89"/>
      <c r="F43" s="89"/>
      <c r="G43" s="92"/>
      <c r="H43" s="89"/>
      <c r="I43" s="93"/>
      <c r="J43" s="91"/>
    </row>
    <row r="44" spans="1:13" ht="18" x14ac:dyDescent="0.3">
      <c r="A44" s="78"/>
      <c r="B44" s="79"/>
      <c r="C44" s="79"/>
      <c r="D44" s="94"/>
      <c r="E44" s="89"/>
      <c r="F44" s="89"/>
      <c r="G44" s="92"/>
      <c r="H44" s="89"/>
      <c r="I44" s="93"/>
      <c r="J44" s="91"/>
    </row>
    <row r="45" spans="1:13" ht="18" x14ac:dyDescent="0.3">
      <c r="A45" s="78"/>
      <c r="B45" s="79"/>
      <c r="C45" s="79"/>
      <c r="D45" s="95"/>
      <c r="E45" s="89"/>
      <c r="F45" s="89"/>
      <c r="G45" s="92"/>
      <c r="H45" s="89"/>
      <c r="I45" s="93"/>
      <c r="J45" s="91">
        <f t="shared" si="0"/>
        <v>0</v>
      </c>
    </row>
    <row r="46" spans="1:13" ht="18.75" thickBot="1" x14ac:dyDescent="0.35">
      <c r="A46" s="78"/>
      <c r="B46" s="79"/>
      <c r="C46" s="79"/>
      <c r="D46" s="96"/>
      <c r="E46" s="97"/>
      <c r="F46" s="97"/>
      <c r="G46" s="98"/>
      <c r="H46" s="97"/>
      <c r="I46" s="99"/>
      <c r="J46" s="100">
        <f t="shared" si="0"/>
        <v>0</v>
      </c>
      <c r="M46" s="105">
        <f>J47/1.5</f>
        <v>2</v>
      </c>
    </row>
    <row r="47" spans="1:13" ht="21" thickBot="1" x14ac:dyDescent="0.35">
      <c r="A47" s="78"/>
      <c r="B47" s="79"/>
      <c r="C47" s="79"/>
      <c r="D47" s="933" t="s">
        <v>10</v>
      </c>
      <c r="E47" s="934"/>
      <c r="F47" s="934"/>
      <c r="G47" s="934"/>
      <c r="H47" s="934"/>
      <c r="I47" s="935"/>
      <c r="J47" s="102">
        <f>ROUND(SUM(J8:J46),2)</f>
        <v>3</v>
      </c>
    </row>
    <row r="48" spans="1:13" ht="21" thickBot="1" x14ac:dyDescent="0.35">
      <c r="A48" s="78"/>
      <c r="B48" s="79"/>
      <c r="C48" s="79"/>
      <c r="D48" s="933" t="s">
        <v>1127</v>
      </c>
      <c r="E48" s="934"/>
      <c r="F48" s="934"/>
      <c r="G48" s="934"/>
      <c r="H48" s="934"/>
      <c r="I48" s="935"/>
      <c r="J48" s="103"/>
    </row>
    <row r="49" spans="1:10" ht="21" thickBot="1" x14ac:dyDescent="0.35">
      <c r="A49" s="78"/>
      <c r="B49" s="79"/>
      <c r="C49" s="101"/>
      <c r="D49" s="933" t="s">
        <v>1128</v>
      </c>
      <c r="E49" s="934"/>
      <c r="F49" s="934"/>
      <c r="G49" s="934"/>
      <c r="H49" s="934"/>
      <c r="I49" s="935"/>
      <c r="J49" s="104">
        <f>+J47-J48</f>
        <v>3</v>
      </c>
    </row>
    <row r="50" spans="1:10" ht="21" thickBot="1" x14ac:dyDescent="0.35">
      <c r="A50" s="936" t="s">
        <v>1129</v>
      </c>
      <c r="B50" s="937"/>
      <c r="C50" s="938"/>
      <c r="D50" s="939" t="s">
        <v>1130</v>
      </c>
      <c r="E50" s="940"/>
      <c r="F50" s="940"/>
      <c r="G50" s="940"/>
      <c r="H50" s="940"/>
      <c r="I50" s="940"/>
      <c r="J50" s="941"/>
    </row>
    <row r="51" spans="1:10" ht="38.25" customHeight="1" thickBot="1" x14ac:dyDescent="0.35">
      <c r="A51" s="942" t="str">
        <f>PPTO!G3</f>
        <v>JUNIO DE 2026</v>
      </c>
      <c r="B51" s="943"/>
      <c r="C51" s="944"/>
      <c r="D51" s="921"/>
      <c r="E51" s="922"/>
      <c r="F51" s="922"/>
      <c r="G51" s="922"/>
      <c r="H51" s="922"/>
      <c r="I51" s="922"/>
      <c r="J51" s="923"/>
    </row>
    <row r="52" spans="1:10" ht="19.5" thickBot="1" x14ac:dyDescent="0.35">
      <c r="A52" s="918"/>
      <c r="B52" s="919"/>
      <c r="C52" s="920"/>
      <c r="D52" s="921" t="s">
        <v>1131</v>
      </c>
      <c r="E52" s="922"/>
      <c r="F52" s="922"/>
      <c r="G52" s="922"/>
      <c r="H52" s="922"/>
      <c r="I52" s="922"/>
      <c r="J52" s="923"/>
    </row>
  </sheetData>
  <mergeCells count="19">
    <mergeCell ref="A2:J2"/>
    <mergeCell ref="A3:J3"/>
    <mergeCell ref="A4:J4"/>
    <mergeCell ref="C5:D5"/>
    <mergeCell ref="G5:H5"/>
    <mergeCell ref="I5:J5"/>
    <mergeCell ref="A52:C52"/>
    <mergeCell ref="D52:J52"/>
    <mergeCell ref="D6:D7"/>
    <mergeCell ref="E6:G6"/>
    <mergeCell ref="I6:I7"/>
    <mergeCell ref="J6:J7"/>
    <mergeCell ref="D47:I47"/>
    <mergeCell ref="D48:I48"/>
    <mergeCell ref="D49:I49"/>
    <mergeCell ref="A50:C50"/>
    <mergeCell ref="D50:J50"/>
    <mergeCell ref="A51:C51"/>
    <mergeCell ref="D51:J51"/>
  </mergeCells>
  <conditionalFormatting sqref="J8:J46">
    <cfRule type="cellIs" dxfId="21" priority="1" operator="equal">
      <formula>0</formula>
    </cfRule>
  </conditionalFormatting>
  <pageMargins left="0.7" right="0.7" top="0.75" bottom="0.75" header="0.3" footer="0.3"/>
  <pageSetup scale="50" orientation="landscape" r:id="rId1"/>
  <drawing r:id="rId2"/>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9F010A-96AB-435C-A53D-003CCA5A0A76}">
  <sheetPr>
    <tabColor rgb="FFD4ECBA"/>
    <pageSetUpPr fitToPage="1"/>
  </sheetPr>
  <dimension ref="A1:M52"/>
  <sheetViews>
    <sheetView showOutlineSymbols="0" view="pageBreakPreview" topLeftCell="A3" zoomScale="60" zoomScaleNormal="70" workbookViewId="0">
      <selection activeCell="J8" sqref="J8"/>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05.75" customHeight="1" thickBot="1" x14ac:dyDescent="0.35">
      <c r="A5" s="72" t="s">
        <v>5</v>
      </c>
      <c r="B5" s="73">
        <v>7.8</v>
      </c>
      <c r="C5" s="913" t="str">
        <f>+VLOOKUP(B5,PPTO!B8:G94,2,FALSE)</f>
        <v>SUMINISTO, TRANSPORTE E INSTALACION DE CANOA EN LAMINA GALVANIZADA Cal .22 d/ 0.40 m. Suministro e instalación con 2 manos de anticorrosivo WASH PRIMER + esmalte + anclaje a muro + sikaflex 1A</v>
      </c>
      <c r="D5" s="914"/>
      <c r="E5" s="72" t="s">
        <v>7</v>
      </c>
      <c r="F5" s="74" t="str">
        <f>+VLOOKUP(B5,PPTO!B8:G94,3,FALSE)</f>
        <v>ml</v>
      </c>
      <c r="G5" s="915" t="s">
        <v>1120</v>
      </c>
      <c r="H5" s="915"/>
      <c r="I5" s="916">
        <f>+VLOOKUP(B5,PPTO!B8:G94,5,FALSE)</f>
        <v>109112.78716582895</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8" x14ac:dyDescent="0.3">
      <c r="A8" s="78"/>
      <c r="B8" s="79"/>
      <c r="C8" s="79"/>
      <c r="D8" s="88" t="s">
        <v>1133</v>
      </c>
      <c r="E8" s="89"/>
      <c r="F8" s="89">
        <f>5.75+0.23+5.56+0.31</f>
        <v>11.85</v>
      </c>
      <c r="G8" s="89"/>
      <c r="H8" s="89"/>
      <c r="I8" s="90">
        <v>2</v>
      </c>
      <c r="J8" s="87">
        <f>+I8*F8</f>
        <v>23.7</v>
      </c>
    </row>
    <row r="9" spans="1:10" ht="18" x14ac:dyDescent="0.3">
      <c r="A9" s="78"/>
      <c r="B9" s="79"/>
      <c r="C9" s="79"/>
      <c r="D9" s="94" t="s">
        <v>1134</v>
      </c>
      <c r="E9" s="89"/>
      <c r="F9" s="89">
        <f>1.82+0.23+37.42</f>
        <v>39.47</v>
      </c>
      <c r="G9" s="89"/>
      <c r="H9" s="89"/>
      <c r="I9" s="93">
        <v>2</v>
      </c>
      <c r="J9" s="91">
        <f t="shared" ref="J9:J46" si="0">+PRODUCT(E9:I9)</f>
        <v>78.94</v>
      </c>
    </row>
    <row r="10" spans="1:10" ht="18" x14ac:dyDescent="0.3">
      <c r="A10" s="78"/>
      <c r="B10" s="79"/>
      <c r="C10" s="79"/>
      <c r="D10" s="94"/>
      <c r="E10" s="89"/>
      <c r="F10" s="89"/>
      <c r="G10" s="89"/>
      <c r="H10" s="89"/>
      <c r="I10" s="93"/>
      <c r="J10" s="91">
        <f t="shared" si="0"/>
        <v>0</v>
      </c>
    </row>
    <row r="11" spans="1:10" ht="18" x14ac:dyDescent="0.3">
      <c r="A11" s="78"/>
      <c r="B11" s="79"/>
      <c r="C11" s="79"/>
      <c r="D11" s="94"/>
      <c r="E11" s="89"/>
      <c r="F11" s="89"/>
      <c r="G11" s="89"/>
      <c r="H11" s="89"/>
      <c r="I11" s="93"/>
      <c r="J11" s="91">
        <f t="shared" si="0"/>
        <v>0</v>
      </c>
    </row>
    <row r="12" spans="1:10" ht="18" x14ac:dyDescent="0.3">
      <c r="A12" s="78"/>
      <c r="B12" s="79"/>
      <c r="C12" s="79"/>
      <c r="D12" s="94"/>
      <c r="E12" s="89"/>
      <c r="F12" s="89"/>
      <c r="G12" s="89"/>
      <c r="H12" s="89"/>
      <c r="I12" s="93"/>
      <c r="J12" s="91">
        <f t="shared" si="0"/>
        <v>0</v>
      </c>
    </row>
    <row r="13" spans="1:10" ht="18" x14ac:dyDescent="0.3">
      <c r="A13" s="78"/>
      <c r="B13" s="79"/>
      <c r="C13" s="79"/>
      <c r="D13" s="94"/>
      <c r="E13" s="89"/>
      <c r="F13" s="89"/>
      <c r="G13" s="89"/>
      <c r="H13" s="89"/>
      <c r="I13" s="93"/>
      <c r="J13" s="91">
        <f t="shared" si="0"/>
        <v>0</v>
      </c>
    </row>
    <row r="14" spans="1:10" ht="18" x14ac:dyDescent="0.3">
      <c r="A14" s="78"/>
      <c r="B14" s="79"/>
      <c r="C14" s="79"/>
      <c r="D14" s="94"/>
      <c r="E14" s="89"/>
      <c r="F14" s="89"/>
      <c r="G14" s="89"/>
      <c r="H14" s="89"/>
      <c r="I14" s="93"/>
      <c r="J14" s="91">
        <f t="shared" si="0"/>
        <v>0</v>
      </c>
    </row>
    <row r="15" spans="1:10" ht="18" x14ac:dyDescent="0.3">
      <c r="A15" s="78"/>
      <c r="B15" s="79"/>
      <c r="C15" s="79"/>
      <c r="D15" s="94"/>
      <c r="E15" s="89"/>
      <c r="F15" s="89"/>
      <c r="G15" s="89"/>
      <c r="H15" s="89"/>
      <c r="I15" s="93"/>
      <c r="J15" s="91">
        <f t="shared" si="0"/>
        <v>0</v>
      </c>
    </row>
    <row r="16" spans="1:10" ht="18" x14ac:dyDescent="0.3">
      <c r="A16" s="78"/>
      <c r="B16" s="79"/>
      <c r="C16" s="79"/>
      <c r="D16" s="94"/>
      <c r="E16" s="89"/>
      <c r="F16" s="89"/>
      <c r="G16" s="89"/>
      <c r="H16" s="89"/>
      <c r="I16" s="93"/>
      <c r="J16" s="91">
        <f t="shared" si="0"/>
        <v>0</v>
      </c>
    </row>
    <row r="17" spans="1:10" ht="18" x14ac:dyDescent="0.3">
      <c r="A17" s="78"/>
      <c r="B17" s="79"/>
      <c r="C17" s="79"/>
      <c r="D17" s="94"/>
      <c r="E17" s="89"/>
      <c r="F17" s="89"/>
      <c r="G17" s="89"/>
      <c r="H17" s="89"/>
      <c r="I17" s="93"/>
      <c r="J17" s="91">
        <f t="shared" si="0"/>
        <v>0</v>
      </c>
    </row>
    <row r="18" spans="1:10" ht="18" x14ac:dyDescent="0.3">
      <c r="A18" s="78"/>
      <c r="B18" s="79"/>
      <c r="C18" s="79"/>
      <c r="D18" s="94"/>
      <c r="E18" s="89"/>
      <c r="F18" s="89"/>
      <c r="G18" s="89"/>
      <c r="H18" s="89"/>
      <c r="I18" s="93"/>
      <c r="J18" s="91">
        <f t="shared" si="0"/>
        <v>0</v>
      </c>
    </row>
    <row r="19" spans="1:10" ht="18" x14ac:dyDescent="0.3">
      <c r="A19" s="78"/>
      <c r="B19" s="79"/>
      <c r="C19" s="79"/>
      <c r="D19" s="95"/>
      <c r="E19" s="89"/>
      <c r="F19" s="89"/>
      <c r="G19" s="89"/>
      <c r="H19" s="89"/>
      <c r="I19" s="93"/>
      <c r="J19" s="91">
        <f t="shared" si="0"/>
        <v>0</v>
      </c>
    </row>
    <row r="20" spans="1:10" ht="18" x14ac:dyDescent="0.3">
      <c r="A20" s="78"/>
      <c r="B20" s="79"/>
      <c r="C20" s="79"/>
      <c r="D20" s="88"/>
      <c r="E20" s="89"/>
      <c r="F20" s="89"/>
      <c r="G20" s="89"/>
      <c r="H20" s="89"/>
      <c r="I20" s="90"/>
      <c r="J20" s="91">
        <f t="shared" si="0"/>
        <v>0</v>
      </c>
    </row>
    <row r="21" spans="1:10" ht="18" x14ac:dyDescent="0.3">
      <c r="A21" s="78"/>
      <c r="B21" s="79"/>
      <c r="C21" s="79"/>
      <c r="D21" s="88"/>
      <c r="E21" s="89"/>
      <c r="F21" s="89"/>
      <c r="G21" s="89"/>
      <c r="H21" s="89"/>
      <c r="I21" s="90"/>
      <c r="J21" s="91">
        <f t="shared" si="0"/>
        <v>0</v>
      </c>
    </row>
    <row r="22" spans="1:10" ht="18" x14ac:dyDescent="0.3">
      <c r="A22" s="78"/>
      <c r="B22" s="79"/>
      <c r="C22" s="79"/>
      <c r="D22" s="88"/>
      <c r="E22" s="89"/>
      <c r="F22" s="89"/>
      <c r="G22" s="89"/>
      <c r="H22" s="89"/>
      <c r="I22" s="90"/>
      <c r="J22" s="91">
        <f t="shared" si="0"/>
        <v>0</v>
      </c>
    </row>
    <row r="23" spans="1:10" ht="18" x14ac:dyDescent="0.3">
      <c r="A23" s="78"/>
      <c r="B23" s="79"/>
      <c r="C23" s="79"/>
      <c r="D23" s="94"/>
      <c r="E23" s="89"/>
      <c r="F23" s="89"/>
      <c r="G23" s="89"/>
      <c r="H23" s="89"/>
      <c r="I23" s="93"/>
      <c r="J23" s="91">
        <f t="shared" si="0"/>
        <v>0</v>
      </c>
    </row>
    <row r="24" spans="1:10" ht="18" x14ac:dyDescent="0.3">
      <c r="A24" s="78"/>
      <c r="B24" s="79"/>
      <c r="C24" s="79"/>
      <c r="D24" s="94"/>
      <c r="E24" s="89"/>
      <c r="F24" s="89"/>
      <c r="G24" s="89"/>
      <c r="H24" s="89"/>
      <c r="I24" s="93"/>
      <c r="J24" s="91">
        <f t="shared" si="0"/>
        <v>0</v>
      </c>
    </row>
    <row r="25" spans="1:10" ht="18" x14ac:dyDescent="0.3">
      <c r="A25" s="78"/>
      <c r="B25" s="79"/>
      <c r="C25" s="79"/>
      <c r="D25" s="94"/>
      <c r="E25" s="89"/>
      <c r="F25" s="89"/>
      <c r="G25" s="89"/>
      <c r="H25" s="89"/>
      <c r="I25" s="93"/>
      <c r="J25" s="91">
        <f t="shared" si="0"/>
        <v>0</v>
      </c>
    </row>
    <row r="26" spans="1:10" ht="18" x14ac:dyDescent="0.3">
      <c r="A26" s="78"/>
      <c r="B26" s="79"/>
      <c r="C26" s="79"/>
      <c r="D26" s="94"/>
      <c r="E26" s="89"/>
      <c r="F26" s="89"/>
      <c r="G26" s="89"/>
      <c r="H26" s="89"/>
      <c r="I26" s="93"/>
      <c r="J26" s="91">
        <f t="shared" si="0"/>
        <v>0</v>
      </c>
    </row>
    <row r="27" spans="1:10" ht="18" x14ac:dyDescent="0.3">
      <c r="A27" s="78"/>
      <c r="B27" s="79"/>
      <c r="C27" s="79"/>
      <c r="D27" s="94"/>
      <c r="E27" s="89"/>
      <c r="F27" s="89"/>
      <c r="G27" s="89"/>
      <c r="H27" s="89"/>
      <c r="I27" s="93"/>
      <c r="J27" s="91">
        <f t="shared" si="0"/>
        <v>0</v>
      </c>
    </row>
    <row r="28" spans="1:10" ht="18" x14ac:dyDescent="0.3">
      <c r="A28" s="78"/>
      <c r="B28" s="79"/>
      <c r="C28" s="79"/>
      <c r="D28" s="94"/>
      <c r="E28" s="89"/>
      <c r="F28" s="89"/>
      <c r="G28" s="89"/>
      <c r="H28" s="89"/>
      <c r="I28" s="93"/>
      <c r="J28" s="91">
        <f t="shared" si="0"/>
        <v>0</v>
      </c>
    </row>
    <row r="29" spans="1:10" ht="18" x14ac:dyDescent="0.3">
      <c r="A29" s="78"/>
      <c r="B29" s="79"/>
      <c r="C29" s="79"/>
      <c r="D29" s="94"/>
      <c r="E29" s="89"/>
      <c r="F29" s="89"/>
      <c r="G29" s="89"/>
      <c r="H29" s="89"/>
      <c r="I29" s="93"/>
      <c r="J29" s="91">
        <f t="shared" si="0"/>
        <v>0</v>
      </c>
    </row>
    <row r="30" spans="1:10" ht="18" x14ac:dyDescent="0.3">
      <c r="A30" s="78"/>
      <c r="B30" s="79"/>
      <c r="C30" s="79"/>
      <c r="D30" s="94"/>
      <c r="E30" s="89"/>
      <c r="F30" s="89"/>
      <c r="G30" s="89"/>
      <c r="H30" s="89"/>
      <c r="I30" s="93"/>
      <c r="J30" s="91">
        <f t="shared" si="0"/>
        <v>0</v>
      </c>
    </row>
    <row r="31" spans="1:10" ht="18" x14ac:dyDescent="0.3">
      <c r="A31" s="78"/>
      <c r="B31" s="79"/>
      <c r="C31" s="79"/>
      <c r="D31" s="94"/>
      <c r="E31" s="89"/>
      <c r="F31" s="89"/>
      <c r="G31" s="89"/>
      <c r="H31" s="89"/>
      <c r="I31" s="93"/>
      <c r="J31" s="91">
        <f t="shared" si="0"/>
        <v>0</v>
      </c>
    </row>
    <row r="32" spans="1:10" ht="18" x14ac:dyDescent="0.3">
      <c r="A32" s="78"/>
      <c r="B32" s="79"/>
      <c r="C32" s="79"/>
      <c r="D32" s="94"/>
      <c r="E32" s="89"/>
      <c r="F32" s="89"/>
      <c r="G32" s="89"/>
      <c r="H32" s="89"/>
      <c r="I32" s="93"/>
      <c r="J32" s="91">
        <f t="shared" si="0"/>
        <v>0</v>
      </c>
    </row>
    <row r="33" spans="1:13" ht="18" x14ac:dyDescent="0.3">
      <c r="A33" s="78"/>
      <c r="B33" s="79"/>
      <c r="C33" s="79"/>
      <c r="D33" s="94"/>
      <c r="E33" s="89"/>
      <c r="F33" s="89"/>
      <c r="G33" s="89"/>
      <c r="H33" s="89"/>
      <c r="I33" s="93"/>
      <c r="J33" s="91">
        <f t="shared" si="0"/>
        <v>0</v>
      </c>
    </row>
    <row r="34" spans="1:13" ht="18" x14ac:dyDescent="0.3">
      <c r="A34" s="78"/>
      <c r="B34" s="79"/>
      <c r="C34" s="79"/>
      <c r="D34" s="94"/>
      <c r="E34" s="89"/>
      <c r="F34" s="89"/>
      <c r="G34" s="89"/>
      <c r="H34" s="89"/>
      <c r="I34" s="93"/>
      <c r="J34" s="91">
        <f t="shared" si="0"/>
        <v>0</v>
      </c>
    </row>
    <row r="35" spans="1:13" ht="18" x14ac:dyDescent="0.3">
      <c r="A35" s="78"/>
      <c r="B35" s="79"/>
      <c r="C35" s="79"/>
      <c r="D35" s="94"/>
      <c r="E35" s="89"/>
      <c r="F35" s="89"/>
      <c r="G35" s="89"/>
      <c r="H35" s="89"/>
      <c r="I35" s="93"/>
      <c r="J35" s="91">
        <f t="shared" si="0"/>
        <v>0</v>
      </c>
    </row>
    <row r="36" spans="1:13" ht="18" x14ac:dyDescent="0.3">
      <c r="A36" s="78"/>
      <c r="B36" s="79"/>
      <c r="C36" s="79"/>
      <c r="D36" s="94"/>
      <c r="E36" s="89"/>
      <c r="F36" s="89"/>
      <c r="G36" s="89"/>
      <c r="H36" s="89"/>
      <c r="I36" s="93"/>
      <c r="J36" s="91">
        <f t="shared" si="0"/>
        <v>0</v>
      </c>
    </row>
    <row r="37" spans="1:13" ht="18" x14ac:dyDescent="0.3">
      <c r="A37" s="78"/>
      <c r="B37" s="79"/>
      <c r="C37" s="79"/>
      <c r="D37" s="94"/>
      <c r="E37" s="89"/>
      <c r="F37" s="89"/>
      <c r="G37" s="89"/>
      <c r="H37" s="89"/>
      <c r="I37" s="93"/>
      <c r="J37" s="91">
        <f t="shared" si="0"/>
        <v>0</v>
      </c>
    </row>
    <row r="38" spans="1:13" ht="18" x14ac:dyDescent="0.3">
      <c r="A38" s="78"/>
      <c r="B38" s="79"/>
      <c r="C38" s="79"/>
      <c r="D38" s="94"/>
      <c r="E38" s="89"/>
      <c r="F38" s="89"/>
      <c r="G38" s="89"/>
      <c r="H38" s="89"/>
      <c r="I38" s="93"/>
      <c r="J38" s="91">
        <f t="shared" si="0"/>
        <v>0</v>
      </c>
    </row>
    <row r="39" spans="1:13" ht="18" x14ac:dyDescent="0.3">
      <c r="A39" s="78"/>
      <c r="B39" s="79"/>
      <c r="C39" s="79"/>
      <c r="D39" s="94"/>
      <c r="E39" s="89"/>
      <c r="F39" s="89"/>
      <c r="G39" s="89"/>
      <c r="H39" s="89"/>
      <c r="I39" s="93"/>
      <c r="J39" s="91">
        <f t="shared" si="0"/>
        <v>0</v>
      </c>
    </row>
    <row r="40" spans="1:13" ht="18" x14ac:dyDescent="0.3">
      <c r="A40" s="78"/>
      <c r="B40" s="79"/>
      <c r="C40" s="79"/>
      <c r="D40" s="94"/>
      <c r="E40" s="89"/>
      <c r="F40" s="89"/>
      <c r="G40" s="92"/>
      <c r="H40" s="89"/>
      <c r="I40" s="93"/>
      <c r="J40" s="91"/>
    </row>
    <row r="41" spans="1:13" ht="18" x14ac:dyDescent="0.3">
      <c r="A41" s="78"/>
      <c r="B41" s="79"/>
      <c r="C41" s="79"/>
      <c r="D41" s="94"/>
      <c r="E41" s="89"/>
      <c r="F41" s="89"/>
      <c r="G41" s="92"/>
      <c r="H41" s="89"/>
      <c r="I41" s="93"/>
      <c r="J41" s="91"/>
    </row>
    <row r="42" spans="1:13" ht="18" x14ac:dyDescent="0.3">
      <c r="A42" s="78"/>
      <c r="B42" s="79"/>
      <c r="C42" s="79"/>
      <c r="D42" s="94"/>
      <c r="E42" s="89"/>
      <c r="F42" s="89"/>
      <c r="G42" s="92"/>
      <c r="H42" s="89"/>
      <c r="I42" s="93"/>
      <c r="J42" s="91"/>
    </row>
    <row r="43" spans="1:13" ht="18" x14ac:dyDescent="0.3">
      <c r="A43" s="78"/>
      <c r="B43" s="79"/>
      <c r="C43" s="79"/>
      <c r="D43" s="94"/>
      <c r="E43" s="89"/>
      <c r="F43" s="89"/>
      <c r="G43" s="92"/>
      <c r="H43" s="89"/>
      <c r="I43" s="93"/>
      <c r="J43" s="91"/>
    </row>
    <row r="44" spans="1:13" ht="18" x14ac:dyDescent="0.3">
      <c r="A44" s="78"/>
      <c r="B44" s="79"/>
      <c r="C44" s="79"/>
      <c r="D44" s="94"/>
      <c r="E44" s="89"/>
      <c r="F44" s="89"/>
      <c r="G44" s="92"/>
      <c r="H44" s="89"/>
      <c r="I44" s="93"/>
      <c r="J44" s="91"/>
    </row>
    <row r="45" spans="1:13" ht="18" x14ac:dyDescent="0.3">
      <c r="A45" s="78"/>
      <c r="B45" s="79"/>
      <c r="C45" s="79"/>
      <c r="D45" s="95"/>
      <c r="E45" s="89"/>
      <c r="F45" s="89"/>
      <c r="G45" s="92"/>
      <c r="H45" s="89"/>
      <c r="I45" s="93"/>
      <c r="J45" s="91">
        <f t="shared" si="0"/>
        <v>0</v>
      </c>
    </row>
    <row r="46" spans="1:13" ht="18.75" thickBot="1" x14ac:dyDescent="0.35">
      <c r="A46" s="78"/>
      <c r="B46" s="79"/>
      <c r="C46" s="79"/>
      <c r="D46" s="96"/>
      <c r="E46" s="97"/>
      <c r="F46" s="97"/>
      <c r="G46" s="98"/>
      <c r="H46" s="97"/>
      <c r="I46" s="99"/>
      <c r="J46" s="100">
        <f t="shared" si="0"/>
        <v>0</v>
      </c>
      <c r="M46" s="105"/>
    </row>
    <row r="47" spans="1:13" ht="21" thickBot="1" x14ac:dyDescent="0.35">
      <c r="A47" s="78"/>
      <c r="B47" s="79"/>
      <c r="C47" s="79"/>
      <c r="D47" s="933" t="s">
        <v>10</v>
      </c>
      <c r="E47" s="934"/>
      <c r="F47" s="934"/>
      <c r="G47" s="934"/>
      <c r="H47" s="934"/>
      <c r="I47" s="935"/>
      <c r="J47" s="102">
        <f>ROUND(SUM(J8:J46),2)</f>
        <v>102.64</v>
      </c>
    </row>
    <row r="48" spans="1:13" ht="21" thickBot="1" x14ac:dyDescent="0.35">
      <c r="A48" s="78"/>
      <c r="B48" s="79"/>
      <c r="C48" s="79"/>
      <c r="D48" s="933" t="s">
        <v>1127</v>
      </c>
      <c r="E48" s="934"/>
      <c r="F48" s="934"/>
      <c r="G48" s="934"/>
      <c r="H48" s="934"/>
      <c r="I48" s="935"/>
      <c r="J48" s="103"/>
    </row>
    <row r="49" spans="1:10" ht="21" thickBot="1" x14ac:dyDescent="0.35">
      <c r="A49" s="78"/>
      <c r="B49" s="79"/>
      <c r="C49" s="101"/>
      <c r="D49" s="933" t="s">
        <v>1128</v>
      </c>
      <c r="E49" s="934"/>
      <c r="F49" s="934"/>
      <c r="G49" s="934"/>
      <c r="H49" s="934"/>
      <c r="I49" s="935"/>
      <c r="J49" s="104">
        <f>+J47-J48</f>
        <v>102.64</v>
      </c>
    </row>
    <row r="50" spans="1:10" ht="21" thickBot="1" x14ac:dyDescent="0.35">
      <c r="A50" s="936" t="s">
        <v>1129</v>
      </c>
      <c r="B50" s="937"/>
      <c r="C50" s="938"/>
      <c r="D50" s="939" t="s">
        <v>1130</v>
      </c>
      <c r="E50" s="940"/>
      <c r="F50" s="940"/>
      <c r="G50" s="940"/>
      <c r="H50" s="940"/>
      <c r="I50" s="940"/>
      <c r="J50" s="941"/>
    </row>
    <row r="51" spans="1:10" ht="38.25" customHeight="1" thickBot="1" x14ac:dyDescent="0.35">
      <c r="A51" s="942" t="str">
        <f>PPTO!G3</f>
        <v>JUNIO DE 2026</v>
      </c>
      <c r="B51" s="943"/>
      <c r="C51" s="944"/>
      <c r="D51" s="921"/>
      <c r="E51" s="922"/>
      <c r="F51" s="922"/>
      <c r="G51" s="922"/>
      <c r="H51" s="922"/>
      <c r="I51" s="922"/>
      <c r="J51" s="923"/>
    </row>
    <row r="52" spans="1:10" ht="19.5" thickBot="1" x14ac:dyDescent="0.35">
      <c r="A52" s="918"/>
      <c r="B52" s="919"/>
      <c r="C52" s="920"/>
      <c r="D52" s="921" t="s">
        <v>1131</v>
      </c>
      <c r="E52" s="922"/>
      <c r="F52" s="922"/>
      <c r="G52" s="922"/>
      <c r="H52" s="922"/>
      <c r="I52" s="922"/>
      <c r="J52" s="923"/>
    </row>
  </sheetData>
  <mergeCells count="19">
    <mergeCell ref="A2:J2"/>
    <mergeCell ref="A3:J3"/>
    <mergeCell ref="A4:J4"/>
    <mergeCell ref="C5:D5"/>
    <mergeCell ref="G5:H5"/>
    <mergeCell ref="I5:J5"/>
    <mergeCell ref="A52:C52"/>
    <mergeCell ref="D52:J52"/>
    <mergeCell ref="D6:D7"/>
    <mergeCell ref="E6:G6"/>
    <mergeCell ref="I6:I7"/>
    <mergeCell ref="J6:J7"/>
    <mergeCell ref="D47:I47"/>
    <mergeCell ref="D48:I48"/>
    <mergeCell ref="D49:I49"/>
    <mergeCell ref="A50:C50"/>
    <mergeCell ref="D50:J50"/>
    <mergeCell ref="A51:C51"/>
    <mergeCell ref="D51:J51"/>
  </mergeCells>
  <conditionalFormatting sqref="J8:J46">
    <cfRule type="cellIs" dxfId="20" priority="1" operator="equal">
      <formula>0</formula>
    </cfRule>
  </conditionalFormatting>
  <pageMargins left="0.7" right="0.7" top="0.75" bottom="0.75" header="0.3" footer="0.3"/>
  <pageSetup scale="50" orientation="landscape" r:id="rId1"/>
  <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34E8FD-2E8F-4D0D-B129-13B24C3A7173}">
  <sheetPr>
    <tabColor rgb="FFD4ECBA"/>
    <pageSetUpPr fitToPage="1"/>
  </sheetPr>
  <dimension ref="A1:M52"/>
  <sheetViews>
    <sheetView showOutlineSymbols="0" view="pageBreakPreview" topLeftCell="A23" zoomScale="60" zoomScaleNormal="70" workbookViewId="0">
      <selection activeCell="J9" sqref="J9"/>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05.75" customHeight="1" thickBot="1" x14ac:dyDescent="0.35">
      <c r="A5" s="72" t="s">
        <v>5</v>
      </c>
      <c r="B5" s="73">
        <v>7.8</v>
      </c>
      <c r="C5" s="913" t="str">
        <f>+VLOOKUP(B5,PPTO!B8:G94,2,FALSE)</f>
        <v>SUMINISTO, TRANSPORTE E INSTALACION DE CANOA EN LAMINA GALVANIZADA Cal .22 d/ 0.40 m. Suministro e instalación con 2 manos de anticorrosivo WASH PRIMER + esmalte + anclaje a muro + sikaflex 1A</v>
      </c>
      <c r="D5" s="914"/>
      <c r="E5" s="72" t="s">
        <v>7</v>
      </c>
      <c r="F5" s="74" t="str">
        <f>+VLOOKUP(B5,PPTO!B8:G94,3,FALSE)</f>
        <v>ml</v>
      </c>
      <c r="G5" s="915" t="s">
        <v>1120</v>
      </c>
      <c r="H5" s="915"/>
      <c r="I5" s="916">
        <f>+VLOOKUP(B5,PPTO!B8:G94,5,FALSE)</f>
        <v>109112.78716582895</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8" x14ac:dyDescent="0.3">
      <c r="A8" s="78"/>
      <c r="B8" s="79"/>
      <c r="C8" s="79"/>
      <c r="D8" s="88" t="s">
        <v>1237</v>
      </c>
      <c r="E8" s="89"/>
      <c r="F8" s="89"/>
      <c r="G8" s="89"/>
      <c r="H8" s="89"/>
      <c r="I8" s="90">
        <v>12</v>
      </c>
      <c r="J8" s="87">
        <f>+I8</f>
        <v>12</v>
      </c>
    </row>
    <row r="9" spans="1:10" ht="18" x14ac:dyDescent="0.3">
      <c r="A9" s="78"/>
      <c r="B9" s="79"/>
      <c r="C9" s="79"/>
      <c r="D9" s="94"/>
      <c r="E9" s="89"/>
      <c r="F9" s="89"/>
      <c r="G9" s="89"/>
      <c r="H9" s="89"/>
      <c r="I9" s="93"/>
      <c r="J9" s="91">
        <f t="shared" ref="J9:J46" si="0">+PRODUCT(E9:I9)</f>
        <v>0</v>
      </c>
    </row>
    <row r="10" spans="1:10" ht="18" x14ac:dyDescent="0.3">
      <c r="A10" s="78"/>
      <c r="B10" s="79"/>
      <c r="C10" s="79"/>
      <c r="D10" s="94"/>
      <c r="E10" s="89"/>
      <c r="F10" s="89"/>
      <c r="G10" s="89"/>
      <c r="H10" s="89"/>
      <c r="I10" s="93"/>
      <c r="J10" s="91">
        <f t="shared" si="0"/>
        <v>0</v>
      </c>
    </row>
    <row r="11" spans="1:10" ht="18" x14ac:dyDescent="0.3">
      <c r="A11" s="78"/>
      <c r="B11" s="79"/>
      <c r="C11" s="79"/>
      <c r="D11" s="94"/>
      <c r="E11" s="89"/>
      <c r="F11" s="89"/>
      <c r="G11" s="89"/>
      <c r="H11" s="89"/>
      <c r="I11" s="93"/>
      <c r="J11" s="91">
        <f t="shared" si="0"/>
        <v>0</v>
      </c>
    </row>
    <row r="12" spans="1:10" ht="18" x14ac:dyDescent="0.3">
      <c r="A12" s="78"/>
      <c r="B12" s="79"/>
      <c r="C12" s="79"/>
      <c r="D12" s="94"/>
      <c r="E12" s="89"/>
      <c r="F12" s="89"/>
      <c r="G12" s="89"/>
      <c r="H12" s="89"/>
      <c r="I12" s="93"/>
      <c r="J12" s="91">
        <f t="shared" si="0"/>
        <v>0</v>
      </c>
    </row>
    <row r="13" spans="1:10" ht="18" x14ac:dyDescent="0.3">
      <c r="A13" s="78"/>
      <c r="B13" s="79"/>
      <c r="C13" s="79"/>
      <c r="D13" s="94"/>
      <c r="E13" s="89"/>
      <c r="F13" s="89"/>
      <c r="G13" s="89"/>
      <c r="H13" s="89"/>
      <c r="I13" s="93"/>
      <c r="J13" s="91">
        <f t="shared" si="0"/>
        <v>0</v>
      </c>
    </row>
    <row r="14" spans="1:10" ht="18" x14ac:dyDescent="0.3">
      <c r="A14" s="78"/>
      <c r="B14" s="79"/>
      <c r="C14" s="79"/>
      <c r="D14" s="94"/>
      <c r="E14" s="89"/>
      <c r="F14" s="89"/>
      <c r="G14" s="89"/>
      <c r="H14" s="89"/>
      <c r="I14" s="93"/>
      <c r="J14" s="91">
        <f t="shared" si="0"/>
        <v>0</v>
      </c>
    </row>
    <row r="15" spans="1:10" ht="18" x14ac:dyDescent="0.3">
      <c r="A15" s="78"/>
      <c r="B15" s="79"/>
      <c r="C15" s="79"/>
      <c r="D15" s="94"/>
      <c r="E15" s="89"/>
      <c r="F15" s="89"/>
      <c r="G15" s="89"/>
      <c r="H15" s="89"/>
      <c r="I15" s="93"/>
      <c r="J15" s="91">
        <f t="shared" si="0"/>
        <v>0</v>
      </c>
    </row>
    <row r="16" spans="1:10" ht="18" x14ac:dyDescent="0.3">
      <c r="A16" s="78"/>
      <c r="B16" s="79"/>
      <c r="C16" s="79"/>
      <c r="D16" s="94"/>
      <c r="E16" s="89"/>
      <c r="F16" s="89"/>
      <c r="G16" s="89"/>
      <c r="H16" s="89"/>
      <c r="I16" s="93"/>
      <c r="J16" s="91">
        <f t="shared" si="0"/>
        <v>0</v>
      </c>
    </row>
    <row r="17" spans="1:10" ht="18" x14ac:dyDescent="0.3">
      <c r="A17" s="78"/>
      <c r="B17" s="79"/>
      <c r="C17" s="79"/>
      <c r="D17" s="94"/>
      <c r="E17" s="89"/>
      <c r="F17" s="89"/>
      <c r="G17" s="89"/>
      <c r="H17" s="89"/>
      <c r="I17" s="93"/>
      <c r="J17" s="91">
        <f t="shared" si="0"/>
        <v>0</v>
      </c>
    </row>
    <row r="18" spans="1:10" ht="18" x14ac:dyDescent="0.3">
      <c r="A18" s="78"/>
      <c r="B18" s="79"/>
      <c r="C18" s="79"/>
      <c r="D18" s="94"/>
      <c r="E18" s="89"/>
      <c r="F18" s="89"/>
      <c r="G18" s="89"/>
      <c r="H18" s="89"/>
      <c r="I18" s="93"/>
      <c r="J18" s="91">
        <f t="shared" si="0"/>
        <v>0</v>
      </c>
    </row>
    <row r="19" spans="1:10" ht="18" x14ac:dyDescent="0.3">
      <c r="A19" s="78"/>
      <c r="B19" s="79"/>
      <c r="C19" s="79"/>
      <c r="D19" s="95"/>
      <c r="E19" s="89"/>
      <c r="F19" s="89"/>
      <c r="G19" s="89"/>
      <c r="H19" s="89"/>
      <c r="I19" s="93"/>
      <c r="J19" s="91">
        <f t="shared" si="0"/>
        <v>0</v>
      </c>
    </row>
    <row r="20" spans="1:10" ht="18" x14ac:dyDescent="0.3">
      <c r="A20" s="78"/>
      <c r="B20" s="79"/>
      <c r="C20" s="79"/>
      <c r="D20" s="88"/>
      <c r="E20" s="89"/>
      <c r="F20" s="89"/>
      <c r="G20" s="89"/>
      <c r="H20" s="89"/>
      <c r="I20" s="90"/>
      <c r="J20" s="91">
        <f t="shared" si="0"/>
        <v>0</v>
      </c>
    </row>
    <row r="21" spans="1:10" ht="18" x14ac:dyDescent="0.3">
      <c r="A21" s="78"/>
      <c r="B21" s="79"/>
      <c r="C21" s="79"/>
      <c r="D21" s="88"/>
      <c r="E21" s="89"/>
      <c r="F21" s="89"/>
      <c r="G21" s="89"/>
      <c r="H21" s="89"/>
      <c r="I21" s="90"/>
      <c r="J21" s="91">
        <f t="shared" si="0"/>
        <v>0</v>
      </c>
    </row>
    <row r="22" spans="1:10" ht="18" x14ac:dyDescent="0.3">
      <c r="A22" s="78"/>
      <c r="B22" s="79"/>
      <c r="C22" s="79"/>
      <c r="D22" s="88"/>
      <c r="E22" s="89"/>
      <c r="F22" s="89"/>
      <c r="G22" s="89"/>
      <c r="H22" s="89"/>
      <c r="I22" s="90"/>
      <c r="J22" s="91">
        <f t="shared" si="0"/>
        <v>0</v>
      </c>
    </row>
    <row r="23" spans="1:10" ht="18" x14ac:dyDescent="0.3">
      <c r="A23" s="78"/>
      <c r="B23" s="79"/>
      <c r="C23" s="79"/>
      <c r="D23" s="94"/>
      <c r="E23" s="89"/>
      <c r="F23" s="89"/>
      <c r="G23" s="89"/>
      <c r="H23" s="89"/>
      <c r="I23" s="93"/>
      <c r="J23" s="91">
        <f t="shared" si="0"/>
        <v>0</v>
      </c>
    </row>
    <row r="24" spans="1:10" ht="18" x14ac:dyDescent="0.3">
      <c r="A24" s="78"/>
      <c r="B24" s="79"/>
      <c r="C24" s="79"/>
      <c r="D24" s="94"/>
      <c r="E24" s="89"/>
      <c r="F24" s="89"/>
      <c r="G24" s="89"/>
      <c r="H24" s="89"/>
      <c r="I24" s="93"/>
      <c r="J24" s="91">
        <f t="shared" si="0"/>
        <v>0</v>
      </c>
    </row>
    <row r="25" spans="1:10" ht="18" x14ac:dyDescent="0.3">
      <c r="A25" s="78"/>
      <c r="B25" s="79"/>
      <c r="C25" s="79"/>
      <c r="D25" s="94"/>
      <c r="E25" s="89"/>
      <c r="F25" s="89"/>
      <c r="G25" s="89"/>
      <c r="H25" s="89"/>
      <c r="I25" s="93"/>
      <c r="J25" s="91">
        <f t="shared" si="0"/>
        <v>0</v>
      </c>
    </row>
    <row r="26" spans="1:10" ht="18" x14ac:dyDescent="0.3">
      <c r="A26" s="78"/>
      <c r="B26" s="79"/>
      <c r="C26" s="79"/>
      <c r="D26" s="94"/>
      <c r="E26" s="89"/>
      <c r="F26" s="89"/>
      <c r="G26" s="89"/>
      <c r="H26" s="89"/>
      <c r="I26" s="93"/>
      <c r="J26" s="91">
        <f t="shared" si="0"/>
        <v>0</v>
      </c>
    </row>
    <row r="27" spans="1:10" ht="18" x14ac:dyDescent="0.3">
      <c r="A27" s="78"/>
      <c r="B27" s="79"/>
      <c r="C27" s="79"/>
      <c r="D27" s="94"/>
      <c r="E27" s="89"/>
      <c r="F27" s="89"/>
      <c r="G27" s="89"/>
      <c r="H27" s="89"/>
      <c r="I27" s="93"/>
      <c r="J27" s="91">
        <f t="shared" si="0"/>
        <v>0</v>
      </c>
    </row>
    <row r="28" spans="1:10" ht="18" x14ac:dyDescent="0.3">
      <c r="A28" s="78"/>
      <c r="B28" s="79"/>
      <c r="C28" s="79"/>
      <c r="D28" s="94"/>
      <c r="E28" s="89"/>
      <c r="F28" s="89"/>
      <c r="G28" s="89"/>
      <c r="H28" s="89"/>
      <c r="I28" s="93"/>
      <c r="J28" s="91">
        <f t="shared" si="0"/>
        <v>0</v>
      </c>
    </row>
    <row r="29" spans="1:10" ht="18" x14ac:dyDescent="0.3">
      <c r="A29" s="78"/>
      <c r="B29" s="79"/>
      <c r="C29" s="79"/>
      <c r="D29" s="94"/>
      <c r="E29" s="89"/>
      <c r="F29" s="89"/>
      <c r="G29" s="89"/>
      <c r="H29" s="89"/>
      <c r="I29" s="93"/>
      <c r="J29" s="91">
        <f t="shared" si="0"/>
        <v>0</v>
      </c>
    </row>
    <row r="30" spans="1:10" ht="18" x14ac:dyDescent="0.3">
      <c r="A30" s="78"/>
      <c r="B30" s="79"/>
      <c r="C30" s="79"/>
      <c r="D30" s="94"/>
      <c r="E30" s="89"/>
      <c r="F30" s="89"/>
      <c r="G30" s="89"/>
      <c r="H30" s="89"/>
      <c r="I30" s="93"/>
      <c r="J30" s="91">
        <f t="shared" si="0"/>
        <v>0</v>
      </c>
    </row>
    <row r="31" spans="1:10" ht="18" x14ac:dyDescent="0.3">
      <c r="A31" s="78"/>
      <c r="B31" s="79"/>
      <c r="C31" s="79"/>
      <c r="D31" s="94"/>
      <c r="E31" s="89"/>
      <c r="F31" s="89"/>
      <c r="G31" s="89"/>
      <c r="H31" s="89"/>
      <c r="I31" s="93"/>
      <c r="J31" s="91">
        <f t="shared" si="0"/>
        <v>0</v>
      </c>
    </row>
    <row r="32" spans="1:10" ht="18" x14ac:dyDescent="0.3">
      <c r="A32" s="78"/>
      <c r="B32" s="79"/>
      <c r="C32" s="79"/>
      <c r="D32" s="94"/>
      <c r="E32" s="89"/>
      <c r="F32" s="89"/>
      <c r="G32" s="89"/>
      <c r="H32" s="89"/>
      <c r="I32" s="93"/>
      <c r="J32" s="91">
        <f t="shared" si="0"/>
        <v>0</v>
      </c>
    </row>
    <row r="33" spans="1:13" ht="18" x14ac:dyDescent="0.3">
      <c r="A33" s="78"/>
      <c r="B33" s="79"/>
      <c r="C33" s="79"/>
      <c r="D33" s="94"/>
      <c r="E33" s="89"/>
      <c r="F33" s="89"/>
      <c r="G33" s="89"/>
      <c r="H33" s="89"/>
      <c r="I33" s="93"/>
      <c r="J33" s="91">
        <f t="shared" si="0"/>
        <v>0</v>
      </c>
    </row>
    <row r="34" spans="1:13" ht="18" x14ac:dyDescent="0.3">
      <c r="A34" s="78"/>
      <c r="B34" s="79"/>
      <c r="C34" s="79"/>
      <c r="D34" s="94"/>
      <c r="E34" s="89"/>
      <c r="F34" s="89"/>
      <c r="G34" s="89"/>
      <c r="H34" s="89"/>
      <c r="I34" s="93"/>
      <c r="J34" s="91">
        <f t="shared" si="0"/>
        <v>0</v>
      </c>
    </row>
    <row r="35" spans="1:13" ht="18" x14ac:dyDescent="0.3">
      <c r="A35" s="78"/>
      <c r="B35" s="79"/>
      <c r="C35" s="79"/>
      <c r="D35" s="94"/>
      <c r="E35" s="89"/>
      <c r="F35" s="89"/>
      <c r="G35" s="89"/>
      <c r="H35" s="89"/>
      <c r="I35" s="93"/>
      <c r="J35" s="91">
        <f t="shared" si="0"/>
        <v>0</v>
      </c>
    </row>
    <row r="36" spans="1:13" ht="18" x14ac:dyDescent="0.3">
      <c r="A36" s="78"/>
      <c r="B36" s="79"/>
      <c r="C36" s="79"/>
      <c r="D36" s="94"/>
      <c r="E36" s="89"/>
      <c r="F36" s="89"/>
      <c r="G36" s="89"/>
      <c r="H36" s="89"/>
      <c r="I36" s="93"/>
      <c r="J36" s="91">
        <f t="shared" si="0"/>
        <v>0</v>
      </c>
    </row>
    <row r="37" spans="1:13" ht="18" x14ac:dyDescent="0.3">
      <c r="A37" s="78"/>
      <c r="B37" s="79"/>
      <c r="C37" s="79"/>
      <c r="D37" s="94"/>
      <c r="E37" s="89"/>
      <c r="F37" s="89"/>
      <c r="G37" s="89"/>
      <c r="H37" s="89"/>
      <c r="I37" s="93"/>
      <c r="J37" s="91">
        <f t="shared" si="0"/>
        <v>0</v>
      </c>
    </row>
    <row r="38" spans="1:13" ht="18" x14ac:dyDescent="0.3">
      <c r="A38" s="78"/>
      <c r="B38" s="79"/>
      <c r="C38" s="79"/>
      <c r="D38" s="94"/>
      <c r="E38" s="89"/>
      <c r="F38" s="89"/>
      <c r="G38" s="89"/>
      <c r="H38" s="89"/>
      <c r="I38" s="93"/>
      <c r="J38" s="91">
        <f t="shared" si="0"/>
        <v>0</v>
      </c>
    </row>
    <row r="39" spans="1:13" ht="18" x14ac:dyDescent="0.3">
      <c r="A39" s="78"/>
      <c r="B39" s="79"/>
      <c r="C39" s="79"/>
      <c r="D39" s="94"/>
      <c r="E39" s="89"/>
      <c r="F39" s="89"/>
      <c r="G39" s="89"/>
      <c r="H39" s="89"/>
      <c r="I39" s="93"/>
      <c r="J39" s="91">
        <f t="shared" si="0"/>
        <v>0</v>
      </c>
    </row>
    <row r="40" spans="1:13" ht="18" x14ac:dyDescent="0.3">
      <c r="A40" s="78"/>
      <c r="B40" s="79"/>
      <c r="C40" s="79"/>
      <c r="D40" s="94"/>
      <c r="E40" s="89"/>
      <c r="F40" s="89"/>
      <c r="G40" s="92"/>
      <c r="H40" s="89"/>
      <c r="I40" s="93"/>
      <c r="J40" s="91"/>
    </row>
    <row r="41" spans="1:13" ht="18" x14ac:dyDescent="0.3">
      <c r="A41" s="78"/>
      <c r="B41" s="79"/>
      <c r="C41" s="79"/>
      <c r="D41" s="94"/>
      <c r="E41" s="89"/>
      <c r="F41" s="89"/>
      <c r="G41" s="92"/>
      <c r="H41" s="89"/>
      <c r="I41" s="93"/>
      <c r="J41" s="91"/>
    </row>
    <row r="42" spans="1:13" ht="18" x14ac:dyDescent="0.3">
      <c r="A42" s="78"/>
      <c r="B42" s="79"/>
      <c r="C42" s="79"/>
      <c r="D42" s="94"/>
      <c r="E42" s="89"/>
      <c r="F42" s="89"/>
      <c r="G42" s="92"/>
      <c r="H42" s="89"/>
      <c r="I42" s="93"/>
      <c r="J42" s="91"/>
    </row>
    <row r="43" spans="1:13" ht="18" x14ac:dyDescent="0.3">
      <c r="A43" s="78"/>
      <c r="B43" s="79"/>
      <c r="C43" s="79"/>
      <c r="D43" s="94"/>
      <c r="E43" s="89"/>
      <c r="F43" s="89"/>
      <c r="G43" s="92"/>
      <c r="H43" s="89"/>
      <c r="I43" s="93"/>
      <c r="J43" s="91"/>
    </row>
    <row r="44" spans="1:13" ht="18" x14ac:dyDescent="0.3">
      <c r="A44" s="78"/>
      <c r="B44" s="79"/>
      <c r="C44" s="79"/>
      <c r="D44" s="94"/>
      <c r="E44" s="89"/>
      <c r="F44" s="89"/>
      <c r="G44" s="92"/>
      <c r="H44" s="89"/>
      <c r="I44" s="93"/>
      <c r="J44" s="91"/>
    </row>
    <row r="45" spans="1:13" ht="18" x14ac:dyDescent="0.3">
      <c r="A45" s="78"/>
      <c r="B45" s="79"/>
      <c r="C45" s="79"/>
      <c r="D45" s="95"/>
      <c r="E45" s="89"/>
      <c r="F45" s="89"/>
      <c r="G45" s="92"/>
      <c r="H45" s="89"/>
      <c r="I45" s="93"/>
      <c r="J45" s="91">
        <f t="shared" si="0"/>
        <v>0</v>
      </c>
    </row>
    <row r="46" spans="1:13" ht="18.75" thickBot="1" x14ac:dyDescent="0.35">
      <c r="A46" s="78"/>
      <c r="B46" s="79"/>
      <c r="C46" s="79"/>
      <c r="D46" s="96"/>
      <c r="E46" s="97"/>
      <c r="F46" s="97"/>
      <c r="G46" s="98"/>
      <c r="H46" s="97"/>
      <c r="I46" s="99"/>
      <c r="J46" s="100">
        <f t="shared" si="0"/>
        <v>0</v>
      </c>
      <c r="M46" s="105"/>
    </row>
    <row r="47" spans="1:13" ht="21" thickBot="1" x14ac:dyDescent="0.35">
      <c r="A47" s="78"/>
      <c r="B47" s="79"/>
      <c r="C47" s="79"/>
      <c r="D47" s="933" t="s">
        <v>10</v>
      </c>
      <c r="E47" s="934"/>
      <c r="F47" s="934"/>
      <c r="G47" s="934"/>
      <c r="H47" s="934"/>
      <c r="I47" s="935"/>
      <c r="J47" s="102">
        <f>ROUND(SUM(J8:J46),2)</f>
        <v>12</v>
      </c>
    </row>
    <row r="48" spans="1:13" ht="21" thickBot="1" x14ac:dyDescent="0.35">
      <c r="A48" s="78"/>
      <c r="B48" s="79"/>
      <c r="C48" s="79"/>
      <c r="D48" s="933" t="s">
        <v>1127</v>
      </c>
      <c r="E48" s="934"/>
      <c r="F48" s="934"/>
      <c r="G48" s="934"/>
      <c r="H48" s="934"/>
      <c r="I48" s="935"/>
      <c r="J48" s="103"/>
    </row>
    <row r="49" spans="1:10" ht="21" thickBot="1" x14ac:dyDescent="0.35">
      <c r="A49" s="78"/>
      <c r="B49" s="79"/>
      <c r="C49" s="101"/>
      <c r="D49" s="933" t="s">
        <v>1128</v>
      </c>
      <c r="E49" s="934"/>
      <c r="F49" s="934"/>
      <c r="G49" s="934"/>
      <c r="H49" s="934"/>
      <c r="I49" s="935"/>
      <c r="J49" s="104">
        <f>+J47-J48</f>
        <v>12</v>
      </c>
    </row>
    <row r="50" spans="1:10" ht="21" thickBot="1" x14ac:dyDescent="0.35">
      <c r="A50" s="936" t="s">
        <v>1129</v>
      </c>
      <c r="B50" s="937"/>
      <c r="C50" s="938"/>
      <c r="D50" s="939" t="s">
        <v>1130</v>
      </c>
      <c r="E50" s="940"/>
      <c r="F50" s="940"/>
      <c r="G50" s="940"/>
      <c r="H50" s="940"/>
      <c r="I50" s="940"/>
      <c r="J50" s="941"/>
    </row>
    <row r="51" spans="1:10" ht="38.25" customHeight="1" thickBot="1" x14ac:dyDescent="0.35">
      <c r="A51" s="942" t="str">
        <f>PPTO!G3</f>
        <v>JUNIO DE 2026</v>
      </c>
      <c r="B51" s="943"/>
      <c r="C51" s="944"/>
      <c r="D51" s="921"/>
      <c r="E51" s="922"/>
      <c r="F51" s="922"/>
      <c r="G51" s="922"/>
      <c r="H51" s="922"/>
      <c r="I51" s="922"/>
      <c r="J51" s="923"/>
    </row>
    <row r="52" spans="1:10" ht="19.5" thickBot="1" x14ac:dyDescent="0.35">
      <c r="A52" s="918"/>
      <c r="B52" s="919"/>
      <c r="C52" s="920"/>
      <c r="D52" s="921" t="s">
        <v>1131</v>
      </c>
      <c r="E52" s="922"/>
      <c r="F52" s="922"/>
      <c r="G52" s="922"/>
      <c r="H52" s="922"/>
      <c r="I52" s="922"/>
      <c r="J52" s="923"/>
    </row>
  </sheetData>
  <mergeCells count="19">
    <mergeCell ref="A2:J2"/>
    <mergeCell ref="A3:J3"/>
    <mergeCell ref="A4:J4"/>
    <mergeCell ref="C5:D5"/>
    <mergeCell ref="G5:H5"/>
    <mergeCell ref="I5:J5"/>
    <mergeCell ref="A52:C52"/>
    <mergeCell ref="D52:J52"/>
    <mergeCell ref="D6:D7"/>
    <mergeCell ref="E6:G6"/>
    <mergeCell ref="I6:I7"/>
    <mergeCell ref="J6:J7"/>
    <mergeCell ref="D47:I47"/>
    <mergeCell ref="D48:I48"/>
    <mergeCell ref="D49:I49"/>
    <mergeCell ref="A50:C50"/>
    <mergeCell ref="D50:J50"/>
    <mergeCell ref="A51:C51"/>
    <mergeCell ref="D51:J51"/>
  </mergeCells>
  <conditionalFormatting sqref="J8:J46">
    <cfRule type="cellIs" dxfId="19" priority="1" operator="equal">
      <formula>0</formula>
    </cfRule>
  </conditionalFormatting>
  <pageMargins left="0.7" right="0.7" top="0.75" bottom="0.75" header="0.3" footer="0.3"/>
  <pageSetup scale="50" orientation="landscape" r:id="rId1"/>
  <drawing r:id="rId2"/>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C5A018-66ED-41A0-893E-CF87E15830DF}">
  <sheetPr>
    <tabColor rgb="FFD4ECBA"/>
    <pageSetUpPr fitToPage="1"/>
  </sheetPr>
  <dimension ref="A1:M52"/>
  <sheetViews>
    <sheetView showOutlineSymbols="0" view="pageBreakPreview" topLeftCell="A20" zoomScale="60" zoomScaleNormal="70" workbookViewId="0">
      <selection activeCell="I10" sqref="I10"/>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05.75" customHeight="1" thickBot="1" x14ac:dyDescent="0.35">
      <c r="A5" s="72" t="s">
        <v>5</v>
      </c>
      <c r="B5" s="470">
        <v>7.1</v>
      </c>
      <c r="C5" s="913" t="str">
        <f>PPTO!C70</f>
        <v>suministro y construcción de caja sanitaria de 80x80 cm vaciada en concreto de 21MPa,  incluye tapa reforzada y todo lo requerido para su construcción .</v>
      </c>
      <c r="D5" s="914"/>
      <c r="E5" s="72" t="s">
        <v>7</v>
      </c>
      <c r="F5" s="74" t="str">
        <f>+VLOOKUP(B5,PPTO!B8:G94,3,FALSE)</f>
        <v>UN</v>
      </c>
      <c r="G5" s="915" t="s">
        <v>1120</v>
      </c>
      <c r="H5" s="915"/>
      <c r="I5" s="916">
        <f>+VLOOKUP(B5,PPTO!B8:G94,5,FALSE)</f>
        <v>57880.393582914476</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8" x14ac:dyDescent="0.3">
      <c r="A8" s="78"/>
      <c r="B8" s="79"/>
      <c r="C8" s="79"/>
      <c r="D8" s="88" t="s">
        <v>1238</v>
      </c>
      <c r="E8" s="89"/>
      <c r="F8" s="89"/>
      <c r="G8" s="89"/>
      <c r="H8" s="89"/>
      <c r="I8" s="90">
        <v>3</v>
      </c>
      <c r="J8" s="87">
        <f>+I8</f>
        <v>3</v>
      </c>
    </row>
    <row r="9" spans="1:10" ht="18" x14ac:dyDescent="0.3">
      <c r="A9" s="78"/>
      <c r="B9" s="79"/>
      <c r="C9" s="79"/>
      <c r="D9" s="94" t="s">
        <v>1239</v>
      </c>
      <c r="E9" s="89"/>
      <c r="F9" s="89"/>
      <c r="G9" s="89"/>
      <c r="H9" s="89"/>
      <c r="I9" s="93">
        <v>3</v>
      </c>
      <c r="J9" s="91">
        <f t="shared" ref="J9:J46" si="0">+PRODUCT(E9:I9)</f>
        <v>3</v>
      </c>
    </row>
    <row r="10" spans="1:10" ht="18" x14ac:dyDescent="0.3">
      <c r="A10" s="78"/>
      <c r="B10" s="79"/>
      <c r="C10" s="79"/>
      <c r="D10" s="94"/>
      <c r="E10" s="89"/>
      <c r="F10" s="89"/>
      <c r="G10" s="89"/>
      <c r="H10" s="89"/>
      <c r="I10" s="93"/>
      <c r="J10" s="91">
        <f t="shared" si="0"/>
        <v>0</v>
      </c>
    </row>
    <row r="11" spans="1:10" ht="18" x14ac:dyDescent="0.3">
      <c r="A11" s="78"/>
      <c r="B11" s="79"/>
      <c r="C11" s="79"/>
      <c r="D11" s="94"/>
      <c r="E11" s="89"/>
      <c r="F11" s="89"/>
      <c r="G11" s="89"/>
      <c r="H11" s="89"/>
      <c r="I11" s="93"/>
      <c r="J11" s="91">
        <f t="shared" si="0"/>
        <v>0</v>
      </c>
    </row>
    <row r="12" spans="1:10" ht="18" x14ac:dyDescent="0.3">
      <c r="A12" s="78"/>
      <c r="B12" s="79"/>
      <c r="C12" s="79"/>
      <c r="D12" s="94"/>
      <c r="E12" s="89"/>
      <c r="F12" s="89"/>
      <c r="G12" s="89"/>
      <c r="H12" s="89"/>
      <c r="I12" s="93"/>
      <c r="J12" s="91">
        <f t="shared" si="0"/>
        <v>0</v>
      </c>
    </row>
    <row r="13" spans="1:10" ht="18" x14ac:dyDescent="0.3">
      <c r="A13" s="78"/>
      <c r="B13" s="79"/>
      <c r="C13" s="79"/>
      <c r="D13" s="94"/>
      <c r="E13" s="89"/>
      <c r="F13" s="89"/>
      <c r="G13" s="89"/>
      <c r="H13" s="89"/>
      <c r="I13" s="93"/>
      <c r="J13" s="91">
        <f t="shared" si="0"/>
        <v>0</v>
      </c>
    </row>
    <row r="14" spans="1:10" ht="18" x14ac:dyDescent="0.3">
      <c r="A14" s="78"/>
      <c r="B14" s="79"/>
      <c r="C14" s="79"/>
      <c r="D14" s="94"/>
      <c r="E14" s="89"/>
      <c r="F14" s="89"/>
      <c r="G14" s="89"/>
      <c r="H14" s="89"/>
      <c r="I14" s="93"/>
      <c r="J14" s="91">
        <f t="shared" si="0"/>
        <v>0</v>
      </c>
    </row>
    <row r="15" spans="1:10" ht="18" x14ac:dyDescent="0.3">
      <c r="A15" s="78"/>
      <c r="B15" s="79"/>
      <c r="C15" s="79"/>
      <c r="D15" s="94"/>
      <c r="E15" s="89"/>
      <c r="F15" s="89"/>
      <c r="G15" s="89"/>
      <c r="H15" s="89"/>
      <c r="I15" s="93"/>
      <c r="J15" s="91">
        <f t="shared" si="0"/>
        <v>0</v>
      </c>
    </row>
    <row r="16" spans="1:10" ht="18" x14ac:dyDescent="0.3">
      <c r="A16" s="78"/>
      <c r="B16" s="79"/>
      <c r="C16" s="79"/>
      <c r="D16" s="94"/>
      <c r="E16" s="89"/>
      <c r="F16" s="89"/>
      <c r="G16" s="89"/>
      <c r="H16" s="89"/>
      <c r="I16" s="93"/>
      <c r="J16" s="91">
        <f t="shared" si="0"/>
        <v>0</v>
      </c>
    </row>
    <row r="17" spans="1:10" ht="18" x14ac:dyDescent="0.3">
      <c r="A17" s="78"/>
      <c r="B17" s="79"/>
      <c r="C17" s="79"/>
      <c r="D17" s="94"/>
      <c r="E17" s="89"/>
      <c r="F17" s="89"/>
      <c r="G17" s="89"/>
      <c r="H17" s="89"/>
      <c r="I17" s="93"/>
      <c r="J17" s="91">
        <f t="shared" si="0"/>
        <v>0</v>
      </c>
    </row>
    <row r="18" spans="1:10" ht="18" x14ac:dyDescent="0.3">
      <c r="A18" s="78"/>
      <c r="B18" s="79"/>
      <c r="C18" s="79"/>
      <c r="D18" s="94"/>
      <c r="E18" s="89"/>
      <c r="F18" s="89"/>
      <c r="G18" s="89"/>
      <c r="H18" s="89"/>
      <c r="I18" s="93"/>
      <c r="J18" s="91">
        <f t="shared" si="0"/>
        <v>0</v>
      </c>
    </row>
    <row r="19" spans="1:10" ht="18" x14ac:dyDescent="0.3">
      <c r="A19" s="78"/>
      <c r="B19" s="79"/>
      <c r="C19" s="79"/>
      <c r="D19" s="95"/>
      <c r="E19" s="89"/>
      <c r="F19" s="89"/>
      <c r="G19" s="89"/>
      <c r="H19" s="89"/>
      <c r="I19" s="93"/>
      <c r="J19" s="91">
        <f t="shared" si="0"/>
        <v>0</v>
      </c>
    </row>
    <row r="20" spans="1:10" ht="18" x14ac:dyDescent="0.3">
      <c r="A20" s="78"/>
      <c r="B20" s="79"/>
      <c r="C20" s="79"/>
      <c r="D20" s="88"/>
      <c r="E20" s="89"/>
      <c r="F20" s="89"/>
      <c r="G20" s="89"/>
      <c r="H20" s="89"/>
      <c r="I20" s="90"/>
      <c r="J20" s="91">
        <f t="shared" si="0"/>
        <v>0</v>
      </c>
    </row>
    <row r="21" spans="1:10" ht="18" x14ac:dyDescent="0.3">
      <c r="A21" s="78"/>
      <c r="B21" s="79"/>
      <c r="C21" s="79"/>
      <c r="D21" s="88"/>
      <c r="E21" s="89"/>
      <c r="F21" s="89"/>
      <c r="G21" s="89"/>
      <c r="H21" s="89"/>
      <c r="I21" s="90"/>
      <c r="J21" s="91">
        <f t="shared" si="0"/>
        <v>0</v>
      </c>
    </row>
    <row r="22" spans="1:10" ht="18" x14ac:dyDescent="0.3">
      <c r="A22" s="78"/>
      <c r="B22" s="79"/>
      <c r="C22" s="79"/>
      <c r="D22" s="88"/>
      <c r="E22" s="89"/>
      <c r="F22" s="89"/>
      <c r="G22" s="89"/>
      <c r="H22" s="89"/>
      <c r="I22" s="90"/>
      <c r="J22" s="91">
        <f t="shared" si="0"/>
        <v>0</v>
      </c>
    </row>
    <row r="23" spans="1:10" ht="18" x14ac:dyDescent="0.3">
      <c r="A23" s="78"/>
      <c r="B23" s="79"/>
      <c r="C23" s="79"/>
      <c r="D23" s="94"/>
      <c r="E23" s="89"/>
      <c r="F23" s="89"/>
      <c r="G23" s="89"/>
      <c r="H23" s="89"/>
      <c r="I23" s="93"/>
      <c r="J23" s="91">
        <f t="shared" si="0"/>
        <v>0</v>
      </c>
    </row>
    <row r="24" spans="1:10" ht="18" x14ac:dyDescent="0.3">
      <c r="A24" s="78"/>
      <c r="B24" s="79"/>
      <c r="C24" s="79"/>
      <c r="D24" s="94"/>
      <c r="E24" s="89"/>
      <c r="F24" s="89"/>
      <c r="G24" s="89"/>
      <c r="H24" s="89"/>
      <c r="I24" s="93"/>
      <c r="J24" s="91">
        <f t="shared" si="0"/>
        <v>0</v>
      </c>
    </row>
    <row r="25" spans="1:10" ht="18" x14ac:dyDescent="0.3">
      <c r="A25" s="78"/>
      <c r="B25" s="79"/>
      <c r="C25" s="79"/>
      <c r="D25" s="94"/>
      <c r="E25" s="89"/>
      <c r="F25" s="89"/>
      <c r="G25" s="89"/>
      <c r="H25" s="89"/>
      <c r="I25" s="93"/>
      <c r="J25" s="91">
        <f t="shared" si="0"/>
        <v>0</v>
      </c>
    </row>
    <row r="26" spans="1:10" ht="18" x14ac:dyDescent="0.3">
      <c r="A26" s="78"/>
      <c r="B26" s="79"/>
      <c r="C26" s="79"/>
      <c r="D26" s="94"/>
      <c r="E26" s="89"/>
      <c r="F26" s="89"/>
      <c r="G26" s="89"/>
      <c r="H26" s="89"/>
      <c r="I26" s="93"/>
      <c r="J26" s="91">
        <f t="shared" si="0"/>
        <v>0</v>
      </c>
    </row>
    <row r="27" spans="1:10" ht="18" x14ac:dyDescent="0.3">
      <c r="A27" s="78"/>
      <c r="B27" s="79"/>
      <c r="C27" s="79"/>
      <c r="D27" s="94"/>
      <c r="E27" s="89"/>
      <c r="F27" s="89"/>
      <c r="G27" s="89"/>
      <c r="H27" s="89"/>
      <c r="I27" s="93"/>
      <c r="J27" s="91">
        <f t="shared" si="0"/>
        <v>0</v>
      </c>
    </row>
    <row r="28" spans="1:10" ht="18" x14ac:dyDescent="0.3">
      <c r="A28" s="78"/>
      <c r="B28" s="79"/>
      <c r="C28" s="79"/>
      <c r="D28" s="94"/>
      <c r="E28" s="89"/>
      <c r="F28" s="89"/>
      <c r="G28" s="89"/>
      <c r="H28" s="89"/>
      <c r="I28" s="93"/>
      <c r="J28" s="91">
        <f t="shared" si="0"/>
        <v>0</v>
      </c>
    </row>
    <row r="29" spans="1:10" ht="18" x14ac:dyDescent="0.3">
      <c r="A29" s="78"/>
      <c r="B29" s="79"/>
      <c r="C29" s="79"/>
      <c r="D29" s="94"/>
      <c r="E29" s="89"/>
      <c r="F29" s="89"/>
      <c r="G29" s="89"/>
      <c r="H29" s="89"/>
      <c r="I29" s="93"/>
      <c r="J29" s="91">
        <f t="shared" si="0"/>
        <v>0</v>
      </c>
    </row>
    <row r="30" spans="1:10" ht="18" x14ac:dyDescent="0.3">
      <c r="A30" s="78"/>
      <c r="B30" s="79"/>
      <c r="C30" s="79"/>
      <c r="D30" s="94"/>
      <c r="E30" s="89"/>
      <c r="F30" s="89"/>
      <c r="G30" s="89"/>
      <c r="H30" s="89"/>
      <c r="I30" s="93"/>
      <c r="J30" s="91">
        <f t="shared" si="0"/>
        <v>0</v>
      </c>
    </row>
    <row r="31" spans="1:10" ht="18" x14ac:dyDescent="0.3">
      <c r="A31" s="78"/>
      <c r="B31" s="79"/>
      <c r="C31" s="79"/>
      <c r="D31" s="94"/>
      <c r="E31" s="89"/>
      <c r="F31" s="89"/>
      <c r="G31" s="89"/>
      <c r="H31" s="89"/>
      <c r="I31" s="93"/>
      <c r="J31" s="91">
        <f t="shared" si="0"/>
        <v>0</v>
      </c>
    </row>
    <row r="32" spans="1:10" ht="18" x14ac:dyDescent="0.3">
      <c r="A32" s="78"/>
      <c r="B32" s="79"/>
      <c r="C32" s="79"/>
      <c r="D32" s="94"/>
      <c r="E32" s="89"/>
      <c r="F32" s="89"/>
      <c r="G32" s="89"/>
      <c r="H32" s="89"/>
      <c r="I32" s="93"/>
      <c r="J32" s="91">
        <f t="shared" si="0"/>
        <v>0</v>
      </c>
    </row>
    <row r="33" spans="1:13" ht="18" x14ac:dyDescent="0.3">
      <c r="A33" s="78"/>
      <c r="B33" s="79"/>
      <c r="C33" s="79"/>
      <c r="D33" s="94"/>
      <c r="E33" s="89"/>
      <c r="F33" s="89"/>
      <c r="G33" s="89"/>
      <c r="H33" s="89"/>
      <c r="I33" s="93"/>
      <c r="J33" s="91">
        <f t="shared" si="0"/>
        <v>0</v>
      </c>
    </row>
    <row r="34" spans="1:13" ht="18" x14ac:dyDescent="0.3">
      <c r="A34" s="78"/>
      <c r="B34" s="79"/>
      <c r="C34" s="79"/>
      <c r="D34" s="94"/>
      <c r="E34" s="89"/>
      <c r="F34" s="89"/>
      <c r="G34" s="89"/>
      <c r="H34" s="89"/>
      <c r="I34" s="93"/>
      <c r="J34" s="91">
        <f t="shared" si="0"/>
        <v>0</v>
      </c>
    </row>
    <row r="35" spans="1:13" ht="18" x14ac:dyDescent="0.3">
      <c r="A35" s="78"/>
      <c r="B35" s="79"/>
      <c r="C35" s="79"/>
      <c r="D35" s="94"/>
      <c r="E35" s="89"/>
      <c r="F35" s="89"/>
      <c r="G35" s="89"/>
      <c r="H35" s="89"/>
      <c r="I35" s="93"/>
      <c r="J35" s="91">
        <f t="shared" si="0"/>
        <v>0</v>
      </c>
    </row>
    <row r="36" spans="1:13" ht="18" x14ac:dyDescent="0.3">
      <c r="A36" s="78"/>
      <c r="B36" s="79"/>
      <c r="C36" s="79"/>
      <c r="D36" s="94"/>
      <c r="E36" s="89"/>
      <c r="F36" s="89"/>
      <c r="G36" s="89"/>
      <c r="H36" s="89"/>
      <c r="I36" s="93"/>
      <c r="J36" s="91">
        <f t="shared" si="0"/>
        <v>0</v>
      </c>
    </row>
    <row r="37" spans="1:13" ht="18" x14ac:dyDescent="0.3">
      <c r="A37" s="78"/>
      <c r="B37" s="79"/>
      <c r="C37" s="79"/>
      <c r="D37" s="94"/>
      <c r="E37" s="89"/>
      <c r="F37" s="89"/>
      <c r="G37" s="89"/>
      <c r="H37" s="89"/>
      <c r="I37" s="93"/>
      <c r="J37" s="91">
        <f t="shared" si="0"/>
        <v>0</v>
      </c>
    </row>
    <row r="38" spans="1:13" ht="18" x14ac:dyDescent="0.3">
      <c r="A38" s="78"/>
      <c r="B38" s="79"/>
      <c r="C38" s="79"/>
      <c r="D38" s="94"/>
      <c r="E38" s="89"/>
      <c r="F38" s="89"/>
      <c r="G38" s="89"/>
      <c r="H38" s="89"/>
      <c r="I38" s="93"/>
      <c r="J38" s="91">
        <f t="shared" si="0"/>
        <v>0</v>
      </c>
    </row>
    <row r="39" spans="1:13" ht="18" x14ac:dyDescent="0.3">
      <c r="A39" s="78"/>
      <c r="B39" s="79"/>
      <c r="C39" s="79"/>
      <c r="D39" s="94"/>
      <c r="E39" s="89"/>
      <c r="F39" s="89"/>
      <c r="G39" s="89"/>
      <c r="H39" s="89"/>
      <c r="I39" s="93"/>
      <c r="J39" s="91">
        <f t="shared" si="0"/>
        <v>0</v>
      </c>
    </row>
    <row r="40" spans="1:13" ht="18" x14ac:dyDescent="0.3">
      <c r="A40" s="78"/>
      <c r="B40" s="79"/>
      <c r="C40" s="79"/>
      <c r="D40" s="94"/>
      <c r="E40" s="89"/>
      <c r="F40" s="89"/>
      <c r="G40" s="92"/>
      <c r="H40" s="89"/>
      <c r="I40" s="93"/>
      <c r="J40" s="91"/>
    </row>
    <row r="41" spans="1:13" ht="18" x14ac:dyDescent="0.3">
      <c r="A41" s="78"/>
      <c r="B41" s="79"/>
      <c r="C41" s="79"/>
      <c r="D41" s="94"/>
      <c r="E41" s="89"/>
      <c r="F41" s="89"/>
      <c r="G41" s="92"/>
      <c r="H41" s="89"/>
      <c r="I41" s="93"/>
      <c r="J41" s="91"/>
    </row>
    <row r="42" spans="1:13" ht="18" x14ac:dyDescent="0.3">
      <c r="A42" s="78"/>
      <c r="B42" s="79"/>
      <c r="C42" s="79"/>
      <c r="D42" s="94"/>
      <c r="E42" s="89"/>
      <c r="F42" s="89"/>
      <c r="G42" s="92"/>
      <c r="H42" s="89"/>
      <c r="I42" s="93"/>
      <c r="J42" s="91"/>
    </row>
    <row r="43" spans="1:13" ht="18" x14ac:dyDescent="0.3">
      <c r="A43" s="78"/>
      <c r="B43" s="79"/>
      <c r="C43" s="79"/>
      <c r="D43" s="94"/>
      <c r="E43" s="89"/>
      <c r="F43" s="89"/>
      <c r="G43" s="92"/>
      <c r="H43" s="89"/>
      <c r="I43" s="93"/>
      <c r="J43" s="91"/>
    </row>
    <row r="44" spans="1:13" ht="18" x14ac:dyDescent="0.3">
      <c r="A44" s="78"/>
      <c r="B44" s="79"/>
      <c r="C44" s="79"/>
      <c r="D44" s="94"/>
      <c r="E44" s="89"/>
      <c r="F44" s="89"/>
      <c r="G44" s="92"/>
      <c r="H44" s="89"/>
      <c r="I44" s="93"/>
      <c r="J44" s="91"/>
    </row>
    <row r="45" spans="1:13" ht="18" x14ac:dyDescent="0.3">
      <c r="A45" s="78"/>
      <c r="B45" s="79"/>
      <c r="C45" s="79"/>
      <c r="D45" s="95"/>
      <c r="E45" s="89"/>
      <c r="F45" s="89"/>
      <c r="G45" s="92"/>
      <c r="H45" s="89"/>
      <c r="I45" s="93"/>
      <c r="J45" s="91">
        <f t="shared" si="0"/>
        <v>0</v>
      </c>
    </row>
    <row r="46" spans="1:13" ht="18.75" thickBot="1" x14ac:dyDescent="0.35">
      <c r="A46" s="78"/>
      <c r="B46" s="79"/>
      <c r="C46" s="79"/>
      <c r="D46" s="96"/>
      <c r="E46" s="97"/>
      <c r="F46" s="97"/>
      <c r="G46" s="98"/>
      <c r="H46" s="97"/>
      <c r="I46" s="99"/>
      <c r="J46" s="100">
        <f t="shared" si="0"/>
        <v>0</v>
      </c>
      <c r="M46" s="105"/>
    </row>
    <row r="47" spans="1:13" ht="21" thickBot="1" x14ac:dyDescent="0.35">
      <c r="A47" s="78"/>
      <c r="B47" s="79"/>
      <c r="C47" s="79"/>
      <c r="D47" s="933" t="s">
        <v>10</v>
      </c>
      <c r="E47" s="934"/>
      <c r="F47" s="934"/>
      <c r="G47" s="934"/>
      <c r="H47" s="934"/>
      <c r="I47" s="935"/>
      <c r="J47" s="102">
        <f>ROUND(SUM(J8:J46),2)</f>
        <v>6</v>
      </c>
    </row>
    <row r="48" spans="1:13" ht="21" thickBot="1" x14ac:dyDescent="0.35">
      <c r="A48" s="78"/>
      <c r="B48" s="79"/>
      <c r="C48" s="79"/>
      <c r="D48" s="933" t="s">
        <v>1127</v>
      </c>
      <c r="E48" s="934"/>
      <c r="F48" s="934"/>
      <c r="G48" s="934"/>
      <c r="H48" s="934"/>
      <c r="I48" s="935"/>
      <c r="J48" s="103"/>
    </row>
    <row r="49" spans="1:10" ht="21" thickBot="1" x14ac:dyDescent="0.35">
      <c r="A49" s="78"/>
      <c r="B49" s="79"/>
      <c r="C49" s="101"/>
      <c r="D49" s="933" t="s">
        <v>1128</v>
      </c>
      <c r="E49" s="934"/>
      <c r="F49" s="934"/>
      <c r="G49" s="934"/>
      <c r="H49" s="934"/>
      <c r="I49" s="935"/>
      <c r="J49" s="104">
        <f>+J47-J48</f>
        <v>6</v>
      </c>
    </row>
    <row r="50" spans="1:10" ht="21" thickBot="1" x14ac:dyDescent="0.35">
      <c r="A50" s="936" t="s">
        <v>1129</v>
      </c>
      <c r="B50" s="937"/>
      <c r="C50" s="938"/>
      <c r="D50" s="939" t="s">
        <v>1130</v>
      </c>
      <c r="E50" s="940"/>
      <c r="F50" s="940"/>
      <c r="G50" s="940"/>
      <c r="H50" s="940"/>
      <c r="I50" s="940"/>
      <c r="J50" s="941"/>
    </row>
    <row r="51" spans="1:10" ht="38.25" customHeight="1" thickBot="1" x14ac:dyDescent="0.35">
      <c r="A51" s="942" t="str">
        <f>PPTO!G3</f>
        <v>JUNIO DE 2026</v>
      </c>
      <c r="B51" s="943"/>
      <c r="C51" s="944"/>
      <c r="D51" s="921"/>
      <c r="E51" s="922"/>
      <c r="F51" s="922"/>
      <c r="G51" s="922"/>
      <c r="H51" s="922"/>
      <c r="I51" s="922"/>
      <c r="J51" s="923"/>
    </row>
    <row r="52" spans="1:10" ht="19.5" thickBot="1" x14ac:dyDescent="0.35">
      <c r="A52" s="918"/>
      <c r="B52" s="919"/>
      <c r="C52" s="920"/>
      <c r="D52" s="921" t="s">
        <v>1131</v>
      </c>
      <c r="E52" s="922"/>
      <c r="F52" s="922"/>
      <c r="G52" s="922"/>
      <c r="H52" s="922"/>
      <c r="I52" s="922"/>
      <c r="J52" s="923"/>
    </row>
  </sheetData>
  <mergeCells count="19">
    <mergeCell ref="A2:J2"/>
    <mergeCell ref="A3:J3"/>
    <mergeCell ref="A4:J4"/>
    <mergeCell ref="C5:D5"/>
    <mergeCell ref="G5:H5"/>
    <mergeCell ref="I5:J5"/>
    <mergeCell ref="A52:C52"/>
    <mergeCell ref="D52:J52"/>
    <mergeCell ref="D6:D7"/>
    <mergeCell ref="E6:G6"/>
    <mergeCell ref="I6:I7"/>
    <mergeCell ref="J6:J7"/>
    <mergeCell ref="D47:I47"/>
    <mergeCell ref="D48:I48"/>
    <mergeCell ref="D49:I49"/>
    <mergeCell ref="A50:C50"/>
    <mergeCell ref="D50:J50"/>
    <mergeCell ref="A51:C51"/>
    <mergeCell ref="D51:J51"/>
  </mergeCells>
  <conditionalFormatting sqref="J8:J46">
    <cfRule type="cellIs" dxfId="18" priority="1" operator="equal">
      <formula>0</formula>
    </cfRule>
  </conditionalFormatting>
  <pageMargins left="0.7" right="0.7" top="0.75" bottom="0.75" header="0.3" footer="0.3"/>
  <pageSetup scale="50" orientation="landscape" r:id="rId1"/>
  <drawing r:id="rId2"/>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BFC103-7D62-44AE-99D4-ED9CBE7A2A48}">
  <sheetPr>
    <tabColor rgb="FF92D050"/>
    <pageSetUpPr fitToPage="1"/>
  </sheetPr>
  <dimension ref="A1:M57"/>
  <sheetViews>
    <sheetView showOutlineSymbols="0" view="pageBreakPreview" zoomScale="60" zoomScaleNormal="70" workbookViewId="0">
      <selection activeCell="I22" sqref="I22"/>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05.75" customHeight="1" thickBot="1" x14ac:dyDescent="0.35">
      <c r="A5" s="72" t="s">
        <v>5</v>
      </c>
      <c r="B5" s="73">
        <v>8.1</v>
      </c>
      <c r="C5" s="913" t="str">
        <f>+VLOOKUP(B5,PPTO!B8:G94,2,FALSE)</f>
        <v>Suministro e instalación de ventanas en aluminio mate o negro, sistema fijo corredizo 50-20 y vidrio claro 6mm. Incluye alfajía, sello y todos sus accesorios para su correcta instalación y funcionamiento</v>
      </c>
      <c r="D5" s="914"/>
      <c r="E5" s="72" t="s">
        <v>7</v>
      </c>
      <c r="F5" s="74" t="str">
        <f>+VLOOKUP(B5,PPTO!B8:G94,3,FALSE)</f>
        <v xml:space="preserve"> M2</v>
      </c>
      <c r="G5" s="915" t="s">
        <v>1120</v>
      </c>
      <c r="H5" s="915"/>
      <c r="I5" s="916">
        <f>+VLOOKUP(B5,PPTO!B8:G94,5,FALSE)</f>
        <v>526186.14866331581</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8" x14ac:dyDescent="0.3">
      <c r="A8" s="78"/>
      <c r="B8" s="79"/>
      <c r="C8" s="79"/>
      <c r="D8" s="88" t="s">
        <v>1212</v>
      </c>
      <c r="E8" s="89">
        <v>3</v>
      </c>
      <c r="F8" s="89"/>
      <c r="G8" s="89">
        <v>1.5</v>
      </c>
      <c r="H8" s="89"/>
      <c r="I8" s="90">
        <v>3</v>
      </c>
      <c r="J8" s="91">
        <f t="shared" ref="J8:J51" si="0">+PRODUCT(E8:I8)</f>
        <v>13.5</v>
      </c>
    </row>
    <row r="9" spans="1:10" ht="18" x14ac:dyDescent="0.3">
      <c r="A9" s="78"/>
      <c r="B9" s="79"/>
      <c r="C9" s="79"/>
      <c r="D9" s="94" t="s">
        <v>1200</v>
      </c>
      <c r="E9" s="89">
        <v>2</v>
      </c>
      <c r="F9" s="89"/>
      <c r="G9" s="89">
        <v>1.5</v>
      </c>
      <c r="H9" s="89"/>
      <c r="I9" s="93">
        <v>1</v>
      </c>
      <c r="J9" s="91">
        <f t="shared" si="0"/>
        <v>3</v>
      </c>
    </row>
    <row r="10" spans="1:10" ht="18" x14ac:dyDescent="0.3">
      <c r="A10" s="78"/>
      <c r="B10" s="79"/>
      <c r="C10" s="79"/>
      <c r="D10" s="94" t="s">
        <v>1200</v>
      </c>
      <c r="E10" s="89">
        <v>3</v>
      </c>
      <c r="F10" s="89"/>
      <c r="G10" s="89">
        <v>1.5</v>
      </c>
      <c r="H10" s="89"/>
      <c r="I10" s="93">
        <v>1</v>
      </c>
      <c r="J10" s="91">
        <f t="shared" si="0"/>
        <v>4.5</v>
      </c>
    </row>
    <row r="11" spans="1:10" ht="18" hidden="1" x14ac:dyDescent="0.3">
      <c r="A11" s="78"/>
      <c r="B11" s="79"/>
      <c r="C11" s="79"/>
      <c r="D11" s="94" t="s">
        <v>1220</v>
      </c>
      <c r="E11" s="89"/>
      <c r="F11" s="89"/>
      <c r="G11" s="89"/>
      <c r="H11" s="89"/>
      <c r="I11" s="93"/>
      <c r="J11" s="91">
        <f t="shared" si="0"/>
        <v>0</v>
      </c>
    </row>
    <row r="12" spans="1:10" ht="18" hidden="1" x14ac:dyDescent="0.3">
      <c r="A12" s="78"/>
      <c r="B12" s="79"/>
      <c r="C12" s="79"/>
      <c r="D12" s="94" t="s">
        <v>1221</v>
      </c>
      <c r="E12" s="89"/>
      <c r="F12" s="89"/>
      <c r="G12" s="89"/>
      <c r="H12" s="89"/>
      <c r="I12" s="93"/>
      <c r="J12" s="91">
        <f t="shared" si="0"/>
        <v>0</v>
      </c>
    </row>
    <row r="13" spans="1:10" ht="18" x14ac:dyDescent="0.3">
      <c r="A13" s="78"/>
      <c r="B13" s="79"/>
      <c r="C13" s="79"/>
      <c r="D13" s="94" t="s">
        <v>1206</v>
      </c>
      <c r="E13" s="89">
        <v>2</v>
      </c>
      <c r="F13" s="89"/>
      <c r="G13" s="89">
        <v>0.5</v>
      </c>
      <c r="H13" s="89"/>
      <c r="I13" s="93">
        <v>2</v>
      </c>
      <c r="J13" s="91">
        <f t="shared" si="0"/>
        <v>2</v>
      </c>
    </row>
    <row r="14" spans="1:10" ht="18" hidden="1" x14ac:dyDescent="0.3">
      <c r="A14" s="78"/>
      <c r="B14" s="79"/>
      <c r="C14" s="79"/>
      <c r="D14" s="94" t="s">
        <v>1207</v>
      </c>
      <c r="E14" s="89"/>
      <c r="F14" s="89"/>
      <c r="G14" s="89"/>
      <c r="H14" s="89"/>
      <c r="I14" s="93"/>
      <c r="J14" s="91">
        <f t="shared" si="0"/>
        <v>0</v>
      </c>
    </row>
    <row r="15" spans="1:10" ht="18" x14ac:dyDescent="0.3">
      <c r="A15" s="78"/>
      <c r="B15" s="79"/>
      <c r="C15" s="79"/>
      <c r="D15" s="94" t="s">
        <v>1213</v>
      </c>
      <c r="E15" s="89">
        <v>3</v>
      </c>
      <c r="F15" s="89"/>
      <c r="G15" s="89">
        <v>1.5</v>
      </c>
      <c r="H15" s="89"/>
      <c r="I15" s="93">
        <v>1</v>
      </c>
      <c r="J15" s="91">
        <f t="shared" si="0"/>
        <v>4.5</v>
      </c>
    </row>
    <row r="16" spans="1:10" ht="18" x14ac:dyDescent="0.3">
      <c r="A16" s="78"/>
      <c r="B16" s="79"/>
      <c r="C16" s="79"/>
      <c r="D16" s="94" t="s">
        <v>1213</v>
      </c>
      <c r="E16" s="89">
        <v>1.2</v>
      </c>
      <c r="F16" s="89"/>
      <c r="G16" s="89">
        <v>0.5</v>
      </c>
      <c r="H16" s="89"/>
      <c r="I16" s="93">
        <v>1</v>
      </c>
      <c r="J16" s="91">
        <f t="shared" si="0"/>
        <v>0.6</v>
      </c>
    </row>
    <row r="17" spans="1:10" ht="18" x14ac:dyDescent="0.3">
      <c r="A17" s="78"/>
      <c r="B17" s="79"/>
      <c r="C17" s="79"/>
      <c r="D17" s="94" t="s">
        <v>1207</v>
      </c>
      <c r="E17" s="89">
        <v>2</v>
      </c>
      <c r="F17" s="89"/>
      <c r="G17" s="89">
        <v>1.5</v>
      </c>
      <c r="H17" s="89"/>
      <c r="I17" s="93">
        <v>1</v>
      </c>
      <c r="J17" s="91">
        <f t="shared" si="0"/>
        <v>3</v>
      </c>
    </row>
    <row r="18" spans="1:10" ht="18" x14ac:dyDescent="0.3">
      <c r="A18" s="78"/>
      <c r="B18" s="79"/>
      <c r="C18" s="79"/>
      <c r="D18" s="88" t="s">
        <v>1203</v>
      </c>
      <c r="E18" s="89">
        <v>2</v>
      </c>
      <c r="F18" s="89"/>
      <c r="G18" s="89">
        <v>1.5</v>
      </c>
      <c r="H18" s="89"/>
      <c r="I18" s="93">
        <v>1</v>
      </c>
      <c r="J18" s="91">
        <f t="shared" si="0"/>
        <v>3</v>
      </c>
    </row>
    <row r="19" spans="1:10" ht="18" x14ac:dyDescent="0.3">
      <c r="A19" s="78"/>
      <c r="B19" s="79"/>
      <c r="C19" s="79"/>
      <c r="D19" s="88" t="s">
        <v>1203</v>
      </c>
      <c r="E19" s="89">
        <v>3</v>
      </c>
      <c r="F19" s="89"/>
      <c r="G19" s="89">
        <v>1.5</v>
      </c>
      <c r="H19" s="89"/>
      <c r="I19" s="93">
        <v>1</v>
      </c>
      <c r="J19" s="91">
        <f t="shared" si="0"/>
        <v>4.5</v>
      </c>
    </row>
    <row r="20" spans="1:10" ht="18" x14ac:dyDescent="0.3">
      <c r="A20" s="78"/>
      <c r="B20" s="79"/>
      <c r="C20" s="79"/>
      <c r="D20" s="88" t="s">
        <v>1222</v>
      </c>
      <c r="E20" s="89">
        <v>1.2</v>
      </c>
      <c r="F20" s="89"/>
      <c r="G20" s="89">
        <v>1.5</v>
      </c>
      <c r="H20" s="89"/>
      <c r="I20" s="93">
        <v>1</v>
      </c>
      <c r="J20" s="91">
        <f t="shared" si="0"/>
        <v>1.7999999999999998</v>
      </c>
    </row>
    <row r="21" spans="1:10" ht="18" x14ac:dyDescent="0.3">
      <c r="A21" s="78"/>
      <c r="B21" s="79"/>
      <c r="C21" s="79"/>
      <c r="D21" s="88" t="s">
        <v>1222</v>
      </c>
      <c r="E21" s="89">
        <v>2</v>
      </c>
      <c r="F21" s="89"/>
      <c r="G21" s="89">
        <v>1.5</v>
      </c>
      <c r="H21" s="89"/>
      <c r="I21" s="93">
        <v>1</v>
      </c>
      <c r="J21" s="91">
        <f t="shared" si="0"/>
        <v>3</v>
      </c>
    </row>
    <row r="22" spans="1:10" ht="18" x14ac:dyDescent="0.3">
      <c r="A22" s="78"/>
      <c r="B22" s="79"/>
      <c r="C22" s="79"/>
      <c r="D22" s="94" t="s">
        <v>1223</v>
      </c>
      <c r="E22" s="89">
        <v>1.2</v>
      </c>
      <c r="F22" s="89"/>
      <c r="G22" s="89">
        <v>0.5</v>
      </c>
      <c r="H22" s="89"/>
      <c r="I22" s="93">
        <v>1</v>
      </c>
      <c r="J22" s="91">
        <f t="shared" si="0"/>
        <v>0.6</v>
      </c>
    </row>
    <row r="23" spans="1:10" ht="18" x14ac:dyDescent="0.3">
      <c r="A23" s="78"/>
      <c r="B23" s="79"/>
      <c r="C23" s="79"/>
      <c r="D23" s="94" t="s">
        <v>1224</v>
      </c>
      <c r="E23" s="89">
        <v>2</v>
      </c>
      <c r="F23" s="89"/>
      <c r="G23" s="89">
        <v>1.5</v>
      </c>
      <c r="H23" s="89"/>
      <c r="I23" s="93">
        <v>2</v>
      </c>
      <c r="J23" s="91">
        <f t="shared" si="0"/>
        <v>6</v>
      </c>
    </row>
    <row r="24" spans="1:10" ht="18" x14ac:dyDescent="0.3">
      <c r="A24" s="78"/>
      <c r="B24" s="79"/>
      <c r="C24" s="79"/>
      <c r="D24" s="95"/>
      <c r="E24" s="89"/>
      <c r="F24" s="89"/>
      <c r="G24" s="89"/>
      <c r="H24" s="89"/>
      <c r="I24" s="93"/>
      <c r="J24" s="91">
        <f t="shared" si="0"/>
        <v>0</v>
      </c>
    </row>
    <row r="25" spans="1:10" ht="18" x14ac:dyDescent="0.3">
      <c r="A25" s="78"/>
      <c r="B25" s="79"/>
      <c r="C25" s="79"/>
      <c r="D25" s="88"/>
      <c r="E25" s="89"/>
      <c r="F25" s="89"/>
      <c r="G25" s="89"/>
      <c r="H25" s="89"/>
      <c r="I25" s="90"/>
      <c r="J25" s="91"/>
    </row>
    <row r="26" spans="1:10" ht="18" x14ac:dyDescent="0.3">
      <c r="A26" s="78"/>
      <c r="B26" s="79"/>
      <c r="C26" s="79"/>
      <c r="D26" s="88"/>
      <c r="E26" s="89"/>
      <c r="F26" s="89"/>
      <c r="G26" s="89"/>
      <c r="H26" s="89"/>
      <c r="I26" s="90"/>
      <c r="J26" s="91"/>
    </row>
    <row r="27" spans="1:10" ht="18" x14ac:dyDescent="0.3">
      <c r="A27" s="78"/>
      <c r="B27" s="79"/>
      <c r="C27" s="79"/>
      <c r="D27" s="88"/>
      <c r="E27" s="89"/>
      <c r="F27" s="89"/>
      <c r="G27" s="89"/>
      <c r="H27" s="89"/>
      <c r="I27" s="90"/>
      <c r="J27" s="91"/>
    </row>
    <row r="28" spans="1:10" ht="18" x14ac:dyDescent="0.3">
      <c r="A28" s="78"/>
      <c r="B28" s="79"/>
      <c r="C28" s="79"/>
      <c r="D28" s="94"/>
      <c r="E28" s="89"/>
      <c r="F28" s="89"/>
      <c r="G28" s="89"/>
      <c r="H28" s="89"/>
      <c r="I28" s="93"/>
      <c r="J28" s="91"/>
    </row>
    <row r="29" spans="1:10" ht="18" x14ac:dyDescent="0.3">
      <c r="A29" s="78"/>
      <c r="B29" s="79"/>
      <c r="C29" s="79"/>
      <c r="D29" s="94"/>
      <c r="E29" s="89"/>
      <c r="F29" s="89"/>
      <c r="G29" s="89"/>
      <c r="H29" s="89"/>
      <c r="I29" s="93"/>
      <c r="J29" s="91"/>
    </row>
    <row r="30" spans="1:10" ht="18" x14ac:dyDescent="0.3">
      <c r="A30" s="78"/>
      <c r="B30" s="79"/>
      <c r="C30" s="79"/>
      <c r="D30" s="94"/>
      <c r="E30" s="89"/>
      <c r="F30" s="89"/>
      <c r="G30" s="89"/>
      <c r="H30" s="89"/>
      <c r="I30" s="93"/>
      <c r="J30" s="91"/>
    </row>
    <row r="31" spans="1:10" ht="18" x14ac:dyDescent="0.3">
      <c r="A31" s="78"/>
      <c r="B31" s="79"/>
      <c r="C31" s="79"/>
      <c r="D31" s="94"/>
      <c r="E31" s="89"/>
      <c r="F31" s="89"/>
      <c r="G31" s="89"/>
      <c r="H31" s="89"/>
      <c r="I31" s="93"/>
      <c r="J31" s="91">
        <f t="shared" si="0"/>
        <v>0</v>
      </c>
    </row>
    <row r="32" spans="1:10" ht="18" x14ac:dyDescent="0.3">
      <c r="A32" s="78"/>
      <c r="B32" s="79"/>
      <c r="C32" s="79"/>
      <c r="D32" s="94"/>
      <c r="E32" s="89"/>
      <c r="F32" s="89"/>
      <c r="G32" s="89"/>
      <c r="H32" s="89"/>
      <c r="I32" s="93"/>
      <c r="J32" s="91">
        <f t="shared" si="0"/>
        <v>0</v>
      </c>
    </row>
    <row r="33" spans="1:10" ht="18" x14ac:dyDescent="0.3">
      <c r="A33" s="78"/>
      <c r="B33" s="79"/>
      <c r="C33" s="79"/>
      <c r="D33" s="94"/>
      <c r="E33" s="89"/>
      <c r="F33" s="89"/>
      <c r="G33" s="89"/>
      <c r="H33" s="89"/>
      <c r="I33" s="93"/>
      <c r="J33" s="91">
        <f t="shared" si="0"/>
        <v>0</v>
      </c>
    </row>
    <row r="34" spans="1:10" ht="18" x14ac:dyDescent="0.3">
      <c r="A34" s="78"/>
      <c r="B34" s="79"/>
      <c r="C34" s="79"/>
      <c r="D34" s="94"/>
      <c r="E34" s="89"/>
      <c r="F34" s="89"/>
      <c r="G34" s="89"/>
      <c r="H34" s="89"/>
      <c r="I34" s="93"/>
      <c r="J34" s="91">
        <f t="shared" si="0"/>
        <v>0</v>
      </c>
    </row>
    <row r="35" spans="1:10" ht="18" x14ac:dyDescent="0.3">
      <c r="A35" s="78"/>
      <c r="B35" s="79"/>
      <c r="C35" s="79"/>
      <c r="D35" s="94"/>
      <c r="E35" s="89"/>
      <c r="F35" s="89"/>
      <c r="G35" s="89"/>
      <c r="H35" s="89"/>
      <c r="I35" s="93"/>
      <c r="J35" s="91">
        <f t="shared" si="0"/>
        <v>0</v>
      </c>
    </row>
    <row r="36" spans="1:10" ht="18" x14ac:dyDescent="0.3">
      <c r="A36" s="78"/>
      <c r="B36" s="79"/>
      <c r="C36" s="79"/>
      <c r="D36" s="94"/>
      <c r="E36" s="89"/>
      <c r="F36" s="89"/>
      <c r="G36" s="89"/>
      <c r="H36" s="89"/>
      <c r="I36" s="93"/>
      <c r="J36" s="91">
        <f t="shared" si="0"/>
        <v>0</v>
      </c>
    </row>
    <row r="37" spans="1:10" ht="18" x14ac:dyDescent="0.3">
      <c r="A37" s="78"/>
      <c r="B37" s="79"/>
      <c r="C37" s="79"/>
      <c r="D37" s="94"/>
      <c r="E37" s="89"/>
      <c r="F37" s="89"/>
      <c r="G37" s="89"/>
      <c r="H37" s="89"/>
      <c r="I37" s="93"/>
      <c r="J37" s="91">
        <f t="shared" si="0"/>
        <v>0</v>
      </c>
    </row>
    <row r="38" spans="1:10" ht="18" x14ac:dyDescent="0.3">
      <c r="A38" s="78"/>
      <c r="B38" s="79"/>
      <c r="C38" s="79"/>
      <c r="D38" s="94"/>
      <c r="E38" s="89"/>
      <c r="F38" s="89"/>
      <c r="G38" s="89"/>
      <c r="H38" s="89"/>
      <c r="I38" s="93"/>
      <c r="J38" s="91">
        <f t="shared" si="0"/>
        <v>0</v>
      </c>
    </row>
    <row r="39" spans="1:10" ht="18" x14ac:dyDescent="0.3">
      <c r="A39" s="78"/>
      <c r="B39" s="79"/>
      <c r="C39" s="79"/>
      <c r="D39" s="94"/>
      <c r="E39" s="89"/>
      <c r="F39" s="89"/>
      <c r="G39" s="89"/>
      <c r="H39" s="89"/>
      <c r="I39" s="93"/>
      <c r="J39" s="91">
        <f t="shared" si="0"/>
        <v>0</v>
      </c>
    </row>
    <row r="40" spans="1:10" ht="18" x14ac:dyDescent="0.3">
      <c r="A40" s="78"/>
      <c r="B40" s="79"/>
      <c r="C40" s="79"/>
      <c r="D40" s="94"/>
      <c r="E40" s="89"/>
      <c r="F40" s="89"/>
      <c r="G40" s="89"/>
      <c r="H40" s="89"/>
      <c r="I40" s="93"/>
      <c r="J40" s="91">
        <f t="shared" si="0"/>
        <v>0</v>
      </c>
    </row>
    <row r="41" spans="1:10" ht="18" x14ac:dyDescent="0.3">
      <c r="A41" s="78"/>
      <c r="B41" s="79"/>
      <c r="C41" s="79"/>
      <c r="D41" s="94"/>
      <c r="E41" s="89"/>
      <c r="F41" s="89"/>
      <c r="G41" s="89"/>
      <c r="H41" s="89"/>
      <c r="I41" s="93"/>
      <c r="J41" s="91">
        <f t="shared" si="0"/>
        <v>0</v>
      </c>
    </row>
    <row r="42" spans="1:10" ht="18" x14ac:dyDescent="0.3">
      <c r="A42" s="78"/>
      <c r="B42" s="79"/>
      <c r="C42" s="79"/>
      <c r="D42" s="94"/>
      <c r="E42" s="89"/>
      <c r="F42" s="89"/>
      <c r="G42" s="89"/>
      <c r="H42" s="89"/>
      <c r="I42" s="93"/>
      <c r="J42" s="91">
        <f t="shared" si="0"/>
        <v>0</v>
      </c>
    </row>
    <row r="43" spans="1:10" ht="18" x14ac:dyDescent="0.3">
      <c r="A43" s="78"/>
      <c r="B43" s="79"/>
      <c r="C43" s="79"/>
      <c r="D43" s="94"/>
      <c r="E43" s="89"/>
      <c r="F43" s="89"/>
      <c r="G43" s="89"/>
      <c r="H43" s="89"/>
      <c r="I43" s="93"/>
      <c r="J43" s="91">
        <f t="shared" si="0"/>
        <v>0</v>
      </c>
    </row>
    <row r="44" spans="1:10" ht="18" x14ac:dyDescent="0.3">
      <c r="A44" s="78"/>
      <c r="B44" s="79"/>
      <c r="C44" s="79"/>
      <c r="D44" s="94"/>
      <c r="E44" s="89"/>
      <c r="F44" s="89"/>
      <c r="G44" s="89"/>
      <c r="H44" s="89"/>
      <c r="I44" s="93"/>
      <c r="J44" s="91">
        <f t="shared" si="0"/>
        <v>0</v>
      </c>
    </row>
    <row r="45" spans="1:10" ht="18" x14ac:dyDescent="0.3">
      <c r="A45" s="78"/>
      <c r="B45" s="79"/>
      <c r="C45" s="79"/>
      <c r="D45" s="94"/>
      <c r="E45" s="89"/>
      <c r="F45" s="89"/>
      <c r="G45" s="92"/>
      <c r="H45" s="89"/>
      <c r="I45" s="93"/>
      <c r="J45" s="91"/>
    </row>
    <row r="46" spans="1:10" ht="18" x14ac:dyDescent="0.3">
      <c r="A46" s="78"/>
      <c r="B46" s="79"/>
      <c r="C46" s="79"/>
      <c r="D46" s="94"/>
      <c r="E46" s="89"/>
      <c r="F46" s="89"/>
      <c r="G46" s="92"/>
      <c r="H46" s="89"/>
      <c r="I46" s="93"/>
      <c r="J46" s="91"/>
    </row>
    <row r="47" spans="1:10" ht="18" x14ac:dyDescent="0.3">
      <c r="A47" s="78"/>
      <c r="B47" s="79"/>
      <c r="C47" s="79"/>
      <c r="D47" s="94"/>
      <c r="E47" s="89"/>
      <c r="F47" s="89"/>
      <c r="G47" s="92"/>
      <c r="H47" s="89"/>
      <c r="I47" s="93"/>
      <c r="J47" s="91"/>
    </row>
    <row r="48" spans="1:10" ht="18" x14ac:dyDescent="0.3">
      <c r="A48" s="78"/>
      <c r="B48" s="79"/>
      <c r="C48" s="79"/>
      <c r="D48" s="94"/>
      <c r="E48" s="89"/>
      <c r="F48" s="89"/>
      <c r="G48" s="92"/>
      <c r="H48" s="89"/>
      <c r="I48" s="93"/>
      <c r="J48" s="91"/>
    </row>
    <row r="49" spans="1:13" ht="18" x14ac:dyDescent="0.3">
      <c r="A49" s="78"/>
      <c r="B49" s="79"/>
      <c r="C49" s="79"/>
      <c r="D49" s="94"/>
      <c r="E49" s="89"/>
      <c r="F49" s="89"/>
      <c r="G49" s="92"/>
      <c r="H49" s="89"/>
      <c r="I49" s="93"/>
      <c r="J49" s="91"/>
    </row>
    <row r="50" spans="1:13" ht="18" x14ac:dyDescent="0.3">
      <c r="A50" s="78"/>
      <c r="B50" s="79"/>
      <c r="C50" s="79"/>
      <c r="D50" s="95"/>
      <c r="E50" s="89"/>
      <c r="F50" s="89"/>
      <c r="G50" s="92"/>
      <c r="H50" s="89"/>
      <c r="I50" s="93"/>
      <c r="J50" s="91">
        <f t="shared" si="0"/>
        <v>0</v>
      </c>
    </row>
    <row r="51" spans="1:13" ht="18.75" thickBot="1" x14ac:dyDescent="0.35">
      <c r="A51" s="78"/>
      <c r="B51" s="79"/>
      <c r="C51" s="79"/>
      <c r="D51" s="96"/>
      <c r="E51" s="97"/>
      <c r="F51" s="97"/>
      <c r="G51" s="98"/>
      <c r="H51" s="97"/>
      <c r="I51" s="99"/>
      <c r="J51" s="100">
        <f t="shared" si="0"/>
        <v>0</v>
      </c>
      <c r="M51" s="105"/>
    </row>
    <row r="52" spans="1:13" ht="21" thickBot="1" x14ac:dyDescent="0.35">
      <c r="A52" s="78"/>
      <c r="B52" s="79"/>
      <c r="C52" s="79"/>
      <c r="D52" s="933" t="s">
        <v>10</v>
      </c>
      <c r="E52" s="934"/>
      <c r="F52" s="934"/>
      <c r="G52" s="934"/>
      <c r="H52" s="934"/>
      <c r="I52" s="935"/>
      <c r="J52" s="102">
        <f>ROUND(SUM(J8:J51),2)</f>
        <v>50</v>
      </c>
    </row>
    <row r="53" spans="1:13" ht="21" thickBot="1" x14ac:dyDescent="0.35">
      <c r="A53" s="78"/>
      <c r="B53" s="79"/>
      <c r="C53" s="79"/>
      <c r="D53" s="933" t="s">
        <v>1127</v>
      </c>
      <c r="E53" s="934"/>
      <c r="F53" s="934"/>
      <c r="G53" s="934"/>
      <c r="H53" s="934"/>
      <c r="I53" s="935"/>
      <c r="J53" s="103"/>
    </row>
    <row r="54" spans="1:13" ht="21" thickBot="1" x14ac:dyDescent="0.35">
      <c r="A54" s="78"/>
      <c r="B54" s="79"/>
      <c r="C54" s="101"/>
      <c r="D54" s="933" t="s">
        <v>1128</v>
      </c>
      <c r="E54" s="934"/>
      <c r="F54" s="934"/>
      <c r="G54" s="934"/>
      <c r="H54" s="934"/>
      <c r="I54" s="935"/>
      <c r="J54" s="104">
        <f>+J52-J53</f>
        <v>50</v>
      </c>
    </row>
    <row r="55" spans="1:13" ht="21" thickBot="1" x14ac:dyDescent="0.35">
      <c r="A55" s="936" t="s">
        <v>1129</v>
      </c>
      <c r="B55" s="937"/>
      <c r="C55" s="938"/>
      <c r="D55" s="939" t="s">
        <v>1130</v>
      </c>
      <c r="E55" s="940"/>
      <c r="F55" s="940"/>
      <c r="G55" s="940"/>
      <c r="H55" s="940"/>
      <c r="I55" s="940"/>
      <c r="J55" s="941"/>
    </row>
    <row r="56" spans="1:13" ht="38.25" customHeight="1" thickBot="1" x14ac:dyDescent="0.35">
      <c r="A56" s="942" t="str">
        <f>PPTO!G3</f>
        <v>JUNIO DE 2026</v>
      </c>
      <c r="B56" s="943"/>
      <c r="C56" s="944"/>
      <c r="D56" s="921"/>
      <c r="E56" s="922"/>
      <c r="F56" s="922"/>
      <c r="G56" s="922"/>
      <c r="H56" s="922"/>
      <c r="I56" s="922"/>
      <c r="J56" s="923"/>
    </row>
    <row r="57" spans="1:13" ht="19.5" thickBot="1" x14ac:dyDescent="0.35">
      <c r="A57" s="918"/>
      <c r="B57" s="919"/>
      <c r="C57" s="920"/>
      <c r="D57" s="921" t="s">
        <v>1131</v>
      </c>
      <c r="E57" s="922"/>
      <c r="F57" s="922"/>
      <c r="G57" s="922"/>
      <c r="H57" s="922"/>
      <c r="I57" s="922"/>
      <c r="J57" s="923"/>
    </row>
  </sheetData>
  <mergeCells count="19">
    <mergeCell ref="A2:J2"/>
    <mergeCell ref="A3:J3"/>
    <mergeCell ref="A4:J4"/>
    <mergeCell ref="C5:D5"/>
    <mergeCell ref="G5:H5"/>
    <mergeCell ref="I5:J5"/>
    <mergeCell ref="A57:C57"/>
    <mergeCell ref="D57:J57"/>
    <mergeCell ref="D6:D7"/>
    <mergeCell ref="E6:G6"/>
    <mergeCell ref="I6:I7"/>
    <mergeCell ref="J6:J7"/>
    <mergeCell ref="D52:I52"/>
    <mergeCell ref="D53:I53"/>
    <mergeCell ref="D54:I54"/>
    <mergeCell ref="A55:C55"/>
    <mergeCell ref="D55:J55"/>
    <mergeCell ref="A56:C56"/>
    <mergeCell ref="D56:J56"/>
  </mergeCells>
  <conditionalFormatting sqref="J8:J51">
    <cfRule type="cellIs" dxfId="17" priority="1" operator="equal">
      <formula>0</formula>
    </cfRule>
  </conditionalFormatting>
  <pageMargins left="0.7" right="0.7" top="0.75" bottom="0.75" header="0.3" footer="0.3"/>
  <pageSetup scale="49" orientation="landscape" r:id="rId1"/>
  <drawing r:id="rId2"/>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76B25F-D2DA-42F7-A8F5-EC30B5197EE9}">
  <sheetPr>
    <tabColor rgb="FF92D050"/>
    <pageSetUpPr fitToPage="1"/>
  </sheetPr>
  <dimension ref="A1:M50"/>
  <sheetViews>
    <sheetView showOutlineSymbols="0" view="pageBreakPreview" zoomScale="60" zoomScaleNormal="70" workbookViewId="0">
      <selection activeCell="A2" sqref="A2:J4"/>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29.6" customHeight="1" thickBot="1" x14ac:dyDescent="0.35">
      <c r="A5" s="72" t="s">
        <v>5</v>
      </c>
      <c r="B5" s="73">
        <v>8.1999999999999993</v>
      </c>
      <c r="C5" s="913" t="str">
        <f>+VLOOKUP(B5,PPTO!B8:G94,2,FALSE)</f>
        <v xml:space="preserve">Suministro e instalación de Puerta metálica: ala incrustada en perfil metálico cerramiento en perfiles tipo Z y marco metálico. Incluye sello y todos sus accesorios para su correcta instalación y funcionamiento.Color negro mate                                                                                                           </v>
      </c>
      <c r="D5" s="914"/>
      <c r="E5" s="72" t="s">
        <v>7</v>
      </c>
      <c r="F5" s="74" t="str">
        <f>+VLOOKUP(B5,PPTO!B8:G94,3,FALSE)</f>
        <v xml:space="preserve"> M2</v>
      </c>
      <c r="G5" s="915" t="s">
        <v>1120</v>
      </c>
      <c r="H5" s="915"/>
      <c r="I5" s="916">
        <f>+VLOOKUP(B5,PPTO!B8:G94,5,FALSE)</f>
        <v>611167.14866331581</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8" x14ac:dyDescent="0.3">
      <c r="A8" s="78"/>
      <c r="B8" s="79"/>
      <c r="C8" s="79"/>
      <c r="D8" s="88" t="s">
        <v>1212</v>
      </c>
      <c r="E8" s="89">
        <v>1.2</v>
      </c>
      <c r="F8" s="89"/>
      <c r="G8" s="89">
        <v>2.2000000000000002</v>
      </c>
      <c r="H8" s="89"/>
      <c r="I8" s="90">
        <v>1</v>
      </c>
      <c r="J8" s="91">
        <f t="shared" ref="J8:J44" si="0">+PRODUCT(E8:I8)</f>
        <v>2.64</v>
      </c>
    </row>
    <row r="9" spans="1:10" ht="18" x14ac:dyDescent="0.3">
      <c r="A9" s="78"/>
      <c r="B9" s="79"/>
      <c r="C9" s="79"/>
      <c r="D9" s="94" t="s">
        <v>1200</v>
      </c>
      <c r="E9" s="89">
        <v>1.2</v>
      </c>
      <c r="F9" s="89"/>
      <c r="G9" s="89">
        <v>2.2000000000000002</v>
      </c>
      <c r="H9" s="89"/>
      <c r="I9" s="93">
        <v>1</v>
      </c>
      <c r="J9" s="91">
        <f t="shared" si="0"/>
        <v>2.64</v>
      </c>
    </row>
    <row r="10" spans="1:10" ht="18" x14ac:dyDescent="0.3">
      <c r="A10" s="78"/>
      <c r="B10" s="79"/>
      <c r="C10" s="79"/>
      <c r="D10" s="94" t="s">
        <v>1220</v>
      </c>
      <c r="E10" s="89">
        <v>1.2</v>
      </c>
      <c r="F10" s="89"/>
      <c r="G10" s="89">
        <v>2.2000000000000002</v>
      </c>
      <c r="H10" s="89"/>
      <c r="I10" s="93">
        <v>1</v>
      </c>
      <c r="J10" s="91">
        <f t="shared" si="0"/>
        <v>2.64</v>
      </c>
    </row>
    <row r="11" spans="1:10" ht="18" x14ac:dyDescent="0.3">
      <c r="A11" s="78"/>
      <c r="B11" s="79"/>
      <c r="C11" s="79"/>
      <c r="D11" s="94" t="s">
        <v>1221</v>
      </c>
      <c r="E11" s="89">
        <v>1.2</v>
      </c>
      <c r="F11" s="89"/>
      <c r="G11" s="89">
        <v>2.2000000000000002</v>
      </c>
      <c r="H11" s="89"/>
      <c r="I11" s="93">
        <v>1</v>
      </c>
      <c r="J11" s="91">
        <f t="shared" si="0"/>
        <v>2.64</v>
      </c>
    </row>
    <row r="12" spans="1:10" ht="18" x14ac:dyDescent="0.3">
      <c r="A12" s="78"/>
      <c r="B12" s="79"/>
      <c r="C12" s="79"/>
      <c r="D12" s="94" t="s">
        <v>1206</v>
      </c>
      <c r="E12" s="89">
        <v>1.2</v>
      </c>
      <c r="F12" s="89"/>
      <c r="G12" s="89">
        <v>2.2000000000000002</v>
      </c>
      <c r="H12" s="89"/>
      <c r="I12" s="93">
        <v>2</v>
      </c>
      <c r="J12" s="91">
        <f t="shared" si="0"/>
        <v>5.28</v>
      </c>
    </row>
    <row r="13" spans="1:10" ht="18" x14ac:dyDescent="0.3">
      <c r="A13" s="78"/>
      <c r="B13" s="79"/>
      <c r="C13" s="79"/>
      <c r="D13" s="94" t="s">
        <v>1206</v>
      </c>
      <c r="E13" s="89">
        <v>1.1000000000000001</v>
      </c>
      <c r="F13" s="89"/>
      <c r="G13" s="89">
        <v>2.2000000000000002</v>
      </c>
      <c r="H13" s="89"/>
      <c r="I13" s="93">
        <v>1</v>
      </c>
      <c r="J13" s="91">
        <f t="shared" si="0"/>
        <v>2.4200000000000004</v>
      </c>
    </row>
    <row r="14" spans="1:10" ht="18" x14ac:dyDescent="0.3">
      <c r="A14" s="78"/>
      <c r="B14" s="79"/>
      <c r="C14" s="79"/>
      <c r="D14" s="94" t="s">
        <v>1206</v>
      </c>
      <c r="E14" s="89">
        <v>1.1000000000000001</v>
      </c>
      <c r="F14" s="89"/>
      <c r="G14" s="89">
        <v>2.2000000000000002</v>
      </c>
      <c r="H14" s="89"/>
      <c r="I14" s="93">
        <v>1</v>
      </c>
      <c r="J14" s="91">
        <f t="shared" si="0"/>
        <v>2.4200000000000004</v>
      </c>
    </row>
    <row r="15" spans="1:10" ht="18" x14ac:dyDescent="0.3">
      <c r="A15" s="78"/>
      <c r="B15" s="79"/>
      <c r="C15" s="79"/>
      <c r="D15" s="94" t="s">
        <v>1207</v>
      </c>
      <c r="E15" s="89">
        <v>0.8</v>
      </c>
      <c r="F15" s="89"/>
      <c r="G15" s="89">
        <v>2.2000000000000002</v>
      </c>
      <c r="H15" s="89"/>
      <c r="I15" s="93">
        <v>3</v>
      </c>
      <c r="J15" s="91">
        <f t="shared" si="0"/>
        <v>5.2800000000000011</v>
      </c>
    </row>
    <row r="16" spans="1:10" ht="18" x14ac:dyDescent="0.3">
      <c r="A16" s="78"/>
      <c r="B16" s="79"/>
      <c r="C16" s="79"/>
      <c r="D16" s="94" t="s">
        <v>1213</v>
      </c>
      <c r="E16" s="89">
        <v>1.2</v>
      </c>
      <c r="F16" s="89"/>
      <c r="G16" s="89">
        <v>2.2000000000000002</v>
      </c>
      <c r="H16" s="89"/>
      <c r="I16" s="93">
        <v>1</v>
      </c>
      <c r="J16" s="91">
        <f t="shared" si="0"/>
        <v>2.64</v>
      </c>
    </row>
    <row r="17" spans="1:10" ht="18" x14ac:dyDescent="0.3">
      <c r="A17" s="78"/>
      <c r="B17" s="79"/>
      <c r="C17" s="79"/>
      <c r="D17" s="88" t="s">
        <v>1203</v>
      </c>
      <c r="E17" s="89">
        <v>1.2</v>
      </c>
      <c r="F17" s="89"/>
      <c r="G17" s="89">
        <v>2.2000000000000002</v>
      </c>
      <c r="H17" s="89"/>
      <c r="I17" s="93">
        <v>1</v>
      </c>
      <c r="J17" s="91">
        <f t="shared" si="0"/>
        <v>2.64</v>
      </c>
    </row>
    <row r="18" spans="1:10" ht="18" x14ac:dyDescent="0.3">
      <c r="A18" s="78"/>
      <c r="B18" s="79"/>
      <c r="C18" s="79"/>
      <c r="D18" s="88" t="s">
        <v>1222</v>
      </c>
      <c r="E18" s="89">
        <v>1.2</v>
      </c>
      <c r="F18" s="89"/>
      <c r="G18" s="89">
        <v>2.2000000000000002</v>
      </c>
      <c r="H18" s="89"/>
      <c r="I18" s="93">
        <v>1</v>
      </c>
      <c r="J18" s="91">
        <f t="shared" si="0"/>
        <v>2.64</v>
      </c>
    </row>
    <row r="19" spans="1:10" ht="18" x14ac:dyDescent="0.3">
      <c r="A19" s="78"/>
      <c r="B19" s="79"/>
      <c r="C19" s="79"/>
      <c r="D19" s="94" t="s">
        <v>1223</v>
      </c>
      <c r="E19" s="89">
        <v>1.2</v>
      </c>
      <c r="F19" s="89"/>
      <c r="G19" s="89">
        <v>2.2000000000000002</v>
      </c>
      <c r="H19" s="89"/>
      <c r="I19" s="93">
        <v>1</v>
      </c>
      <c r="J19" s="91">
        <f t="shared" si="0"/>
        <v>2.64</v>
      </c>
    </row>
    <row r="20" spans="1:10" ht="18" x14ac:dyDescent="0.3">
      <c r="A20" s="78"/>
      <c r="B20" s="79"/>
      <c r="C20" s="79"/>
      <c r="D20" s="94" t="s">
        <v>1224</v>
      </c>
      <c r="E20" s="89">
        <v>1.2</v>
      </c>
      <c r="F20" s="89"/>
      <c r="G20" s="89">
        <v>2.2000000000000002</v>
      </c>
      <c r="H20" s="89"/>
      <c r="I20" s="93">
        <v>1</v>
      </c>
      <c r="J20" s="91">
        <f t="shared" si="0"/>
        <v>2.64</v>
      </c>
    </row>
    <row r="21" spans="1:10" ht="18" x14ac:dyDescent="0.3">
      <c r="A21" s="78"/>
      <c r="B21" s="79"/>
      <c r="C21" s="79"/>
      <c r="D21" s="94"/>
      <c r="E21" s="89">
        <v>0</v>
      </c>
      <c r="F21" s="89"/>
      <c r="G21" s="89"/>
      <c r="H21" s="89"/>
      <c r="I21" s="93"/>
      <c r="J21" s="91">
        <f t="shared" si="0"/>
        <v>0</v>
      </c>
    </row>
    <row r="22" spans="1:10" ht="18" x14ac:dyDescent="0.3">
      <c r="A22" s="78"/>
      <c r="B22" s="79"/>
      <c r="C22" s="79"/>
      <c r="D22" s="94"/>
      <c r="E22" s="89">
        <v>0</v>
      </c>
      <c r="F22" s="89"/>
      <c r="G22" s="89"/>
      <c r="H22" s="89"/>
      <c r="I22" s="93"/>
      <c r="J22" s="91">
        <f t="shared" si="0"/>
        <v>0</v>
      </c>
    </row>
    <row r="23" spans="1:10" ht="18" x14ac:dyDescent="0.3">
      <c r="A23" s="78"/>
      <c r="B23" s="79"/>
      <c r="C23" s="79"/>
      <c r="D23" s="94"/>
      <c r="E23" s="89">
        <v>0</v>
      </c>
      <c r="F23" s="89"/>
      <c r="G23" s="89"/>
      <c r="H23" s="89"/>
      <c r="I23" s="93"/>
      <c r="J23" s="91">
        <f t="shared" si="0"/>
        <v>0</v>
      </c>
    </row>
    <row r="24" spans="1:10" ht="18" x14ac:dyDescent="0.3">
      <c r="A24" s="78"/>
      <c r="B24" s="79"/>
      <c r="C24" s="79"/>
      <c r="D24" s="94"/>
      <c r="E24" s="89">
        <v>0</v>
      </c>
      <c r="F24" s="89"/>
      <c r="G24" s="89"/>
      <c r="H24" s="89"/>
      <c r="I24" s="93"/>
      <c r="J24" s="91">
        <f t="shared" si="0"/>
        <v>0</v>
      </c>
    </row>
    <row r="25" spans="1:10" ht="18" x14ac:dyDescent="0.3">
      <c r="A25" s="78"/>
      <c r="B25" s="79"/>
      <c r="C25" s="79"/>
      <c r="D25" s="94"/>
      <c r="E25" s="89">
        <v>0</v>
      </c>
      <c r="F25" s="89"/>
      <c r="G25" s="89"/>
      <c r="H25" s="89"/>
      <c r="I25" s="93"/>
      <c r="J25" s="91">
        <f t="shared" si="0"/>
        <v>0</v>
      </c>
    </row>
    <row r="26" spans="1:10" ht="18" x14ac:dyDescent="0.3">
      <c r="A26" s="78"/>
      <c r="B26" s="79"/>
      <c r="C26" s="79"/>
      <c r="D26" s="94"/>
      <c r="E26" s="89">
        <v>0</v>
      </c>
      <c r="F26" s="89"/>
      <c r="G26" s="89"/>
      <c r="H26" s="89"/>
      <c r="I26" s="93"/>
      <c r="J26" s="91">
        <f t="shared" si="0"/>
        <v>0</v>
      </c>
    </row>
    <row r="27" spans="1:10" ht="18" x14ac:dyDescent="0.3">
      <c r="A27" s="78"/>
      <c r="B27" s="79"/>
      <c r="C27" s="79"/>
      <c r="D27" s="94"/>
      <c r="E27" s="89">
        <v>0</v>
      </c>
      <c r="F27" s="89"/>
      <c r="G27" s="89"/>
      <c r="H27" s="89"/>
      <c r="I27" s="93"/>
      <c r="J27" s="91">
        <f t="shared" si="0"/>
        <v>0</v>
      </c>
    </row>
    <row r="28" spans="1:10" ht="18" x14ac:dyDescent="0.3">
      <c r="A28" s="78"/>
      <c r="B28" s="79"/>
      <c r="C28" s="79"/>
      <c r="D28" s="94"/>
      <c r="E28" s="89">
        <v>0</v>
      </c>
      <c r="F28" s="89"/>
      <c r="G28" s="89"/>
      <c r="H28" s="89"/>
      <c r="I28" s="93"/>
      <c r="J28" s="91">
        <f t="shared" si="0"/>
        <v>0</v>
      </c>
    </row>
    <row r="29" spans="1:10" ht="18" x14ac:dyDescent="0.3">
      <c r="A29" s="78"/>
      <c r="B29" s="79"/>
      <c r="C29" s="79"/>
      <c r="D29" s="94"/>
      <c r="E29" s="89">
        <v>0</v>
      </c>
      <c r="F29" s="89"/>
      <c r="G29" s="89"/>
      <c r="H29" s="89"/>
      <c r="I29" s="93"/>
      <c r="J29" s="91">
        <f t="shared" si="0"/>
        <v>0</v>
      </c>
    </row>
    <row r="30" spans="1:10" ht="18" x14ac:dyDescent="0.3">
      <c r="A30" s="78"/>
      <c r="B30" s="79"/>
      <c r="C30" s="79"/>
      <c r="D30" s="94"/>
      <c r="E30" s="89">
        <v>0</v>
      </c>
      <c r="F30" s="89"/>
      <c r="G30" s="89"/>
      <c r="H30" s="89"/>
      <c r="I30" s="93"/>
      <c r="J30" s="91">
        <f t="shared" si="0"/>
        <v>0</v>
      </c>
    </row>
    <row r="31" spans="1:10" ht="18" x14ac:dyDescent="0.3">
      <c r="A31" s="78"/>
      <c r="B31" s="79"/>
      <c r="C31" s="79"/>
      <c r="D31" s="94"/>
      <c r="E31" s="89">
        <v>0</v>
      </c>
      <c r="F31" s="89"/>
      <c r="G31" s="89"/>
      <c r="H31" s="89"/>
      <c r="I31" s="93"/>
      <c r="J31" s="91">
        <f t="shared" si="0"/>
        <v>0</v>
      </c>
    </row>
    <row r="32" spans="1:10" ht="18" x14ac:dyDescent="0.3">
      <c r="A32" s="78"/>
      <c r="B32" s="79"/>
      <c r="C32" s="79"/>
      <c r="D32" s="94"/>
      <c r="E32" s="89">
        <v>0</v>
      </c>
      <c r="F32" s="89"/>
      <c r="G32" s="89"/>
      <c r="H32" s="89"/>
      <c r="I32" s="93"/>
      <c r="J32" s="91">
        <f t="shared" si="0"/>
        <v>0</v>
      </c>
    </row>
    <row r="33" spans="1:13" ht="18" x14ac:dyDescent="0.3">
      <c r="A33" s="78"/>
      <c r="B33" s="79"/>
      <c r="C33" s="79"/>
      <c r="D33" s="94"/>
      <c r="E33" s="89">
        <v>0</v>
      </c>
      <c r="F33" s="89"/>
      <c r="G33" s="89"/>
      <c r="H33" s="89"/>
      <c r="I33" s="93"/>
      <c r="J33" s="91">
        <f t="shared" si="0"/>
        <v>0</v>
      </c>
    </row>
    <row r="34" spans="1:13" ht="18" x14ac:dyDescent="0.3">
      <c r="A34" s="78"/>
      <c r="B34" s="79"/>
      <c r="C34" s="79"/>
      <c r="D34" s="94"/>
      <c r="E34" s="89">
        <v>0</v>
      </c>
      <c r="F34" s="89"/>
      <c r="G34" s="89"/>
      <c r="H34" s="89"/>
      <c r="I34" s="93"/>
      <c r="J34" s="91">
        <f t="shared" si="0"/>
        <v>0</v>
      </c>
    </row>
    <row r="35" spans="1:13" ht="18" x14ac:dyDescent="0.3">
      <c r="A35" s="78"/>
      <c r="B35" s="79"/>
      <c r="C35" s="79"/>
      <c r="D35" s="94"/>
      <c r="E35" s="89">
        <v>0</v>
      </c>
      <c r="F35" s="89"/>
      <c r="G35" s="89"/>
      <c r="H35" s="89"/>
      <c r="I35" s="93"/>
      <c r="J35" s="91">
        <f t="shared" si="0"/>
        <v>0</v>
      </c>
    </row>
    <row r="36" spans="1:13" ht="18" x14ac:dyDescent="0.3">
      <c r="A36" s="78"/>
      <c r="B36" s="79"/>
      <c r="C36" s="79"/>
      <c r="D36" s="94"/>
      <c r="E36" s="89">
        <v>0</v>
      </c>
      <c r="F36" s="89"/>
      <c r="G36" s="89"/>
      <c r="H36" s="89"/>
      <c r="I36" s="93"/>
      <c r="J36" s="91">
        <f t="shared" si="0"/>
        <v>0</v>
      </c>
    </row>
    <row r="37" spans="1:13" ht="18" x14ac:dyDescent="0.3">
      <c r="A37" s="78"/>
      <c r="B37" s="79"/>
      <c r="C37" s="79"/>
      <c r="D37" s="94"/>
      <c r="E37" s="89">
        <v>0</v>
      </c>
      <c r="F37" s="89"/>
      <c r="G37" s="89"/>
      <c r="H37" s="89"/>
      <c r="I37" s="93"/>
      <c r="J37" s="91">
        <f t="shared" si="0"/>
        <v>0</v>
      </c>
    </row>
    <row r="38" spans="1:13" ht="18" x14ac:dyDescent="0.3">
      <c r="A38" s="78"/>
      <c r="B38" s="79"/>
      <c r="C38" s="79"/>
      <c r="D38" s="94"/>
      <c r="E38" s="89"/>
      <c r="F38" s="89"/>
      <c r="G38" s="92"/>
      <c r="H38" s="89"/>
      <c r="I38" s="93"/>
      <c r="J38" s="91"/>
    </row>
    <row r="39" spans="1:13" ht="18" x14ac:dyDescent="0.3">
      <c r="A39" s="78"/>
      <c r="B39" s="79"/>
      <c r="C39" s="79"/>
      <c r="D39" s="94"/>
      <c r="E39" s="89"/>
      <c r="F39" s="89"/>
      <c r="G39" s="92"/>
      <c r="H39" s="89"/>
      <c r="I39" s="93"/>
      <c r="J39" s="91"/>
    </row>
    <row r="40" spans="1:13" ht="18" x14ac:dyDescent="0.3">
      <c r="A40" s="78"/>
      <c r="B40" s="79"/>
      <c r="C40" s="79"/>
      <c r="D40" s="94"/>
      <c r="E40" s="89"/>
      <c r="F40" s="89"/>
      <c r="G40" s="92"/>
      <c r="H40" s="89"/>
      <c r="I40" s="93"/>
      <c r="J40" s="91"/>
    </row>
    <row r="41" spans="1:13" ht="18" x14ac:dyDescent="0.3">
      <c r="A41" s="78"/>
      <c r="B41" s="79"/>
      <c r="C41" s="79"/>
      <c r="D41" s="94"/>
      <c r="E41" s="89"/>
      <c r="F41" s="89"/>
      <c r="G41" s="92"/>
      <c r="H41" s="89"/>
      <c r="I41" s="93"/>
      <c r="J41" s="91"/>
    </row>
    <row r="42" spans="1:13" ht="18" x14ac:dyDescent="0.3">
      <c r="A42" s="78"/>
      <c r="B42" s="79"/>
      <c r="C42" s="79"/>
      <c r="D42" s="94"/>
      <c r="E42" s="89"/>
      <c r="F42" s="89"/>
      <c r="G42" s="92"/>
      <c r="H42" s="89"/>
      <c r="I42" s="93"/>
      <c r="J42" s="91"/>
    </row>
    <row r="43" spans="1:13" ht="18" x14ac:dyDescent="0.3">
      <c r="A43" s="78"/>
      <c r="B43" s="79"/>
      <c r="C43" s="79"/>
      <c r="D43" s="95"/>
      <c r="E43" s="89"/>
      <c r="F43" s="89"/>
      <c r="G43" s="92"/>
      <c r="H43" s="89"/>
      <c r="I43" s="93"/>
      <c r="J43" s="91">
        <f t="shared" si="0"/>
        <v>0</v>
      </c>
    </row>
    <row r="44" spans="1:13" ht="18.75" thickBot="1" x14ac:dyDescent="0.35">
      <c r="A44" s="78"/>
      <c r="B44" s="79"/>
      <c r="C44" s="79"/>
      <c r="D44" s="96"/>
      <c r="E44" s="97"/>
      <c r="F44" s="97"/>
      <c r="G44" s="98"/>
      <c r="H44" s="97"/>
      <c r="I44" s="99"/>
      <c r="J44" s="100">
        <f t="shared" si="0"/>
        <v>0</v>
      </c>
      <c r="M44" s="105"/>
    </row>
    <row r="45" spans="1:13" ht="21" thickBot="1" x14ac:dyDescent="0.35">
      <c r="A45" s="78"/>
      <c r="B45" s="79"/>
      <c r="C45" s="79"/>
      <c r="D45" s="933" t="s">
        <v>10</v>
      </c>
      <c r="E45" s="934"/>
      <c r="F45" s="934"/>
      <c r="G45" s="934"/>
      <c r="H45" s="934"/>
      <c r="I45" s="935"/>
      <c r="J45" s="102">
        <f>ROUND(SUM(J8:J44),2)</f>
        <v>39.159999999999997</v>
      </c>
    </row>
    <row r="46" spans="1:13" ht="21" thickBot="1" x14ac:dyDescent="0.35">
      <c r="A46" s="78"/>
      <c r="B46" s="79"/>
      <c r="C46" s="79"/>
      <c r="D46" s="933" t="s">
        <v>1127</v>
      </c>
      <c r="E46" s="934"/>
      <c r="F46" s="934"/>
      <c r="G46" s="934"/>
      <c r="H46" s="934"/>
      <c r="I46" s="935"/>
      <c r="J46" s="103"/>
    </row>
    <row r="47" spans="1:13" ht="21" thickBot="1" x14ac:dyDescent="0.35">
      <c r="A47" s="78"/>
      <c r="B47" s="79"/>
      <c r="C47" s="101"/>
      <c r="D47" s="933" t="s">
        <v>1128</v>
      </c>
      <c r="E47" s="934"/>
      <c r="F47" s="934"/>
      <c r="G47" s="934"/>
      <c r="H47" s="934"/>
      <c r="I47" s="935"/>
      <c r="J47" s="104">
        <f>+J45-J46</f>
        <v>39.159999999999997</v>
      </c>
    </row>
    <row r="48" spans="1:13" ht="21" thickBot="1" x14ac:dyDescent="0.35">
      <c r="A48" s="936" t="s">
        <v>1129</v>
      </c>
      <c r="B48" s="937"/>
      <c r="C48" s="938"/>
      <c r="D48" s="939" t="s">
        <v>1130</v>
      </c>
      <c r="E48" s="940"/>
      <c r="F48" s="940"/>
      <c r="G48" s="940"/>
      <c r="H48" s="940"/>
      <c r="I48" s="940"/>
      <c r="J48" s="941"/>
    </row>
    <row r="49" spans="1:10" ht="38.25" customHeight="1" thickBot="1" x14ac:dyDescent="0.35">
      <c r="A49" s="942" t="str">
        <f>PPTO!G3</f>
        <v>JUNIO DE 2026</v>
      </c>
      <c r="B49" s="943"/>
      <c r="C49" s="944"/>
      <c r="D49" s="921"/>
      <c r="E49" s="922"/>
      <c r="F49" s="922"/>
      <c r="G49" s="922"/>
      <c r="H49" s="922"/>
      <c r="I49" s="922"/>
      <c r="J49" s="923"/>
    </row>
    <row r="50" spans="1:10" ht="19.5" thickBot="1" x14ac:dyDescent="0.35">
      <c r="A50" s="918"/>
      <c r="B50" s="919"/>
      <c r="C50" s="920"/>
      <c r="D50" s="921" t="s">
        <v>1131</v>
      </c>
      <c r="E50" s="922"/>
      <c r="F50" s="922"/>
      <c r="G50" s="922"/>
      <c r="H50" s="922"/>
      <c r="I50" s="922"/>
      <c r="J50" s="923"/>
    </row>
  </sheetData>
  <mergeCells count="19">
    <mergeCell ref="A2:J2"/>
    <mergeCell ref="A3:J3"/>
    <mergeCell ref="A4:J4"/>
    <mergeCell ref="C5:D5"/>
    <mergeCell ref="G5:H5"/>
    <mergeCell ref="I5:J5"/>
    <mergeCell ref="A50:C50"/>
    <mergeCell ref="D50:J50"/>
    <mergeCell ref="D6:D7"/>
    <mergeCell ref="E6:G6"/>
    <mergeCell ref="I6:I7"/>
    <mergeCell ref="J6:J7"/>
    <mergeCell ref="D45:I45"/>
    <mergeCell ref="D46:I46"/>
    <mergeCell ref="D47:I47"/>
    <mergeCell ref="A48:C48"/>
    <mergeCell ref="D48:J48"/>
    <mergeCell ref="A49:C49"/>
    <mergeCell ref="D49:J49"/>
  </mergeCells>
  <conditionalFormatting sqref="J8:J44">
    <cfRule type="cellIs" dxfId="16" priority="1" operator="equal">
      <formula>0</formula>
    </cfRule>
  </conditionalFormatting>
  <pageMargins left="0.7" right="0.7" top="0.75" bottom="0.75" header="0.3" footer="0.3"/>
  <pageSetup scale="51" orientation="landscape" r:id="rId1"/>
  <drawing r:id="rId2"/>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496B7-0B59-4377-94CB-77A2E889F4B5}">
  <sheetPr>
    <tabColor rgb="FF92D050"/>
    <pageSetUpPr fitToPage="1"/>
  </sheetPr>
  <dimension ref="A1:M50"/>
  <sheetViews>
    <sheetView showOutlineSymbols="0" view="pageBreakPreview" topLeftCell="A2" zoomScale="60" zoomScaleNormal="70" workbookViewId="0">
      <selection activeCell="B6" sqref="B6"/>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29.6" customHeight="1" thickBot="1" x14ac:dyDescent="0.35">
      <c r="A5" s="72" t="s">
        <v>5</v>
      </c>
      <c r="B5" s="73">
        <v>8.3000000000000007</v>
      </c>
      <c r="C5" s="913" t="str">
        <f>+VLOOKUP(B5,PPTO!B8:G94,2,FALSE)</f>
        <v xml:space="preserve">Suministro e instalación de ventanas con rejilla metálica: perfil metálico con rejillas tipo persiana Incluye sello y todos sus accesorios para su correcta instalación y funcionamiento. Color negro mate                                                                                                           </v>
      </c>
      <c r="D5" s="914"/>
      <c r="E5" s="72" t="s">
        <v>7</v>
      </c>
      <c r="F5" s="74" t="str">
        <f>+VLOOKUP(B5,PPTO!B8:G94,3,FALSE)</f>
        <v>UN</v>
      </c>
      <c r="G5" s="915" t="s">
        <v>1120</v>
      </c>
      <c r="H5" s="915"/>
      <c r="I5" s="916">
        <f>+VLOOKUP(B5,PPTO!B8:G94,5,FALSE)</f>
        <v>311167.14866331581</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8" x14ac:dyDescent="0.3">
      <c r="A8" s="78"/>
      <c r="B8" s="79"/>
      <c r="C8" s="79"/>
      <c r="D8" s="88" t="s">
        <v>1213</v>
      </c>
      <c r="E8" s="89">
        <v>0.5</v>
      </c>
      <c r="F8" s="89"/>
      <c r="G8" s="89">
        <v>1</v>
      </c>
      <c r="H8" s="89"/>
      <c r="I8" s="90">
        <v>1</v>
      </c>
      <c r="J8" s="91">
        <f>+I8</f>
        <v>1</v>
      </c>
    </row>
    <row r="9" spans="1:10" ht="18" x14ac:dyDescent="0.3">
      <c r="A9" s="78"/>
      <c r="B9" s="79"/>
      <c r="C9" s="79"/>
      <c r="D9" s="94"/>
      <c r="E9" s="89"/>
      <c r="F9" s="89"/>
      <c r="G9" s="89"/>
      <c r="H9" s="89"/>
      <c r="I9" s="93"/>
      <c r="J9" s="91">
        <f t="shared" ref="J9:J44" si="0">+PRODUCT(E9:I9)</f>
        <v>0</v>
      </c>
    </row>
    <row r="10" spans="1:10" ht="18" x14ac:dyDescent="0.3">
      <c r="A10" s="78"/>
      <c r="B10" s="79"/>
      <c r="C10" s="79"/>
      <c r="D10" s="94"/>
      <c r="E10" s="89"/>
      <c r="F10" s="89"/>
      <c r="G10" s="89"/>
      <c r="H10" s="89"/>
      <c r="I10" s="93"/>
      <c r="J10" s="91">
        <f t="shared" si="0"/>
        <v>0</v>
      </c>
    </row>
    <row r="11" spans="1:10" ht="18" x14ac:dyDescent="0.3">
      <c r="A11" s="78"/>
      <c r="B11" s="79"/>
      <c r="C11" s="79"/>
      <c r="D11" s="94"/>
      <c r="E11" s="89"/>
      <c r="F11" s="89"/>
      <c r="G11" s="89"/>
      <c r="H11" s="89"/>
      <c r="I11" s="93"/>
      <c r="J11" s="91">
        <f t="shared" si="0"/>
        <v>0</v>
      </c>
    </row>
    <row r="12" spans="1:10" ht="18" x14ac:dyDescent="0.3">
      <c r="A12" s="78"/>
      <c r="B12" s="79"/>
      <c r="C12" s="79"/>
      <c r="D12" s="94"/>
      <c r="E12" s="89"/>
      <c r="F12" s="89"/>
      <c r="G12" s="89"/>
      <c r="H12" s="89"/>
      <c r="I12" s="93"/>
      <c r="J12" s="91">
        <f t="shared" si="0"/>
        <v>0</v>
      </c>
    </row>
    <row r="13" spans="1:10" ht="18" x14ac:dyDescent="0.3">
      <c r="A13" s="78"/>
      <c r="B13" s="79"/>
      <c r="C13" s="79"/>
      <c r="D13" s="94"/>
      <c r="E13" s="89"/>
      <c r="F13" s="89"/>
      <c r="G13" s="89"/>
      <c r="H13" s="89"/>
      <c r="I13" s="93"/>
      <c r="J13" s="91">
        <f t="shared" si="0"/>
        <v>0</v>
      </c>
    </row>
    <row r="14" spans="1:10" ht="18" x14ac:dyDescent="0.3">
      <c r="A14" s="78"/>
      <c r="B14" s="79"/>
      <c r="C14" s="79"/>
      <c r="D14" s="94"/>
      <c r="E14" s="89"/>
      <c r="F14" s="89"/>
      <c r="G14" s="89"/>
      <c r="H14" s="89"/>
      <c r="I14" s="93"/>
      <c r="J14" s="91">
        <f t="shared" si="0"/>
        <v>0</v>
      </c>
    </row>
    <row r="15" spans="1:10" ht="18" x14ac:dyDescent="0.3">
      <c r="A15" s="78"/>
      <c r="B15" s="79"/>
      <c r="C15" s="79"/>
      <c r="D15" s="94"/>
      <c r="E15" s="89"/>
      <c r="F15" s="89"/>
      <c r="G15" s="89"/>
      <c r="H15" s="89"/>
      <c r="I15" s="93"/>
      <c r="J15" s="91">
        <f t="shared" si="0"/>
        <v>0</v>
      </c>
    </row>
    <row r="16" spans="1:10" ht="18" x14ac:dyDescent="0.3">
      <c r="A16" s="78"/>
      <c r="B16" s="79"/>
      <c r="C16" s="79"/>
      <c r="D16" s="94"/>
      <c r="E16" s="89"/>
      <c r="F16" s="89"/>
      <c r="G16" s="89"/>
      <c r="H16" s="89"/>
      <c r="I16" s="93"/>
      <c r="J16" s="91">
        <f t="shared" si="0"/>
        <v>0</v>
      </c>
    </row>
    <row r="17" spans="1:10" ht="18" x14ac:dyDescent="0.3">
      <c r="A17" s="78"/>
      <c r="B17" s="79"/>
      <c r="C17" s="79"/>
      <c r="D17" s="88"/>
      <c r="E17" s="89"/>
      <c r="F17" s="89"/>
      <c r="G17" s="89"/>
      <c r="H17" s="89"/>
      <c r="I17" s="93"/>
      <c r="J17" s="91">
        <f t="shared" si="0"/>
        <v>0</v>
      </c>
    </row>
    <row r="18" spans="1:10" ht="18" x14ac:dyDescent="0.3">
      <c r="A18" s="78"/>
      <c r="B18" s="79"/>
      <c r="C18" s="79"/>
      <c r="D18" s="88"/>
      <c r="E18" s="89"/>
      <c r="F18" s="89"/>
      <c r="G18" s="89"/>
      <c r="H18" s="89"/>
      <c r="I18" s="93"/>
      <c r="J18" s="91">
        <f t="shared" si="0"/>
        <v>0</v>
      </c>
    </row>
    <row r="19" spans="1:10" ht="18" x14ac:dyDescent="0.3">
      <c r="A19" s="78"/>
      <c r="B19" s="79"/>
      <c r="C19" s="79"/>
      <c r="D19" s="94"/>
      <c r="E19" s="89"/>
      <c r="F19" s="89"/>
      <c r="G19" s="89"/>
      <c r="H19" s="89"/>
      <c r="I19" s="93"/>
      <c r="J19" s="91">
        <f t="shared" si="0"/>
        <v>0</v>
      </c>
    </row>
    <row r="20" spans="1:10" ht="18" x14ac:dyDescent="0.3">
      <c r="A20" s="78"/>
      <c r="B20" s="79"/>
      <c r="C20" s="79"/>
      <c r="D20" s="94"/>
      <c r="E20" s="89"/>
      <c r="F20" s="89"/>
      <c r="G20" s="89"/>
      <c r="H20" s="89"/>
      <c r="I20" s="93"/>
      <c r="J20" s="91">
        <f t="shared" si="0"/>
        <v>0</v>
      </c>
    </row>
    <row r="21" spans="1:10" ht="18" x14ac:dyDescent="0.3">
      <c r="A21" s="78"/>
      <c r="B21" s="79"/>
      <c r="C21" s="79"/>
      <c r="D21" s="94"/>
      <c r="E21" s="89">
        <v>0</v>
      </c>
      <c r="F21" s="89"/>
      <c r="G21" s="89"/>
      <c r="H21" s="89"/>
      <c r="I21" s="93"/>
      <c r="J21" s="91">
        <f t="shared" si="0"/>
        <v>0</v>
      </c>
    </row>
    <row r="22" spans="1:10" ht="18" x14ac:dyDescent="0.3">
      <c r="A22" s="78"/>
      <c r="B22" s="79"/>
      <c r="C22" s="79"/>
      <c r="D22" s="94"/>
      <c r="E22" s="89">
        <v>0</v>
      </c>
      <c r="F22" s="89"/>
      <c r="G22" s="89"/>
      <c r="H22" s="89"/>
      <c r="I22" s="93"/>
      <c r="J22" s="91">
        <f t="shared" si="0"/>
        <v>0</v>
      </c>
    </row>
    <row r="23" spans="1:10" ht="18" x14ac:dyDescent="0.3">
      <c r="A23" s="78"/>
      <c r="B23" s="79"/>
      <c r="C23" s="79"/>
      <c r="D23" s="94"/>
      <c r="E23" s="89">
        <v>0</v>
      </c>
      <c r="F23" s="89"/>
      <c r="G23" s="89"/>
      <c r="H23" s="89"/>
      <c r="I23" s="93"/>
      <c r="J23" s="91">
        <f t="shared" si="0"/>
        <v>0</v>
      </c>
    </row>
    <row r="24" spans="1:10" ht="18" x14ac:dyDescent="0.3">
      <c r="A24" s="78"/>
      <c r="B24" s="79"/>
      <c r="C24" s="79"/>
      <c r="D24" s="94"/>
      <c r="E24" s="89">
        <v>0</v>
      </c>
      <c r="F24" s="89"/>
      <c r="G24" s="89"/>
      <c r="H24" s="89"/>
      <c r="I24" s="93"/>
      <c r="J24" s="91">
        <f t="shared" si="0"/>
        <v>0</v>
      </c>
    </row>
    <row r="25" spans="1:10" ht="18" x14ac:dyDescent="0.3">
      <c r="A25" s="78"/>
      <c r="B25" s="79"/>
      <c r="C25" s="79"/>
      <c r="D25" s="94"/>
      <c r="E25" s="89">
        <v>0</v>
      </c>
      <c r="F25" s="89"/>
      <c r="G25" s="89"/>
      <c r="H25" s="89"/>
      <c r="I25" s="93"/>
      <c r="J25" s="91">
        <f t="shared" si="0"/>
        <v>0</v>
      </c>
    </row>
    <row r="26" spans="1:10" ht="18" x14ac:dyDescent="0.3">
      <c r="A26" s="78"/>
      <c r="B26" s="79"/>
      <c r="C26" s="79"/>
      <c r="D26" s="94"/>
      <c r="E26" s="89">
        <v>0</v>
      </c>
      <c r="F26" s="89"/>
      <c r="G26" s="89"/>
      <c r="H26" s="89"/>
      <c r="I26" s="93"/>
      <c r="J26" s="91">
        <f t="shared" si="0"/>
        <v>0</v>
      </c>
    </row>
    <row r="27" spans="1:10" ht="18" x14ac:dyDescent="0.3">
      <c r="A27" s="78"/>
      <c r="B27" s="79"/>
      <c r="C27" s="79"/>
      <c r="D27" s="94"/>
      <c r="E27" s="89">
        <v>0</v>
      </c>
      <c r="F27" s="89"/>
      <c r="G27" s="89"/>
      <c r="H27" s="89"/>
      <c r="I27" s="93"/>
      <c r="J27" s="91">
        <f t="shared" si="0"/>
        <v>0</v>
      </c>
    </row>
    <row r="28" spans="1:10" ht="18" x14ac:dyDescent="0.3">
      <c r="A28" s="78"/>
      <c r="B28" s="79"/>
      <c r="C28" s="79"/>
      <c r="D28" s="94"/>
      <c r="E28" s="89">
        <v>0</v>
      </c>
      <c r="F28" s="89"/>
      <c r="G28" s="89"/>
      <c r="H28" s="89"/>
      <c r="I28" s="93"/>
      <c r="J28" s="91">
        <f t="shared" si="0"/>
        <v>0</v>
      </c>
    </row>
    <row r="29" spans="1:10" ht="18" x14ac:dyDescent="0.3">
      <c r="A29" s="78"/>
      <c r="B29" s="79"/>
      <c r="C29" s="79"/>
      <c r="D29" s="94"/>
      <c r="E29" s="89">
        <v>0</v>
      </c>
      <c r="F29" s="89"/>
      <c r="G29" s="89"/>
      <c r="H29" s="89"/>
      <c r="I29" s="93"/>
      <c r="J29" s="91">
        <f t="shared" si="0"/>
        <v>0</v>
      </c>
    </row>
    <row r="30" spans="1:10" ht="18" x14ac:dyDescent="0.3">
      <c r="A30" s="78"/>
      <c r="B30" s="79"/>
      <c r="C30" s="79"/>
      <c r="D30" s="94"/>
      <c r="E30" s="89">
        <v>0</v>
      </c>
      <c r="F30" s="89"/>
      <c r="G30" s="89"/>
      <c r="H30" s="89"/>
      <c r="I30" s="93"/>
      <c r="J30" s="91">
        <f t="shared" si="0"/>
        <v>0</v>
      </c>
    </row>
    <row r="31" spans="1:10" ht="18" x14ac:dyDescent="0.3">
      <c r="A31" s="78"/>
      <c r="B31" s="79"/>
      <c r="C31" s="79"/>
      <c r="D31" s="94"/>
      <c r="E31" s="89">
        <v>0</v>
      </c>
      <c r="F31" s="89"/>
      <c r="G31" s="89"/>
      <c r="H31" s="89"/>
      <c r="I31" s="93"/>
      <c r="J31" s="91">
        <f t="shared" si="0"/>
        <v>0</v>
      </c>
    </row>
    <row r="32" spans="1:10" ht="18" x14ac:dyDescent="0.3">
      <c r="A32" s="78"/>
      <c r="B32" s="79"/>
      <c r="C32" s="79"/>
      <c r="D32" s="94"/>
      <c r="E32" s="89">
        <v>0</v>
      </c>
      <c r="F32" s="89"/>
      <c r="G32" s="89"/>
      <c r="H32" s="89"/>
      <c r="I32" s="93"/>
      <c r="J32" s="91">
        <f t="shared" si="0"/>
        <v>0</v>
      </c>
    </row>
    <row r="33" spans="1:13" ht="18" x14ac:dyDescent="0.3">
      <c r="A33" s="78"/>
      <c r="B33" s="79"/>
      <c r="C33" s="79"/>
      <c r="D33" s="94"/>
      <c r="E33" s="89">
        <v>0</v>
      </c>
      <c r="F33" s="89"/>
      <c r="G33" s="89"/>
      <c r="H33" s="89"/>
      <c r="I33" s="93"/>
      <c r="J33" s="91">
        <f t="shared" si="0"/>
        <v>0</v>
      </c>
    </row>
    <row r="34" spans="1:13" ht="18" x14ac:dyDescent="0.3">
      <c r="A34" s="78"/>
      <c r="B34" s="79"/>
      <c r="C34" s="79"/>
      <c r="D34" s="94"/>
      <c r="E34" s="89">
        <v>0</v>
      </c>
      <c r="F34" s="89"/>
      <c r="G34" s="89"/>
      <c r="H34" s="89"/>
      <c r="I34" s="93"/>
      <c r="J34" s="91">
        <f t="shared" si="0"/>
        <v>0</v>
      </c>
    </row>
    <row r="35" spans="1:13" ht="18" x14ac:dyDescent="0.3">
      <c r="A35" s="78"/>
      <c r="B35" s="79"/>
      <c r="C35" s="79"/>
      <c r="D35" s="94"/>
      <c r="E35" s="89">
        <v>0</v>
      </c>
      <c r="F35" s="89"/>
      <c r="G35" s="89"/>
      <c r="H35" s="89"/>
      <c r="I35" s="93"/>
      <c r="J35" s="91">
        <f t="shared" si="0"/>
        <v>0</v>
      </c>
    </row>
    <row r="36" spans="1:13" ht="18" x14ac:dyDescent="0.3">
      <c r="A36" s="78"/>
      <c r="B36" s="79"/>
      <c r="C36" s="79"/>
      <c r="D36" s="94"/>
      <c r="E36" s="89">
        <v>0</v>
      </c>
      <c r="F36" s="89"/>
      <c r="G36" s="89"/>
      <c r="H36" s="89"/>
      <c r="I36" s="93"/>
      <c r="J36" s="91">
        <f t="shared" si="0"/>
        <v>0</v>
      </c>
    </row>
    <row r="37" spans="1:13" ht="18" x14ac:dyDescent="0.3">
      <c r="A37" s="78"/>
      <c r="B37" s="79"/>
      <c r="C37" s="79"/>
      <c r="D37" s="94"/>
      <c r="E37" s="89">
        <v>0</v>
      </c>
      <c r="F37" s="89"/>
      <c r="G37" s="89"/>
      <c r="H37" s="89"/>
      <c r="I37" s="93"/>
      <c r="J37" s="91">
        <f t="shared" si="0"/>
        <v>0</v>
      </c>
    </row>
    <row r="38" spans="1:13" ht="18" x14ac:dyDescent="0.3">
      <c r="A38" s="78"/>
      <c r="B38" s="79"/>
      <c r="C38" s="79"/>
      <c r="D38" s="94"/>
      <c r="E38" s="89"/>
      <c r="F38" s="89"/>
      <c r="G38" s="92"/>
      <c r="H38" s="89"/>
      <c r="I38" s="93"/>
      <c r="J38" s="91"/>
    </row>
    <row r="39" spans="1:13" ht="18" x14ac:dyDescent="0.3">
      <c r="A39" s="78"/>
      <c r="B39" s="79"/>
      <c r="C39" s="79"/>
      <c r="D39" s="94"/>
      <c r="E39" s="89"/>
      <c r="F39" s="89"/>
      <c r="G39" s="92"/>
      <c r="H39" s="89"/>
      <c r="I39" s="93"/>
      <c r="J39" s="91"/>
    </row>
    <row r="40" spans="1:13" ht="18" x14ac:dyDescent="0.3">
      <c r="A40" s="78"/>
      <c r="B40" s="79"/>
      <c r="C40" s="79"/>
      <c r="D40" s="94"/>
      <c r="E40" s="89"/>
      <c r="F40" s="89"/>
      <c r="G40" s="92"/>
      <c r="H40" s="89"/>
      <c r="I40" s="93"/>
      <c r="J40" s="91"/>
    </row>
    <row r="41" spans="1:13" ht="18" x14ac:dyDescent="0.3">
      <c r="A41" s="78"/>
      <c r="B41" s="79"/>
      <c r="C41" s="79"/>
      <c r="D41" s="94"/>
      <c r="E41" s="89"/>
      <c r="F41" s="89"/>
      <c r="G41" s="92"/>
      <c r="H41" s="89"/>
      <c r="I41" s="93"/>
      <c r="J41" s="91"/>
    </row>
    <row r="42" spans="1:13" ht="18" x14ac:dyDescent="0.3">
      <c r="A42" s="78"/>
      <c r="B42" s="79"/>
      <c r="C42" s="79"/>
      <c r="D42" s="94"/>
      <c r="E42" s="89"/>
      <c r="F42" s="89"/>
      <c r="G42" s="92"/>
      <c r="H42" s="89"/>
      <c r="I42" s="93"/>
      <c r="J42" s="91"/>
    </row>
    <row r="43" spans="1:13" ht="18" x14ac:dyDescent="0.3">
      <c r="A43" s="78"/>
      <c r="B43" s="79"/>
      <c r="C43" s="79"/>
      <c r="D43" s="95"/>
      <c r="E43" s="89"/>
      <c r="F43" s="89"/>
      <c r="G43" s="92"/>
      <c r="H43" s="89"/>
      <c r="I43" s="93"/>
      <c r="J43" s="91">
        <f t="shared" si="0"/>
        <v>0</v>
      </c>
    </row>
    <row r="44" spans="1:13" ht="18.75" thickBot="1" x14ac:dyDescent="0.35">
      <c r="A44" s="78"/>
      <c r="B44" s="79"/>
      <c r="C44" s="79"/>
      <c r="D44" s="96"/>
      <c r="E44" s="97"/>
      <c r="F44" s="97"/>
      <c r="G44" s="98"/>
      <c r="H44" s="97"/>
      <c r="I44" s="99"/>
      <c r="J44" s="100">
        <f t="shared" si="0"/>
        <v>0</v>
      </c>
      <c r="M44" s="105"/>
    </row>
    <row r="45" spans="1:13" ht="21" thickBot="1" x14ac:dyDescent="0.35">
      <c r="A45" s="78"/>
      <c r="B45" s="79"/>
      <c r="C45" s="79"/>
      <c r="D45" s="933" t="s">
        <v>10</v>
      </c>
      <c r="E45" s="934"/>
      <c r="F45" s="934"/>
      <c r="G45" s="934"/>
      <c r="H45" s="934"/>
      <c r="I45" s="935"/>
      <c r="J45" s="102">
        <f>ROUND(SUM(J8:J44),2)</f>
        <v>1</v>
      </c>
    </row>
    <row r="46" spans="1:13" ht="21" thickBot="1" x14ac:dyDescent="0.35">
      <c r="A46" s="78"/>
      <c r="B46" s="79"/>
      <c r="C46" s="79"/>
      <c r="D46" s="933" t="s">
        <v>1127</v>
      </c>
      <c r="E46" s="934"/>
      <c r="F46" s="934"/>
      <c r="G46" s="934"/>
      <c r="H46" s="934"/>
      <c r="I46" s="935"/>
      <c r="J46" s="103"/>
    </row>
    <row r="47" spans="1:13" ht="21" thickBot="1" x14ac:dyDescent="0.35">
      <c r="A47" s="78"/>
      <c r="B47" s="79"/>
      <c r="C47" s="101"/>
      <c r="D47" s="933" t="s">
        <v>1128</v>
      </c>
      <c r="E47" s="934"/>
      <c r="F47" s="934"/>
      <c r="G47" s="934"/>
      <c r="H47" s="934"/>
      <c r="I47" s="935"/>
      <c r="J47" s="104">
        <f>+J45-J46</f>
        <v>1</v>
      </c>
    </row>
    <row r="48" spans="1:13" ht="21" thickBot="1" x14ac:dyDescent="0.35">
      <c r="A48" s="936" t="s">
        <v>1129</v>
      </c>
      <c r="B48" s="937"/>
      <c r="C48" s="938"/>
      <c r="D48" s="939" t="s">
        <v>1130</v>
      </c>
      <c r="E48" s="940"/>
      <c r="F48" s="940"/>
      <c r="G48" s="940"/>
      <c r="H48" s="940"/>
      <c r="I48" s="940"/>
      <c r="J48" s="941"/>
    </row>
    <row r="49" spans="1:10" ht="38.25" customHeight="1" thickBot="1" x14ac:dyDescent="0.35">
      <c r="A49" s="942" t="str">
        <f>PPTO!G3</f>
        <v>JUNIO DE 2026</v>
      </c>
      <c r="B49" s="943"/>
      <c r="C49" s="944"/>
      <c r="D49" s="921"/>
      <c r="E49" s="922"/>
      <c r="F49" s="922"/>
      <c r="G49" s="922"/>
      <c r="H49" s="922"/>
      <c r="I49" s="922"/>
      <c r="J49" s="923"/>
    </row>
    <row r="50" spans="1:10" ht="19.5" thickBot="1" x14ac:dyDescent="0.35">
      <c r="A50" s="918"/>
      <c r="B50" s="919"/>
      <c r="C50" s="920"/>
      <c r="D50" s="921" t="s">
        <v>1131</v>
      </c>
      <c r="E50" s="922"/>
      <c r="F50" s="922"/>
      <c r="G50" s="922"/>
      <c r="H50" s="922"/>
      <c r="I50" s="922"/>
      <c r="J50" s="923"/>
    </row>
  </sheetData>
  <mergeCells count="19">
    <mergeCell ref="A2:J2"/>
    <mergeCell ref="A3:J3"/>
    <mergeCell ref="A4:J4"/>
    <mergeCell ref="C5:D5"/>
    <mergeCell ref="G5:H5"/>
    <mergeCell ref="I5:J5"/>
    <mergeCell ref="A50:C50"/>
    <mergeCell ref="D50:J50"/>
    <mergeCell ref="D6:D7"/>
    <mergeCell ref="E6:G6"/>
    <mergeCell ref="I6:I7"/>
    <mergeCell ref="J6:J7"/>
    <mergeCell ref="D45:I45"/>
    <mergeCell ref="D46:I46"/>
    <mergeCell ref="D47:I47"/>
    <mergeCell ref="A48:C48"/>
    <mergeCell ref="D48:J48"/>
    <mergeCell ref="A49:C49"/>
    <mergeCell ref="D49:J49"/>
  </mergeCells>
  <conditionalFormatting sqref="J8:J44">
    <cfRule type="cellIs" dxfId="15" priority="1" operator="equal">
      <formula>0</formula>
    </cfRule>
  </conditionalFormatting>
  <pageMargins left="0.7" right="0.7" top="0.75" bottom="0.75" header="0.3" footer="0.3"/>
  <pageSetup scale="51" orientation="landscape" r:id="rId1"/>
  <drawing r:id="rId2"/>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AFCC35-7EB3-4A4D-8DFE-153FE44B2926}">
  <sheetPr>
    <tabColor rgb="FF92D050"/>
    <pageSetUpPr fitToPage="1"/>
  </sheetPr>
  <dimension ref="A1:M50"/>
  <sheetViews>
    <sheetView showOutlineSymbols="0" view="pageBreakPreview" topLeftCell="A17" zoomScale="60" zoomScaleNormal="70" workbookViewId="0">
      <selection activeCell="D15" sqref="D15"/>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29.6" customHeight="1" thickBot="1" x14ac:dyDescent="0.35">
      <c r="A5" s="72" t="s">
        <v>5</v>
      </c>
      <c r="B5" s="73">
        <v>8.4</v>
      </c>
      <c r="C5" s="913" t="str">
        <f>+VLOOKUP(B5,PPTO!B8:G94,2,FALSE)</f>
        <v>Suministro e Instalación Divisiones de sanitarios en Acero Inox , Calibre 20 Satinado, con puertas y Tabiques en altura de 1600mm SAE 304 , Incluye Cerrojos , Percheros , Parales Altura de 1800mm.</v>
      </c>
      <c r="D5" s="914"/>
      <c r="E5" s="72" t="s">
        <v>7</v>
      </c>
      <c r="F5" s="74" t="str">
        <f>+VLOOKUP(B5,PPTO!B8:G94,3,FALSE)</f>
        <v>m2</v>
      </c>
      <c r="G5" s="915" t="s">
        <v>1120</v>
      </c>
      <c r="H5" s="915"/>
      <c r="I5" s="916">
        <f>+VLOOKUP(B5,PPTO!B8:G94,5,FALSE)</f>
        <v>527882.62973266316</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8" x14ac:dyDescent="0.3">
      <c r="A8" s="78"/>
      <c r="B8" s="79"/>
      <c r="C8" s="79"/>
      <c r="D8" s="88" t="s">
        <v>1240</v>
      </c>
      <c r="E8" s="89">
        <f>3.4+1.5+1.5</f>
        <v>6.4</v>
      </c>
      <c r="F8" s="89"/>
      <c r="G8" s="89">
        <v>1.8</v>
      </c>
      <c r="H8" s="89"/>
      <c r="I8" s="90">
        <v>1</v>
      </c>
      <c r="J8" s="91">
        <f t="shared" ref="J8:J44" si="0">+PRODUCT(E8:I8)</f>
        <v>11.520000000000001</v>
      </c>
    </row>
    <row r="9" spans="1:10" ht="18" x14ac:dyDescent="0.3">
      <c r="A9" s="78"/>
      <c r="B9" s="79"/>
      <c r="C9" s="79"/>
      <c r="D9" s="94" t="s">
        <v>1241</v>
      </c>
      <c r="E9" s="89">
        <f>1.56+4.7+1.56</f>
        <v>7.82</v>
      </c>
      <c r="F9" s="89"/>
      <c r="G9" s="89">
        <v>1.8</v>
      </c>
      <c r="H9" s="89"/>
      <c r="I9" s="93">
        <v>1</v>
      </c>
      <c r="J9" s="91">
        <f t="shared" si="0"/>
        <v>14.076000000000001</v>
      </c>
    </row>
    <row r="10" spans="1:10" ht="18" x14ac:dyDescent="0.3">
      <c r="A10" s="78"/>
      <c r="B10" s="79"/>
      <c r="C10" s="79"/>
      <c r="D10" s="94"/>
      <c r="E10" s="89"/>
      <c r="F10" s="89"/>
      <c r="G10" s="89"/>
      <c r="H10" s="89"/>
      <c r="I10" s="93"/>
      <c r="J10" s="91">
        <f t="shared" si="0"/>
        <v>0</v>
      </c>
    </row>
    <row r="11" spans="1:10" ht="18" x14ac:dyDescent="0.3">
      <c r="A11" s="78"/>
      <c r="B11" s="79"/>
      <c r="C11" s="79"/>
      <c r="D11" s="94"/>
      <c r="E11" s="89"/>
      <c r="F11" s="89"/>
      <c r="G11" s="89"/>
      <c r="H11" s="89"/>
      <c r="I11" s="93"/>
      <c r="J11" s="91">
        <f t="shared" si="0"/>
        <v>0</v>
      </c>
    </row>
    <row r="12" spans="1:10" ht="18" x14ac:dyDescent="0.3">
      <c r="A12" s="78"/>
      <c r="B12" s="79"/>
      <c r="C12" s="79"/>
      <c r="D12" s="94"/>
      <c r="E12" s="89"/>
      <c r="F12" s="89"/>
      <c r="G12" s="89"/>
      <c r="H12" s="89"/>
      <c r="I12" s="93"/>
      <c r="J12" s="91">
        <f t="shared" si="0"/>
        <v>0</v>
      </c>
    </row>
    <row r="13" spans="1:10" ht="18" x14ac:dyDescent="0.3">
      <c r="A13" s="78"/>
      <c r="B13" s="79"/>
      <c r="C13" s="79"/>
      <c r="D13" s="94"/>
      <c r="E13" s="89"/>
      <c r="F13" s="89"/>
      <c r="G13" s="89"/>
      <c r="H13" s="89"/>
      <c r="I13" s="93"/>
      <c r="J13" s="91">
        <f t="shared" si="0"/>
        <v>0</v>
      </c>
    </row>
    <row r="14" spans="1:10" ht="18" x14ac:dyDescent="0.3">
      <c r="A14" s="78"/>
      <c r="B14" s="79"/>
      <c r="C14" s="79"/>
      <c r="D14" s="94"/>
      <c r="E14" s="89"/>
      <c r="F14" s="89"/>
      <c r="G14" s="89"/>
      <c r="H14" s="89"/>
      <c r="I14" s="93"/>
      <c r="J14" s="91">
        <f t="shared" si="0"/>
        <v>0</v>
      </c>
    </row>
    <row r="15" spans="1:10" ht="18" x14ac:dyDescent="0.3">
      <c r="A15" s="78"/>
      <c r="B15" s="79"/>
      <c r="C15" s="79"/>
      <c r="D15" s="94"/>
      <c r="E15" s="89"/>
      <c r="F15" s="89"/>
      <c r="G15" s="89"/>
      <c r="H15" s="89"/>
      <c r="I15" s="93"/>
      <c r="J15" s="91">
        <f t="shared" si="0"/>
        <v>0</v>
      </c>
    </row>
    <row r="16" spans="1:10" ht="18" x14ac:dyDescent="0.3">
      <c r="A16" s="78"/>
      <c r="B16" s="79"/>
      <c r="C16" s="79"/>
      <c r="D16" s="94"/>
      <c r="E16" s="89"/>
      <c r="F16" s="89"/>
      <c r="G16" s="89"/>
      <c r="H16" s="89"/>
      <c r="I16" s="93"/>
      <c r="J16" s="91">
        <f t="shared" si="0"/>
        <v>0</v>
      </c>
    </row>
    <row r="17" spans="1:10" ht="18" x14ac:dyDescent="0.3">
      <c r="A17" s="78"/>
      <c r="B17" s="79"/>
      <c r="C17" s="79"/>
      <c r="D17" s="88"/>
      <c r="E17" s="89"/>
      <c r="F17" s="89"/>
      <c r="G17" s="89"/>
      <c r="H17" s="89"/>
      <c r="I17" s="93"/>
      <c r="J17" s="91">
        <f t="shared" si="0"/>
        <v>0</v>
      </c>
    </row>
    <row r="18" spans="1:10" ht="18" x14ac:dyDescent="0.3">
      <c r="A18" s="78"/>
      <c r="B18" s="79"/>
      <c r="C18" s="79"/>
      <c r="D18" s="88"/>
      <c r="E18" s="89"/>
      <c r="F18" s="89"/>
      <c r="G18" s="89"/>
      <c r="H18" s="89"/>
      <c r="I18" s="93"/>
      <c r="J18" s="91">
        <f t="shared" si="0"/>
        <v>0</v>
      </c>
    </row>
    <row r="19" spans="1:10" ht="18" x14ac:dyDescent="0.3">
      <c r="A19" s="78"/>
      <c r="B19" s="79"/>
      <c r="C19" s="79"/>
      <c r="D19" s="94"/>
      <c r="E19" s="89"/>
      <c r="F19" s="89"/>
      <c r="G19" s="89"/>
      <c r="H19" s="89"/>
      <c r="I19" s="93"/>
      <c r="J19" s="91">
        <f t="shared" si="0"/>
        <v>0</v>
      </c>
    </row>
    <row r="20" spans="1:10" ht="18" x14ac:dyDescent="0.3">
      <c r="A20" s="78"/>
      <c r="B20" s="79"/>
      <c r="C20" s="79"/>
      <c r="D20" s="94"/>
      <c r="E20" s="89"/>
      <c r="F20" s="89"/>
      <c r="G20" s="89"/>
      <c r="H20" s="89"/>
      <c r="I20" s="93"/>
      <c r="J20" s="91">
        <f t="shared" si="0"/>
        <v>0</v>
      </c>
    </row>
    <row r="21" spans="1:10" ht="18" x14ac:dyDescent="0.3">
      <c r="A21" s="78"/>
      <c r="B21" s="79"/>
      <c r="C21" s="79"/>
      <c r="D21" s="94"/>
      <c r="E21" s="89">
        <v>0</v>
      </c>
      <c r="F21" s="89"/>
      <c r="G21" s="89"/>
      <c r="H21" s="89"/>
      <c r="I21" s="93"/>
      <c r="J21" s="91">
        <f t="shared" si="0"/>
        <v>0</v>
      </c>
    </row>
    <row r="22" spans="1:10" ht="18" x14ac:dyDescent="0.3">
      <c r="A22" s="78"/>
      <c r="B22" s="79"/>
      <c r="C22" s="79"/>
      <c r="D22" s="94"/>
      <c r="E22" s="89">
        <v>0</v>
      </c>
      <c r="F22" s="89"/>
      <c r="G22" s="89"/>
      <c r="H22" s="89"/>
      <c r="I22" s="93"/>
      <c r="J22" s="91">
        <f t="shared" si="0"/>
        <v>0</v>
      </c>
    </row>
    <row r="23" spans="1:10" ht="18" x14ac:dyDescent="0.3">
      <c r="A23" s="78"/>
      <c r="B23" s="79"/>
      <c r="C23" s="79"/>
      <c r="D23" s="94"/>
      <c r="E23" s="89">
        <v>0</v>
      </c>
      <c r="F23" s="89"/>
      <c r="G23" s="89"/>
      <c r="H23" s="89"/>
      <c r="I23" s="93"/>
      <c r="J23" s="91">
        <f t="shared" si="0"/>
        <v>0</v>
      </c>
    </row>
    <row r="24" spans="1:10" ht="18" x14ac:dyDescent="0.3">
      <c r="A24" s="78"/>
      <c r="B24" s="79"/>
      <c r="C24" s="79"/>
      <c r="D24" s="94"/>
      <c r="E24" s="89">
        <v>0</v>
      </c>
      <c r="F24" s="89"/>
      <c r="G24" s="89"/>
      <c r="H24" s="89"/>
      <c r="I24" s="93"/>
      <c r="J24" s="91">
        <f t="shared" si="0"/>
        <v>0</v>
      </c>
    </row>
    <row r="25" spans="1:10" ht="18" x14ac:dyDescent="0.3">
      <c r="A25" s="78"/>
      <c r="B25" s="79"/>
      <c r="C25" s="79"/>
      <c r="D25" s="94"/>
      <c r="E25" s="89">
        <v>0</v>
      </c>
      <c r="F25" s="89"/>
      <c r="G25" s="89"/>
      <c r="H25" s="89"/>
      <c r="I25" s="93"/>
      <c r="J25" s="91">
        <f t="shared" si="0"/>
        <v>0</v>
      </c>
    </row>
    <row r="26" spans="1:10" ht="18" x14ac:dyDescent="0.3">
      <c r="A26" s="78"/>
      <c r="B26" s="79"/>
      <c r="C26" s="79"/>
      <c r="D26" s="94"/>
      <c r="E26" s="89">
        <v>0</v>
      </c>
      <c r="F26" s="89"/>
      <c r="G26" s="89"/>
      <c r="H26" s="89"/>
      <c r="I26" s="93"/>
      <c r="J26" s="91">
        <f t="shared" si="0"/>
        <v>0</v>
      </c>
    </row>
    <row r="27" spans="1:10" ht="18" x14ac:dyDescent="0.3">
      <c r="A27" s="78"/>
      <c r="B27" s="79"/>
      <c r="C27" s="79"/>
      <c r="D27" s="94"/>
      <c r="E27" s="89">
        <v>0</v>
      </c>
      <c r="F27" s="89"/>
      <c r="G27" s="89"/>
      <c r="H27" s="89"/>
      <c r="I27" s="93"/>
      <c r="J27" s="91">
        <f t="shared" si="0"/>
        <v>0</v>
      </c>
    </row>
    <row r="28" spans="1:10" ht="18" x14ac:dyDescent="0.3">
      <c r="A28" s="78"/>
      <c r="B28" s="79"/>
      <c r="C28" s="79"/>
      <c r="D28" s="94"/>
      <c r="E28" s="89">
        <v>0</v>
      </c>
      <c r="F28" s="89"/>
      <c r="G28" s="89"/>
      <c r="H28" s="89"/>
      <c r="I28" s="93"/>
      <c r="J28" s="91">
        <f t="shared" si="0"/>
        <v>0</v>
      </c>
    </row>
    <row r="29" spans="1:10" ht="18" x14ac:dyDescent="0.3">
      <c r="A29" s="78"/>
      <c r="B29" s="79"/>
      <c r="C29" s="79"/>
      <c r="D29" s="94"/>
      <c r="E29" s="89">
        <v>0</v>
      </c>
      <c r="F29" s="89"/>
      <c r="G29" s="89"/>
      <c r="H29" s="89"/>
      <c r="I29" s="93"/>
      <c r="J29" s="91">
        <f t="shared" si="0"/>
        <v>0</v>
      </c>
    </row>
    <row r="30" spans="1:10" ht="18" x14ac:dyDescent="0.3">
      <c r="A30" s="78"/>
      <c r="B30" s="79"/>
      <c r="C30" s="79"/>
      <c r="D30" s="94"/>
      <c r="E30" s="89">
        <v>0</v>
      </c>
      <c r="F30" s="89"/>
      <c r="G30" s="89"/>
      <c r="H30" s="89"/>
      <c r="I30" s="93"/>
      <c r="J30" s="91">
        <f t="shared" si="0"/>
        <v>0</v>
      </c>
    </row>
    <row r="31" spans="1:10" ht="18" x14ac:dyDescent="0.3">
      <c r="A31" s="78"/>
      <c r="B31" s="79"/>
      <c r="C31" s="79"/>
      <c r="D31" s="94"/>
      <c r="E31" s="89">
        <v>0</v>
      </c>
      <c r="F31" s="89"/>
      <c r="G31" s="89"/>
      <c r="H31" s="89"/>
      <c r="I31" s="93"/>
      <c r="J31" s="91">
        <f t="shared" si="0"/>
        <v>0</v>
      </c>
    </row>
    <row r="32" spans="1:10" ht="18" x14ac:dyDescent="0.3">
      <c r="A32" s="78"/>
      <c r="B32" s="79"/>
      <c r="C32" s="79"/>
      <c r="D32" s="94"/>
      <c r="E32" s="89">
        <v>0</v>
      </c>
      <c r="F32" s="89"/>
      <c r="G32" s="89"/>
      <c r="H32" s="89"/>
      <c r="I32" s="93"/>
      <c r="J32" s="91">
        <f t="shared" si="0"/>
        <v>0</v>
      </c>
    </row>
    <row r="33" spans="1:13" ht="18" x14ac:dyDescent="0.3">
      <c r="A33" s="78"/>
      <c r="B33" s="79"/>
      <c r="C33" s="79"/>
      <c r="D33" s="94"/>
      <c r="E33" s="89">
        <v>0</v>
      </c>
      <c r="F33" s="89"/>
      <c r="G33" s="89"/>
      <c r="H33" s="89"/>
      <c r="I33" s="93"/>
      <c r="J33" s="91">
        <f t="shared" si="0"/>
        <v>0</v>
      </c>
    </row>
    <row r="34" spans="1:13" ht="18" x14ac:dyDescent="0.3">
      <c r="A34" s="78"/>
      <c r="B34" s="79"/>
      <c r="C34" s="79"/>
      <c r="D34" s="94"/>
      <c r="E34" s="89">
        <v>0</v>
      </c>
      <c r="F34" s="89"/>
      <c r="G34" s="89"/>
      <c r="H34" s="89"/>
      <c r="I34" s="93"/>
      <c r="J34" s="91">
        <f t="shared" si="0"/>
        <v>0</v>
      </c>
    </row>
    <row r="35" spans="1:13" ht="18" x14ac:dyDescent="0.3">
      <c r="A35" s="78"/>
      <c r="B35" s="79"/>
      <c r="C35" s="79"/>
      <c r="D35" s="94"/>
      <c r="E35" s="89">
        <v>0</v>
      </c>
      <c r="F35" s="89"/>
      <c r="G35" s="89"/>
      <c r="H35" s="89"/>
      <c r="I35" s="93"/>
      <c r="J35" s="91">
        <f t="shared" si="0"/>
        <v>0</v>
      </c>
    </row>
    <row r="36" spans="1:13" ht="18" x14ac:dyDescent="0.3">
      <c r="A36" s="78"/>
      <c r="B36" s="79"/>
      <c r="C36" s="79"/>
      <c r="D36" s="94"/>
      <c r="E36" s="89">
        <v>0</v>
      </c>
      <c r="F36" s="89"/>
      <c r="G36" s="89"/>
      <c r="H36" s="89"/>
      <c r="I36" s="93"/>
      <c r="J36" s="91">
        <f t="shared" si="0"/>
        <v>0</v>
      </c>
    </row>
    <row r="37" spans="1:13" ht="18" x14ac:dyDescent="0.3">
      <c r="A37" s="78"/>
      <c r="B37" s="79"/>
      <c r="C37" s="79"/>
      <c r="D37" s="94"/>
      <c r="E37" s="89">
        <v>0</v>
      </c>
      <c r="F37" s="89"/>
      <c r="G37" s="89"/>
      <c r="H37" s="89"/>
      <c r="I37" s="93"/>
      <c r="J37" s="91">
        <f t="shared" si="0"/>
        <v>0</v>
      </c>
    </row>
    <row r="38" spans="1:13" ht="18" x14ac:dyDescent="0.3">
      <c r="A38" s="78"/>
      <c r="B38" s="79"/>
      <c r="C38" s="79"/>
      <c r="D38" s="94"/>
      <c r="E38" s="89"/>
      <c r="F38" s="89"/>
      <c r="G38" s="92"/>
      <c r="H38" s="89"/>
      <c r="I38" s="93"/>
      <c r="J38" s="91"/>
    </row>
    <row r="39" spans="1:13" ht="18" x14ac:dyDescent="0.3">
      <c r="A39" s="78"/>
      <c r="B39" s="79"/>
      <c r="C39" s="79"/>
      <c r="D39" s="94"/>
      <c r="E39" s="89"/>
      <c r="F39" s="89"/>
      <c r="G39" s="92"/>
      <c r="H39" s="89"/>
      <c r="I39" s="93"/>
      <c r="J39" s="91"/>
    </row>
    <row r="40" spans="1:13" ht="18" x14ac:dyDescent="0.3">
      <c r="A40" s="78"/>
      <c r="B40" s="79"/>
      <c r="C40" s="79"/>
      <c r="D40" s="94"/>
      <c r="E40" s="89"/>
      <c r="F40" s="89"/>
      <c r="G40" s="92"/>
      <c r="H40" s="89"/>
      <c r="I40" s="93"/>
      <c r="J40" s="91"/>
    </row>
    <row r="41" spans="1:13" ht="18" x14ac:dyDescent="0.3">
      <c r="A41" s="78"/>
      <c r="B41" s="79"/>
      <c r="C41" s="79"/>
      <c r="D41" s="94"/>
      <c r="E41" s="89"/>
      <c r="F41" s="89"/>
      <c r="G41" s="92"/>
      <c r="H41" s="89"/>
      <c r="I41" s="93"/>
      <c r="J41" s="91"/>
    </row>
    <row r="42" spans="1:13" ht="18" x14ac:dyDescent="0.3">
      <c r="A42" s="78"/>
      <c r="B42" s="79"/>
      <c r="C42" s="79"/>
      <c r="D42" s="94"/>
      <c r="E42" s="89"/>
      <c r="F42" s="89"/>
      <c r="G42" s="92"/>
      <c r="H42" s="89"/>
      <c r="I42" s="93"/>
      <c r="J42" s="91"/>
    </row>
    <row r="43" spans="1:13" ht="18" x14ac:dyDescent="0.3">
      <c r="A43" s="78"/>
      <c r="B43" s="79"/>
      <c r="C43" s="79"/>
      <c r="D43" s="95"/>
      <c r="E43" s="89"/>
      <c r="F43" s="89"/>
      <c r="G43" s="92"/>
      <c r="H43" s="89"/>
      <c r="I43" s="93"/>
      <c r="J43" s="91">
        <f t="shared" si="0"/>
        <v>0</v>
      </c>
    </row>
    <row r="44" spans="1:13" ht="18.75" thickBot="1" x14ac:dyDescent="0.35">
      <c r="A44" s="78"/>
      <c r="B44" s="79"/>
      <c r="C44" s="79"/>
      <c r="D44" s="96"/>
      <c r="E44" s="97"/>
      <c r="F44" s="97"/>
      <c r="G44" s="98"/>
      <c r="H44" s="97"/>
      <c r="I44" s="99"/>
      <c r="J44" s="100">
        <f t="shared" si="0"/>
        <v>0</v>
      </c>
      <c r="M44" s="105"/>
    </row>
    <row r="45" spans="1:13" ht="21" thickBot="1" x14ac:dyDescent="0.35">
      <c r="A45" s="78"/>
      <c r="B45" s="79"/>
      <c r="C45" s="79"/>
      <c r="D45" s="933" t="s">
        <v>10</v>
      </c>
      <c r="E45" s="934"/>
      <c r="F45" s="934"/>
      <c r="G45" s="934"/>
      <c r="H45" s="934"/>
      <c r="I45" s="935"/>
      <c r="J45" s="102">
        <f>ROUND(SUM(J8:J44),2)</f>
        <v>25.6</v>
      </c>
    </row>
    <row r="46" spans="1:13" ht="21" thickBot="1" x14ac:dyDescent="0.35">
      <c r="A46" s="78"/>
      <c r="B46" s="79"/>
      <c r="C46" s="79"/>
      <c r="D46" s="933" t="s">
        <v>1127</v>
      </c>
      <c r="E46" s="934"/>
      <c r="F46" s="934"/>
      <c r="G46" s="934"/>
      <c r="H46" s="934"/>
      <c r="I46" s="935"/>
      <c r="J46" s="103"/>
    </row>
    <row r="47" spans="1:13" ht="21" thickBot="1" x14ac:dyDescent="0.35">
      <c r="A47" s="78"/>
      <c r="B47" s="79"/>
      <c r="C47" s="101"/>
      <c r="D47" s="933" t="s">
        <v>1128</v>
      </c>
      <c r="E47" s="934"/>
      <c r="F47" s="934"/>
      <c r="G47" s="934"/>
      <c r="H47" s="934"/>
      <c r="I47" s="935"/>
      <c r="J47" s="104">
        <f>+J45-J46</f>
        <v>25.6</v>
      </c>
    </row>
    <row r="48" spans="1:13" ht="21" thickBot="1" x14ac:dyDescent="0.35">
      <c r="A48" s="936" t="s">
        <v>1129</v>
      </c>
      <c r="B48" s="937"/>
      <c r="C48" s="938"/>
      <c r="D48" s="939" t="s">
        <v>1130</v>
      </c>
      <c r="E48" s="940"/>
      <c r="F48" s="940"/>
      <c r="G48" s="940"/>
      <c r="H48" s="940"/>
      <c r="I48" s="940"/>
      <c r="J48" s="941"/>
    </row>
    <row r="49" spans="1:10" ht="38.25" customHeight="1" thickBot="1" x14ac:dyDescent="0.35">
      <c r="A49" s="942" t="str">
        <f>PPTO!G3</f>
        <v>JUNIO DE 2026</v>
      </c>
      <c r="B49" s="943"/>
      <c r="C49" s="944"/>
      <c r="D49" s="921"/>
      <c r="E49" s="922"/>
      <c r="F49" s="922"/>
      <c r="G49" s="922"/>
      <c r="H49" s="922"/>
      <c r="I49" s="922"/>
      <c r="J49" s="923"/>
    </row>
    <row r="50" spans="1:10" ht="19.5" thickBot="1" x14ac:dyDescent="0.35">
      <c r="A50" s="918"/>
      <c r="B50" s="919"/>
      <c r="C50" s="920"/>
      <c r="D50" s="921" t="s">
        <v>1131</v>
      </c>
      <c r="E50" s="922"/>
      <c r="F50" s="922"/>
      <c r="G50" s="922"/>
      <c r="H50" s="922"/>
      <c r="I50" s="922"/>
      <c r="J50" s="923"/>
    </row>
  </sheetData>
  <mergeCells count="19">
    <mergeCell ref="A2:J2"/>
    <mergeCell ref="A3:J3"/>
    <mergeCell ref="A4:J4"/>
    <mergeCell ref="C5:D5"/>
    <mergeCell ref="G5:H5"/>
    <mergeCell ref="I5:J5"/>
    <mergeCell ref="A50:C50"/>
    <mergeCell ref="D50:J50"/>
    <mergeCell ref="D6:D7"/>
    <mergeCell ref="E6:G6"/>
    <mergeCell ref="I6:I7"/>
    <mergeCell ref="J6:J7"/>
    <mergeCell ref="D45:I45"/>
    <mergeCell ref="D46:I46"/>
    <mergeCell ref="D47:I47"/>
    <mergeCell ref="A48:C48"/>
    <mergeCell ref="D48:J48"/>
    <mergeCell ref="A49:C49"/>
    <mergeCell ref="D49:J49"/>
  </mergeCells>
  <conditionalFormatting sqref="J8:J44">
    <cfRule type="cellIs" dxfId="14" priority="1" operator="equal">
      <formula>0</formula>
    </cfRule>
  </conditionalFormatting>
  <pageMargins left="0.7" right="0.7" top="0.75" bottom="0.75" header="0.3" footer="0.3"/>
  <pageSetup scale="51" orientation="landscape" r:id="rId1"/>
  <drawing r:id="rId2"/>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209BEE-AF05-4C2B-9525-8004845E5334}">
  <sheetPr>
    <tabColor rgb="FF92D050"/>
    <pageSetUpPr fitToPage="1"/>
  </sheetPr>
  <dimension ref="A1:M50"/>
  <sheetViews>
    <sheetView showOutlineSymbols="0" view="pageBreakPreview" topLeftCell="A24" zoomScale="60" zoomScaleNormal="70" workbookViewId="0">
      <selection activeCell="J9" sqref="J9"/>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29.6" customHeight="1" thickBot="1" x14ac:dyDescent="0.35">
      <c r="A5" s="72" t="s">
        <v>5</v>
      </c>
      <c r="B5" s="73">
        <v>8.4</v>
      </c>
      <c r="C5" s="913" t="str">
        <f>+VLOOKUP(B5,PPTO!B8:G94,2,FALSE)</f>
        <v>Suministro e Instalación Divisiones de sanitarios en Acero Inox , Calibre 20 Satinado, con puertas y Tabiques en altura de 1600mm SAE 304 , Incluye Cerrojos , Percheros , Parales Altura de 1800mm.</v>
      </c>
      <c r="D5" s="914"/>
      <c r="E5" s="72" t="s">
        <v>7</v>
      </c>
      <c r="F5" s="74" t="str">
        <f>+VLOOKUP(B5,PPTO!B8:G94,3,FALSE)</f>
        <v>m2</v>
      </c>
      <c r="G5" s="915" t="s">
        <v>1120</v>
      </c>
      <c r="H5" s="915"/>
      <c r="I5" s="916">
        <f>+VLOOKUP(B5,PPTO!B8:G94,5,FALSE)</f>
        <v>527882.62973266316</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8" x14ac:dyDescent="0.3">
      <c r="A8" s="78"/>
      <c r="B8" s="79"/>
      <c r="C8" s="79"/>
      <c r="D8" s="88"/>
      <c r="E8" s="89"/>
      <c r="F8" s="89"/>
      <c r="G8" s="89"/>
      <c r="H8" s="89"/>
      <c r="I8" s="90"/>
      <c r="J8" s="91"/>
    </row>
    <row r="9" spans="1:10" ht="18" x14ac:dyDescent="0.3">
      <c r="A9" s="78"/>
      <c r="B9" s="79"/>
      <c r="C9" s="79"/>
      <c r="D9" s="94" t="s">
        <v>1241</v>
      </c>
      <c r="E9" s="89">
        <v>0.7</v>
      </c>
      <c r="F9" s="89"/>
      <c r="G9" s="89">
        <v>1.5</v>
      </c>
      <c r="H9" s="89"/>
      <c r="I9" s="93">
        <v>4</v>
      </c>
      <c r="J9" s="91">
        <f t="shared" ref="J9:J44" si="0">+PRODUCT(E9:I9)</f>
        <v>4.1999999999999993</v>
      </c>
    </row>
    <row r="10" spans="1:10" ht="18" x14ac:dyDescent="0.3">
      <c r="A10" s="78"/>
      <c r="B10" s="79"/>
      <c r="C10" s="79"/>
      <c r="D10" s="94"/>
      <c r="E10" s="89"/>
      <c r="F10" s="89"/>
      <c r="G10" s="89"/>
      <c r="H10" s="89"/>
      <c r="I10" s="93"/>
      <c r="J10" s="91">
        <f t="shared" si="0"/>
        <v>0</v>
      </c>
    </row>
    <row r="11" spans="1:10" ht="18" x14ac:dyDescent="0.3">
      <c r="A11" s="78"/>
      <c r="B11" s="79"/>
      <c r="C11" s="79"/>
      <c r="D11" s="94"/>
      <c r="E11" s="89"/>
      <c r="F11" s="89"/>
      <c r="G11" s="89"/>
      <c r="H11" s="89"/>
      <c r="I11" s="93"/>
      <c r="J11" s="91">
        <f t="shared" si="0"/>
        <v>0</v>
      </c>
    </row>
    <row r="12" spans="1:10" ht="18" x14ac:dyDescent="0.3">
      <c r="A12" s="78"/>
      <c r="B12" s="79"/>
      <c r="C12" s="79"/>
      <c r="D12" s="94"/>
      <c r="E12" s="89"/>
      <c r="F12" s="89"/>
      <c r="G12" s="89"/>
      <c r="H12" s="89"/>
      <c r="I12" s="93"/>
      <c r="J12" s="91">
        <f t="shared" si="0"/>
        <v>0</v>
      </c>
    </row>
    <row r="13" spans="1:10" ht="18" x14ac:dyDescent="0.3">
      <c r="A13" s="78"/>
      <c r="B13" s="79"/>
      <c r="C13" s="79"/>
      <c r="D13" s="94"/>
      <c r="E13" s="89"/>
      <c r="F13" s="89"/>
      <c r="G13" s="89"/>
      <c r="H13" s="89"/>
      <c r="I13" s="93"/>
      <c r="J13" s="91">
        <f t="shared" si="0"/>
        <v>0</v>
      </c>
    </row>
    <row r="14" spans="1:10" ht="18" x14ac:dyDescent="0.3">
      <c r="A14" s="78"/>
      <c r="B14" s="79"/>
      <c r="C14" s="79"/>
      <c r="D14" s="94"/>
      <c r="E14" s="89"/>
      <c r="F14" s="89"/>
      <c r="G14" s="89"/>
      <c r="H14" s="89"/>
      <c r="I14" s="93"/>
      <c r="J14" s="91">
        <f t="shared" si="0"/>
        <v>0</v>
      </c>
    </row>
    <row r="15" spans="1:10" ht="18" x14ac:dyDescent="0.3">
      <c r="A15" s="78"/>
      <c r="B15" s="79"/>
      <c r="C15" s="79"/>
      <c r="D15" s="94"/>
      <c r="E15" s="89"/>
      <c r="F15" s="89"/>
      <c r="G15" s="89"/>
      <c r="H15" s="89"/>
      <c r="I15" s="93"/>
      <c r="J15" s="91">
        <f t="shared" si="0"/>
        <v>0</v>
      </c>
    </row>
    <row r="16" spans="1:10" ht="18" x14ac:dyDescent="0.3">
      <c r="A16" s="78"/>
      <c r="B16" s="79"/>
      <c r="C16" s="79"/>
      <c r="D16" s="94"/>
      <c r="E16" s="89"/>
      <c r="F16" s="89"/>
      <c r="G16" s="89"/>
      <c r="H16" s="89"/>
      <c r="I16" s="93"/>
      <c r="J16" s="91">
        <f t="shared" si="0"/>
        <v>0</v>
      </c>
    </row>
    <row r="17" spans="1:10" ht="18" x14ac:dyDescent="0.3">
      <c r="A17" s="78"/>
      <c r="B17" s="79"/>
      <c r="C17" s="79"/>
      <c r="D17" s="88"/>
      <c r="E17" s="89"/>
      <c r="F17" s="89"/>
      <c r="G17" s="89"/>
      <c r="H17" s="89"/>
      <c r="I17" s="93"/>
      <c r="J17" s="91">
        <f t="shared" si="0"/>
        <v>0</v>
      </c>
    </row>
    <row r="18" spans="1:10" ht="18" x14ac:dyDescent="0.3">
      <c r="A18" s="78"/>
      <c r="B18" s="79"/>
      <c r="C18" s="79"/>
      <c r="D18" s="88"/>
      <c r="E18" s="89"/>
      <c r="F18" s="89"/>
      <c r="G18" s="89"/>
      <c r="H18" s="89"/>
      <c r="I18" s="93"/>
      <c r="J18" s="91">
        <f t="shared" si="0"/>
        <v>0</v>
      </c>
    </row>
    <row r="19" spans="1:10" ht="18" x14ac:dyDescent="0.3">
      <c r="A19" s="78"/>
      <c r="B19" s="79"/>
      <c r="C19" s="79"/>
      <c r="D19" s="94"/>
      <c r="E19" s="89"/>
      <c r="F19" s="89"/>
      <c r="G19" s="89"/>
      <c r="H19" s="89"/>
      <c r="I19" s="93"/>
      <c r="J19" s="91">
        <f t="shared" si="0"/>
        <v>0</v>
      </c>
    </row>
    <row r="20" spans="1:10" ht="18" x14ac:dyDescent="0.3">
      <c r="A20" s="78"/>
      <c r="B20" s="79"/>
      <c r="C20" s="79"/>
      <c r="D20" s="94"/>
      <c r="E20" s="89"/>
      <c r="F20" s="89"/>
      <c r="G20" s="89"/>
      <c r="H20" s="89"/>
      <c r="I20" s="93"/>
      <c r="J20" s="91">
        <f t="shared" si="0"/>
        <v>0</v>
      </c>
    </row>
    <row r="21" spans="1:10" ht="18" x14ac:dyDescent="0.3">
      <c r="A21" s="78"/>
      <c r="B21" s="79"/>
      <c r="C21" s="79"/>
      <c r="D21" s="94"/>
      <c r="E21" s="89">
        <v>0</v>
      </c>
      <c r="F21" s="89"/>
      <c r="G21" s="89"/>
      <c r="H21" s="89"/>
      <c r="I21" s="93"/>
      <c r="J21" s="91">
        <f t="shared" si="0"/>
        <v>0</v>
      </c>
    </row>
    <row r="22" spans="1:10" ht="18" x14ac:dyDescent="0.3">
      <c r="A22" s="78"/>
      <c r="B22" s="79"/>
      <c r="C22" s="79"/>
      <c r="D22" s="94"/>
      <c r="E22" s="89">
        <v>0</v>
      </c>
      <c r="F22" s="89"/>
      <c r="G22" s="89"/>
      <c r="H22" s="89"/>
      <c r="I22" s="93"/>
      <c r="J22" s="91">
        <f t="shared" si="0"/>
        <v>0</v>
      </c>
    </row>
    <row r="23" spans="1:10" ht="18" x14ac:dyDescent="0.3">
      <c r="A23" s="78"/>
      <c r="B23" s="79"/>
      <c r="C23" s="79"/>
      <c r="D23" s="94"/>
      <c r="E23" s="89">
        <v>0</v>
      </c>
      <c r="F23" s="89"/>
      <c r="G23" s="89"/>
      <c r="H23" s="89"/>
      <c r="I23" s="93"/>
      <c r="J23" s="91">
        <f t="shared" si="0"/>
        <v>0</v>
      </c>
    </row>
    <row r="24" spans="1:10" ht="18" x14ac:dyDescent="0.3">
      <c r="A24" s="78"/>
      <c r="B24" s="79"/>
      <c r="C24" s="79"/>
      <c r="D24" s="94"/>
      <c r="E24" s="89">
        <v>0</v>
      </c>
      <c r="F24" s="89"/>
      <c r="G24" s="89"/>
      <c r="H24" s="89"/>
      <c r="I24" s="93"/>
      <c r="J24" s="91">
        <f t="shared" si="0"/>
        <v>0</v>
      </c>
    </row>
    <row r="25" spans="1:10" ht="18" x14ac:dyDescent="0.3">
      <c r="A25" s="78"/>
      <c r="B25" s="79"/>
      <c r="C25" s="79"/>
      <c r="D25" s="94"/>
      <c r="E25" s="89">
        <v>0</v>
      </c>
      <c r="F25" s="89"/>
      <c r="G25" s="89"/>
      <c r="H25" s="89"/>
      <c r="I25" s="93"/>
      <c r="J25" s="91">
        <f t="shared" si="0"/>
        <v>0</v>
      </c>
    </row>
    <row r="26" spans="1:10" ht="18" x14ac:dyDescent="0.3">
      <c r="A26" s="78"/>
      <c r="B26" s="79"/>
      <c r="C26" s="79"/>
      <c r="D26" s="94"/>
      <c r="E26" s="89">
        <v>0</v>
      </c>
      <c r="F26" s="89"/>
      <c r="G26" s="89"/>
      <c r="H26" s="89"/>
      <c r="I26" s="93"/>
      <c r="J26" s="91">
        <f t="shared" si="0"/>
        <v>0</v>
      </c>
    </row>
    <row r="27" spans="1:10" ht="18" x14ac:dyDescent="0.3">
      <c r="A27" s="78"/>
      <c r="B27" s="79"/>
      <c r="C27" s="79"/>
      <c r="D27" s="94"/>
      <c r="E27" s="89">
        <v>0</v>
      </c>
      <c r="F27" s="89"/>
      <c r="G27" s="89"/>
      <c r="H27" s="89"/>
      <c r="I27" s="93"/>
      <c r="J27" s="91">
        <f t="shared" si="0"/>
        <v>0</v>
      </c>
    </row>
    <row r="28" spans="1:10" ht="18" x14ac:dyDescent="0.3">
      <c r="A28" s="78"/>
      <c r="B28" s="79"/>
      <c r="C28" s="79"/>
      <c r="D28" s="94"/>
      <c r="E28" s="89">
        <v>0</v>
      </c>
      <c r="F28" s="89"/>
      <c r="G28" s="89"/>
      <c r="H28" s="89"/>
      <c r="I28" s="93"/>
      <c r="J28" s="91">
        <f t="shared" si="0"/>
        <v>0</v>
      </c>
    </row>
    <row r="29" spans="1:10" ht="18" x14ac:dyDescent="0.3">
      <c r="A29" s="78"/>
      <c r="B29" s="79"/>
      <c r="C29" s="79"/>
      <c r="D29" s="94"/>
      <c r="E29" s="89">
        <v>0</v>
      </c>
      <c r="F29" s="89"/>
      <c r="G29" s="89"/>
      <c r="H29" s="89"/>
      <c r="I29" s="93"/>
      <c r="J29" s="91">
        <f t="shared" si="0"/>
        <v>0</v>
      </c>
    </row>
    <row r="30" spans="1:10" ht="18" x14ac:dyDescent="0.3">
      <c r="A30" s="78"/>
      <c r="B30" s="79"/>
      <c r="C30" s="79"/>
      <c r="D30" s="94"/>
      <c r="E30" s="89">
        <v>0</v>
      </c>
      <c r="F30" s="89"/>
      <c r="G30" s="89"/>
      <c r="H30" s="89"/>
      <c r="I30" s="93"/>
      <c r="J30" s="91">
        <f t="shared" si="0"/>
        <v>0</v>
      </c>
    </row>
    <row r="31" spans="1:10" ht="18" x14ac:dyDescent="0.3">
      <c r="A31" s="78"/>
      <c r="B31" s="79"/>
      <c r="C31" s="79"/>
      <c r="D31" s="94"/>
      <c r="E31" s="89">
        <v>0</v>
      </c>
      <c r="F31" s="89"/>
      <c r="G31" s="89"/>
      <c r="H31" s="89"/>
      <c r="I31" s="93"/>
      <c r="J31" s="91">
        <f t="shared" si="0"/>
        <v>0</v>
      </c>
    </row>
    <row r="32" spans="1:10" ht="18" x14ac:dyDescent="0.3">
      <c r="A32" s="78"/>
      <c r="B32" s="79"/>
      <c r="C32" s="79"/>
      <c r="D32" s="94"/>
      <c r="E32" s="89">
        <v>0</v>
      </c>
      <c r="F32" s="89"/>
      <c r="G32" s="89"/>
      <c r="H32" s="89"/>
      <c r="I32" s="93"/>
      <c r="J32" s="91">
        <f t="shared" si="0"/>
        <v>0</v>
      </c>
    </row>
    <row r="33" spans="1:13" ht="18" x14ac:dyDescent="0.3">
      <c r="A33" s="78"/>
      <c r="B33" s="79"/>
      <c r="C33" s="79"/>
      <c r="D33" s="94"/>
      <c r="E33" s="89">
        <v>0</v>
      </c>
      <c r="F33" s="89"/>
      <c r="G33" s="89"/>
      <c r="H33" s="89"/>
      <c r="I33" s="93"/>
      <c r="J33" s="91">
        <f t="shared" si="0"/>
        <v>0</v>
      </c>
    </row>
    <row r="34" spans="1:13" ht="18" x14ac:dyDescent="0.3">
      <c r="A34" s="78"/>
      <c r="B34" s="79"/>
      <c r="C34" s="79"/>
      <c r="D34" s="94"/>
      <c r="E34" s="89">
        <v>0</v>
      </c>
      <c r="F34" s="89"/>
      <c r="G34" s="89"/>
      <c r="H34" s="89"/>
      <c r="I34" s="93"/>
      <c r="J34" s="91">
        <f t="shared" si="0"/>
        <v>0</v>
      </c>
    </row>
    <row r="35" spans="1:13" ht="18" x14ac:dyDescent="0.3">
      <c r="A35" s="78"/>
      <c r="B35" s="79"/>
      <c r="C35" s="79"/>
      <c r="D35" s="94"/>
      <c r="E35" s="89">
        <v>0</v>
      </c>
      <c r="F35" s="89"/>
      <c r="G35" s="89"/>
      <c r="H35" s="89"/>
      <c r="I35" s="93"/>
      <c r="J35" s="91">
        <f t="shared" si="0"/>
        <v>0</v>
      </c>
    </row>
    <row r="36" spans="1:13" ht="18" x14ac:dyDescent="0.3">
      <c r="A36" s="78"/>
      <c r="B36" s="79"/>
      <c r="C36" s="79"/>
      <c r="D36" s="94"/>
      <c r="E36" s="89">
        <v>0</v>
      </c>
      <c r="F36" s="89"/>
      <c r="G36" s="89"/>
      <c r="H36" s="89"/>
      <c r="I36" s="93"/>
      <c r="J36" s="91">
        <f t="shared" si="0"/>
        <v>0</v>
      </c>
    </row>
    <row r="37" spans="1:13" ht="18" x14ac:dyDescent="0.3">
      <c r="A37" s="78"/>
      <c r="B37" s="79"/>
      <c r="C37" s="79"/>
      <c r="D37" s="94"/>
      <c r="E37" s="89">
        <v>0</v>
      </c>
      <c r="F37" s="89"/>
      <c r="G37" s="89"/>
      <c r="H37" s="89"/>
      <c r="I37" s="93"/>
      <c r="J37" s="91">
        <f t="shared" si="0"/>
        <v>0</v>
      </c>
    </row>
    <row r="38" spans="1:13" ht="18" x14ac:dyDescent="0.3">
      <c r="A38" s="78"/>
      <c r="B38" s="79"/>
      <c r="C38" s="79"/>
      <c r="D38" s="94"/>
      <c r="E38" s="89"/>
      <c r="F38" s="89"/>
      <c r="G38" s="92"/>
      <c r="H38" s="89"/>
      <c r="I38" s="93"/>
      <c r="J38" s="91"/>
    </row>
    <row r="39" spans="1:13" ht="18" x14ac:dyDescent="0.3">
      <c r="A39" s="78"/>
      <c r="B39" s="79"/>
      <c r="C39" s="79"/>
      <c r="D39" s="94"/>
      <c r="E39" s="89"/>
      <c r="F39" s="89"/>
      <c r="G39" s="92"/>
      <c r="H39" s="89"/>
      <c r="I39" s="93"/>
      <c r="J39" s="91"/>
    </row>
    <row r="40" spans="1:13" ht="18" x14ac:dyDescent="0.3">
      <c r="A40" s="78"/>
      <c r="B40" s="79"/>
      <c r="C40" s="79"/>
      <c r="D40" s="94"/>
      <c r="E40" s="89"/>
      <c r="F40" s="89"/>
      <c r="G40" s="92"/>
      <c r="H40" s="89"/>
      <c r="I40" s="93"/>
      <c r="J40" s="91"/>
    </row>
    <row r="41" spans="1:13" ht="18" x14ac:dyDescent="0.3">
      <c r="A41" s="78"/>
      <c r="B41" s="79"/>
      <c r="C41" s="79"/>
      <c r="D41" s="94"/>
      <c r="E41" s="89"/>
      <c r="F41" s="89"/>
      <c r="G41" s="92"/>
      <c r="H41" s="89"/>
      <c r="I41" s="93"/>
      <c r="J41" s="91"/>
    </row>
    <row r="42" spans="1:13" ht="18" x14ac:dyDescent="0.3">
      <c r="A42" s="78"/>
      <c r="B42" s="79"/>
      <c r="C42" s="79"/>
      <c r="D42" s="94"/>
      <c r="E42" s="89"/>
      <c r="F42" s="89"/>
      <c r="G42" s="92"/>
      <c r="H42" s="89"/>
      <c r="I42" s="93"/>
      <c r="J42" s="91"/>
    </row>
    <row r="43" spans="1:13" ht="18" x14ac:dyDescent="0.3">
      <c r="A43" s="78"/>
      <c r="B43" s="79"/>
      <c r="C43" s="79"/>
      <c r="D43" s="95"/>
      <c r="E43" s="89"/>
      <c r="F43" s="89"/>
      <c r="G43" s="92"/>
      <c r="H43" s="89"/>
      <c r="I43" s="93"/>
      <c r="J43" s="91">
        <f t="shared" si="0"/>
        <v>0</v>
      </c>
    </row>
    <row r="44" spans="1:13" ht="18.75" thickBot="1" x14ac:dyDescent="0.35">
      <c r="A44" s="78"/>
      <c r="B44" s="79"/>
      <c r="C44" s="79"/>
      <c r="D44" s="96"/>
      <c r="E44" s="97"/>
      <c r="F44" s="97"/>
      <c r="G44" s="98"/>
      <c r="H44" s="97"/>
      <c r="I44" s="99"/>
      <c r="J44" s="100">
        <f t="shared" si="0"/>
        <v>0</v>
      </c>
      <c r="M44" s="105"/>
    </row>
    <row r="45" spans="1:13" ht="21" thickBot="1" x14ac:dyDescent="0.35">
      <c r="A45" s="78"/>
      <c r="B45" s="79"/>
      <c r="C45" s="79"/>
      <c r="D45" s="933" t="s">
        <v>10</v>
      </c>
      <c r="E45" s="934"/>
      <c r="F45" s="934"/>
      <c r="G45" s="934"/>
      <c r="H45" s="934"/>
      <c r="I45" s="935"/>
      <c r="J45" s="102">
        <f>ROUND(SUM(J8:J44),2)</f>
        <v>4.2</v>
      </c>
    </row>
    <row r="46" spans="1:13" ht="21" thickBot="1" x14ac:dyDescent="0.35">
      <c r="A46" s="78"/>
      <c r="B46" s="79"/>
      <c r="C46" s="79"/>
      <c r="D46" s="933" t="s">
        <v>1127</v>
      </c>
      <c r="E46" s="934"/>
      <c r="F46" s="934"/>
      <c r="G46" s="934"/>
      <c r="H46" s="934"/>
      <c r="I46" s="935"/>
      <c r="J46" s="103"/>
    </row>
    <row r="47" spans="1:13" ht="21" thickBot="1" x14ac:dyDescent="0.35">
      <c r="A47" s="78"/>
      <c r="B47" s="79"/>
      <c r="C47" s="101"/>
      <c r="D47" s="933" t="s">
        <v>1128</v>
      </c>
      <c r="E47" s="934"/>
      <c r="F47" s="934"/>
      <c r="G47" s="934"/>
      <c r="H47" s="934"/>
      <c r="I47" s="935"/>
      <c r="J47" s="104">
        <f>+J45-J46</f>
        <v>4.2</v>
      </c>
    </row>
    <row r="48" spans="1:13" ht="21" thickBot="1" x14ac:dyDescent="0.35">
      <c r="A48" s="936" t="s">
        <v>1129</v>
      </c>
      <c r="B48" s="937"/>
      <c r="C48" s="938"/>
      <c r="D48" s="939" t="s">
        <v>1130</v>
      </c>
      <c r="E48" s="940"/>
      <c r="F48" s="940"/>
      <c r="G48" s="940"/>
      <c r="H48" s="940"/>
      <c r="I48" s="940"/>
      <c r="J48" s="941"/>
    </row>
    <row r="49" spans="1:10" ht="38.25" customHeight="1" thickBot="1" x14ac:dyDescent="0.35">
      <c r="A49" s="942" t="str">
        <f>PPTO!G3</f>
        <v>JUNIO DE 2026</v>
      </c>
      <c r="B49" s="943"/>
      <c r="C49" s="944"/>
      <c r="D49" s="921"/>
      <c r="E49" s="922"/>
      <c r="F49" s="922"/>
      <c r="G49" s="922"/>
      <c r="H49" s="922"/>
      <c r="I49" s="922"/>
      <c r="J49" s="923"/>
    </row>
    <row r="50" spans="1:10" ht="19.5" thickBot="1" x14ac:dyDescent="0.35">
      <c r="A50" s="918"/>
      <c r="B50" s="919"/>
      <c r="C50" s="920"/>
      <c r="D50" s="921" t="s">
        <v>1131</v>
      </c>
      <c r="E50" s="922"/>
      <c r="F50" s="922"/>
      <c r="G50" s="922"/>
      <c r="H50" s="922"/>
      <c r="I50" s="922"/>
      <c r="J50" s="923"/>
    </row>
  </sheetData>
  <mergeCells count="19">
    <mergeCell ref="A2:J2"/>
    <mergeCell ref="A3:J3"/>
    <mergeCell ref="A4:J4"/>
    <mergeCell ref="C5:D5"/>
    <mergeCell ref="G5:H5"/>
    <mergeCell ref="I5:J5"/>
    <mergeCell ref="A50:C50"/>
    <mergeCell ref="D50:J50"/>
    <mergeCell ref="D6:D7"/>
    <mergeCell ref="E6:G6"/>
    <mergeCell ref="I6:I7"/>
    <mergeCell ref="J6:J7"/>
    <mergeCell ref="D45:I45"/>
    <mergeCell ref="D46:I46"/>
    <mergeCell ref="D47:I47"/>
    <mergeCell ref="A48:C48"/>
    <mergeCell ref="D48:J48"/>
    <mergeCell ref="A49:C49"/>
    <mergeCell ref="D49:J49"/>
  </mergeCells>
  <conditionalFormatting sqref="J8:J44">
    <cfRule type="cellIs" dxfId="13" priority="1" operator="equal">
      <formula>0</formula>
    </cfRule>
  </conditionalFormatting>
  <pageMargins left="0.7" right="0.7" top="0.75" bottom="0.75" header="0.3" footer="0.3"/>
  <pageSetup scale="51" orientation="landscape" r:id="rId1"/>
  <drawing r:id="rId2"/>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AAEA1F-87B4-4D50-A796-1176DA44A10D}">
  <sheetPr>
    <tabColor rgb="FFD4ECBA"/>
    <pageSetUpPr fitToPage="1"/>
  </sheetPr>
  <dimension ref="A1:M50"/>
  <sheetViews>
    <sheetView showOutlineSymbols="0" view="pageBreakPreview" zoomScale="60" zoomScaleNormal="70" workbookViewId="0">
      <selection activeCell="E15" sqref="E15"/>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29.6" customHeight="1" thickBot="1" x14ac:dyDescent="0.35">
      <c r="A5" s="72" t="s">
        <v>5</v>
      </c>
      <c r="B5" s="73">
        <v>9.1</v>
      </c>
      <c r="C5" s="913" t="str">
        <f>+VLOOKUP(B5,PPTO!B8:G94,2,FALSE)</f>
        <v>Cocina tipo industrial. Incluye: Mesones en  Acero inoxidable, campana con ducto, abastos, estufa</v>
      </c>
      <c r="D5" s="914"/>
      <c r="E5" s="72" t="s">
        <v>7</v>
      </c>
      <c r="F5" s="74" t="str">
        <f>+VLOOKUP(B5,PPTO!B8:G94,3,FALSE)</f>
        <v>UN</v>
      </c>
      <c r="G5" s="915" t="s">
        <v>1120</v>
      </c>
      <c r="H5" s="915"/>
      <c r="I5" s="916">
        <f>+VLOOKUP(B5,PPTO!B8:G94,5,FALSE)</f>
        <v>20551821.486633159</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8" x14ac:dyDescent="0.3">
      <c r="A8" s="78"/>
      <c r="B8" s="79"/>
      <c r="C8" s="79"/>
      <c r="D8" s="88" t="s">
        <v>1189</v>
      </c>
      <c r="E8" s="89"/>
      <c r="F8" s="89"/>
      <c r="G8" s="89"/>
      <c r="H8" s="89"/>
      <c r="I8" s="90">
        <v>1</v>
      </c>
      <c r="J8" s="91">
        <f>+I8</f>
        <v>1</v>
      </c>
    </row>
    <row r="9" spans="1:10" ht="18" x14ac:dyDescent="0.3">
      <c r="A9" s="78"/>
      <c r="B9" s="79"/>
      <c r="C9" s="79"/>
      <c r="D9" s="94"/>
      <c r="E9" s="89"/>
      <c r="F9" s="89"/>
      <c r="G9" s="89"/>
      <c r="H9" s="89"/>
      <c r="I9" s="93"/>
      <c r="J9" s="91">
        <f t="shared" ref="J9:J44" si="0">+PRODUCT(E9:I9)</f>
        <v>0</v>
      </c>
    </row>
    <row r="10" spans="1:10" ht="18" x14ac:dyDescent="0.3">
      <c r="A10" s="78"/>
      <c r="B10" s="79"/>
      <c r="C10" s="79"/>
      <c r="D10" s="94"/>
      <c r="E10" s="89"/>
      <c r="F10" s="89"/>
      <c r="G10" s="89"/>
      <c r="H10" s="89"/>
      <c r="I10" s="93"/>
      <c r="J10" s="91">
        <f t="shared" si="0"/>
        <v>0</v>
      </c>
    </row>
    <row r="11" spans="1:10" ht="18" x14ac:dyDescent="0.3">
      <c r="A11" s="78"/>
      <c r="B11" s="79"/>
      <c r="C11" s="79"/>
      <c r="D11" s="94"/>
      <c r="E11" s="89"/>
      <c r="F11" s="89"/>
      <c r="G11" s="89"/>
      <c r="H11" s="89"/>
      <c r="I11" s="93"/>
      <c r="J11" s="91">
        <f t="shared" si="0"/>
        <v>0</v>
      </c>
    </row>
    <row r="12" spans="1:10" ht="18" x14ac:dyDescent="0.3">
      <c r="A12" s="78"/>
      <c r="B12" s="79"/>
      <c r="C12" s="79"/>
      <c r="D12" s="94"/>
      <c r="E12" s="89"/>
      <c r="F12" s="89"/>
      <c r="G12" s="89"/>
      <c r="H12" s="89"/>
      <c r="I12" s="93"/>
      <c r="J12" s="91">
        <f t="shared" si="0"/>
        <v>0</v>
      </c>
    </row>
    <row r="13" spans="1:10" ht="18" x14ac:dyDescent="0.3">
      <c r="A13" s="78"/>
      <c r="B13" s="79"/>
      <c r="C13" s="79"/>
      <c r="D13" s="94"/>
      <c r="E13" s="89"/>
      <c r="F13" s="89"/>
      <c r="G13" s="89"/>
      <c r="H13" s="89"/>
      <c r="I13" s="93"/>
      <c r="J13" s="91">
        <f t="shared" si="0"/>
        <v>0</v>
      </c>
    </row>
    <row r="14" spans="1:10" ht="18" x14ac:dyDescent="0.3">
      <c r="A14" s="78"/>
      <c r="B14" s="79"/>
      <c r="C14" s="79"/>
      <c r="D14" s="94"/>
      <c r="E14" s="89"/>
      <c r="F14" s="89"/>
      <c r="G14" s="89"/>
      <c r="H14" s="89"/>
      <c r="I14" s="93"/>
      <c r="J14" s="91">
        <f t="shared" si="0"/>
        <v>0</v>
      </c>
    </row>
    <row r="15" spans="1:10" ht="18" x14ac:dyDescent="0.3">
      <c r="A15" s="78"/>
      <c r="B15" s="79"/>
      <c r="C15" s="79"/>
      <c r="D15" s="94"/>
      <c r="E15" s="89"/>
      <c r="F15" s="89"/>
      <c r="G15" s="89"/>
      <c r="H15" s="89"/>
      <c r="I15" s="93"/>
      <c r="J15" s="91">
        <f t="shared" si="0"/>
        <v>0</v>
      </c>
    </row>
    <row r="16" spans="1:10" ht="18" x14ac:dyDescent="0.3">
      <c r="A16" s="78"/>
      <c r="B16" s="79"/>
      <c r="C16" s="79"/>
      <c r="D16" s="94"/>
      <c r="E16" s="89"/>
      <c r="F16" s="89"/>
      <c r="G16" s="89"/>
      <c r="H16" s="89"/>
      <c r="I16" s="93"/>
      <c r="J16" s="91">
        <f t="shared" si="0"/>
        <v>0</v>
      </c>
    </row>
    <row r="17" spans="1:10" ht="18" x14ac:dyDescent="0.3">
      <c r="A17" s="78"/>
      <c r="B17" s="79"/>
      <c r="C17" s="79"/>
      <c r="D17" s="88"/>
      <c r="E17" s="89"/>
      <c r="F17" s="89"/>
      <c r="G17" s="89"/>
      <c r="H17" s="89"/>
      <c r="I17" s="93"/>
      <c r="J17" s="91">
        <f t="shared" si="0"/>
        <v>0</v>
      </c>
    </row>
    <row r="18" spans="1:10" ht="18" x14ac:dyDescent="0.3">
      <c r="A18" s="78"/>
      <c r="B18" s="79"/>
      <c r="C18" s="79"/>
      <c r="D18" s="88"/>
      <c r="E18" s="89"/>
      <c r="F18" s="89"/>
      <c r="G18" s="89"/>
      <c r="H18" s="89"/>
      <c r="I18" s="93"/>
      <c r="J18" s="91">
        <f t="shared" si="0"/>
        <v>0</v>
      </c>
    </row>
    <row r="19" spans="1:10" ht="18" x14ac:dyDescent="0.3">
      <c r="A19" s="78"/>
      <c r="B19" s="79"/>
      <c r="C19" s="79"/>
      <c r="D19" s="94"/>
      <c r="E19" s="89"/>
      <c r="F19" s="89"/>
      <c r="G19" s="89"/>
      <c r="H19" s="89"/>
      <c r="I19" s="93"/>
      <c r="J19" s="91">
        <f t="shared" si="0"/>
        <v>0</v>
      </c>
    </row>
    <row r="20" spans="1:10" ht="18" x14ac:dyDescent="0.3">
      <c r="A20" s="78"/>
      <c r="B20" s="79"/>
      <c r="C20" s="79"/>
      <c r="D20" s="94"/>
      <c r="E20" s="89"/>
      <c r="F20" s="89"/>
      <c r="G20" s="89"/>
      <c r="H20" s="89"/>
      <c r="I20" s="93"/>
      <c r="J20" s="91">
        <f t="shared" si="0"/>
        <v>0</v>
      </c>
    </row>
    <row r="21" spans="1:10" ht="18" x14ac:dyDescent="0.3">
      <c r="A21" s="78"/>
      <c r="B21" s="79"/>
      <c r="C21" s="79"/>
      <c r="D21" s="94"/>
      <c r="E21" s="89">
        <v>0</v>
      </c>
      <c r="F21" s="89"/>
      <c r="G21" s="89"/>
      <c r="H21" s="89"/>
      <c r="I21" s="93"/>
      <c r="J21" s="91">
        <f t="shared" si="0"/>
        <v>0</v>
      </c>
    </row>
    <row r="22" spans="1:10" ht="18" x14ac:dyDescent="0.3">
      <c r="A22" s="78"/>
      <c r="B22" s="79"/>
      <c r="C22" s="79"/>
      <c r="D22" s="94"/>
      <c r="E22" s="89">
        <v>0</v>
      </c>
      <c r="F22" s="89"/>
      <c r="G22" s="89"/>
      <c r="H22" s="89"/>
      <c r="I22" s="93"/>
      <c r="J22" s="91">
        <f t="shared" si="0"/>
        <v>0</v>
      </c>
    </row>
    <row r="23" spans="1:10" ht="18" x14ac:dyDescent="0.3">
      <c r="A23" s="78"/>
      <c r="B23" s="79"/>
      <c r="C23" s="79"/>
      <c r="D23" s="94"/>
      <c r="E23" s="89">
        <v>0</v>
      </c>
      <c r="F23" s="89"/>
      <c r="G23" s="89"/>
      <c r="H23" s="89"/>
      <c r="I23" s="93"/>
      <c r="J23" s="91">
        <f t="shared" si="0"/>
        <v>0</v>
      </c>
    </row>
    <row r="24" spans="1:10" ht="18" x14ac:dyDescent="0.3">
      <c r="A24" s="78"/>
      <c r="B24" s="79"/>
      <c r="C24" s="79"/>
      <c r="D24" s="94"/>
      <c r="E24" s="89">
        <v>0</v>
      </c>
      <c r="F24" s="89"/>
      <c r="G24" s="89"/>
      <c r="H24" s="89"/>
      <c r="I24" s="93"/>
      <c r="J24" s="91">
        <f t="shared" si="0"/>
        <v>0</v>
      </c>
    </row>
    <row r="25" spans="1:10" ht="18" x14ac:dyDescent="0.3">
      <c r="A25" s="78"/>
      <c r="B25" s="79"/>
      <c r="C25" s="79"/>
      <c r="D25" s="94"/>
      <c r="E25" s="89">
        <v>0</v>
      </c>
      <c r="F25" s="89"/>
      <c r="G25" s="89"/>
      <c r="H25" s="89"/>
      <c r="I25" s="93"/>
      <c r="J25" s="91">
        <f t="shared" si="0"/>
        <v>0</v>
      </c>
    </row>
    <row r="26" spans="1:10" ht="18" x14ac:dyDescent="0.3">
      <c r="A26" s="78"/>
      <c r="B26" s="79"/>
      <c r="C26" s="79"/>
      <c r="D26" s="94"/>
      <c r="E26" s="89">
        <v>0</v>
      </c>
      <c r="F26" s="89"/>
      <c r="G26" s="89"/>
      <c r="H26" s="89"/>
      <c r="I26" s="93"/>
      <c r="J26" s="91">
        <f t="shared" si="0"/>
        <v>0</v>
      </c>
    </row>
    <row r="27" spans="1:10" ht="18" x14ac:dyDescent="0.3">
      <c r="A27" s="78"/>
      <c r="B27" s="79"/>
      <c r="C27" s="79"/>
      <c r="D27" s="94"/>
      <c r="E27" s="89">
        <v>0</v>
      </c>
      <c r="F27" s="89"/>
      <c r="G27" s="89"/>
      <c r="H27" s="89"/>
      <c r="I27" s="93"/>
      <c r="J27" s="91">
        <f t="shared" si="0"/>
        <v>0</v>
      </c>
    </row>
    <row r="28" spans="1:10" ht="18" x14ac:dyDescent="0.3">
      <c r="A28" s="78"/>
      <c r="B28" s="79"/>
      <c r="C28" s="79"/>
      <c r="D28" s="94"/>
      <c r="E28" s="89">
        <v>0</v>
      </c>
      <c r="F28" s="89"/>
      <c r="G28" s="89"/>
      <c r="H28" s="89"/>
      <c r="I28" s="93"/>
      <c r="J28" s="91">
        <f t="shared" si="0"/>
        <v>0</v>
      </c>
    </row>
    <row r="29" spans="1:10" ht="18" x14ac:dyDescent="0.3">
      <c r="A29" s="78"/>
      <c r="B29" s="79"/>
      <c r="C29" s="79"/>
      <c r="D29" s="94"/>
      <c r="E29" s="89">
        <v>0</v>
      </c>
      <c r="F29" s="89"/>
      <c r="G29" s="89"/>
      <c r="H29" s="89"/>
      <c r="I29" s="93"/>
      <c r="J29" s="91">
        <f t="shared" si="0"/>
        <v>0</v>
      </c>
    </row>
    <row r="30" spans="1:10" ht="18" x14ac:dyDescent="0.3">
      <c r="A30" s="78"/>
      <c r="B30" s="79"/>
      <c r="C30" s="79"/>
      <c r="D30" s="94"/>
      <c r="E30" s="89">
        <v>0</v>
      </c>
      <c r="F30" s="89"/>
      <c r="G30" s="89"/>
      <c r="H30" s="89"/>
      <c r="I30" s="93"/>
      <c r="J30" s="91">
        <f t="shared" si="0"/>
        <v>0</v>
      </c>
    </row>
    <row r="31" spans="1:10" ht="18" x14ac:dyDescent="0.3">
      <c r="A31" s="78"/>
      <c r="B31" s="79"/>
      <c r="C31" s="79"/>
      <c r="D31" s="94"/>
      <c r="E31" s="89">
        <v>0</v>
      </c>
      <c r="F31" s="89"/>
      <c r="G31" s="89"/>
      <c r="H31" s="89"/>
      <c r="I31" s="93"/>
      <c r="J31" s="91">
        <f t="shared" si="0"/>
        <v>0</v>
      </c>
    </row>
    <row r="32" spans="1:10" ht="18" x14ac:dyDescent="0.3">
      <c r="A32" s="78"/>
      <c r="B32" s="79"/>
      <c r="C32" s="79"/>
      <c r="D32" s="94"/>
      <c r="E32" s="89">
        <v>0</v>
      </c>
      <c r="F32" s="89"/>
      <c r="G32" s="89"/>
      <c r="H32" s="89"/>
      <c r="I32" s="93"/>
      <c r="J32" s="91">
        <f t="shared" si="0"/>
        <v>0</v>
      </c>
    </row>
    <row r="33" spans="1:13" ht="18" x14ac:dyDescent="0.3">
      <c r="A33" s="78"/>
      <c r="B33" s="79"/>
      <c r="C33" s="79"/>
      <c r="D33" s="94"/>
      <c r="E33" s="89">
        <v>0</v>
      </c>
      <c r="F33" s="89"/>
      <c r="G33" s="89"/>
      <c r="H33" s="89"/>
      <c r="I33" s="93"/>
      <c r="J33" s="91">
        <f t="shared" si="0"/>
        <v>0</v>
      </c>
    </row>
    <row r="34" spans="1:13" ht="18" x14ac:dyDescent="0.3">
      <c r="A34" s="78"/>
      <c r="B34" s="79"/>
      <c r="C34" s="79"/>
      <c r="D34" s="94"/>
      <c r="E34" s="89">
        <v>0</v>
      </c>
      <c r="F34" s="89"/>
      <c r="G34" s="89"/>
      <c r="H34" s="89"/>
      <c r="I34" s="93"/>
      <c r="J34" s="91">
        <f t="shared" si="0"/>
        <v>0</v>
      </c>
    </row>
    <row r="35" spans="1:13" ht="18" x14ac:dyDescent="0.3">
      <c r="A35" s="78"/>
      <c r="B35" s="79"/>
      <c r="C35" s="79"/>
      <c r="D35" s="94"/>
      <c r="E35" s="89">
        <v>0</v>
      </c>
      <c r="F35" s="89"/>
      <c r="G35" s="89"/>
      <c r="H35" s="89"/>
      <c r="I35" s="93"/>
      <c r="J35" s="91">
        <f t="shared" si="0"/>
        <v>0</v>
      </c>
    </row>
    <row r="36" spans="1:13" ht="18" x14ac:dyDescent="0.3">
      <c r="A36" s="78"/>
      <c r="B36" s="79"/>
      <c r="C36" s="79"/>
      <c r="D36" s="94"/>
      <c r="E36" s="89">
        <v>0</v>
      </c>
      <c r="F36" s="89"/>
      <c r="G36" s="89"/>
      <c r="H36" s="89"/>
      <c r="I36" s="93"/>
      <c r="J36" s="91">
        <f t="shared" si="0"/>
        <v>0</v>
      </c>
    </row>
    <row r="37" spans="1:13" ht="18" x14ac:dyDescent="0.3">
      <c r="A37" s="78"/>
      <c r="B37" s="79"/>
      <c r="C37" s="79"/>
      <c r="D37" s="94"/>
      <c r="E37" s="89">
        <v>0</v>
      </c>
      <c r="F37" s="89"/>
      <c r="G37" s="89"/>
      <c r="H37" s="89"/>
      <c r="I37" s="93"/>
      <c r="J37" s="91">
        <f t="shared" si="0"/>
        <v>0</v>
      </c>
    </row>
    <row r="38" spans="1:13" ht="18" x14ac:dyDescent="0.3">
      <c r="A38" s="78"/>
      <c r="B38" s="79"/>
      <c r="C38" s="79"/>
      <c r="D38" s="94"/>
      <c r="E38" s="89"/>
      <c r="F38" s="89"/>
      <c r="G38" s="92"/>
      <c r="H38" s="89"/>
      <c r="I38" s="93"/>
      <c r="J38" s="91"/>
    </row>
    <row r="39" spans="1:13" ht="18" x14ac:dyDescent="0.3">
      <c r="A39" s="78"/>
      <c r="B39" s="79"/>
      <c r="C39" s="79"/>
      <c r="D39" s="94"/>
      <c r="E39" s="89"/>
      <c r="F39" s="89"/>
      <c r="G39" s="92"/>
      <c r="H39" s="89"/>
      <c r="I39" s="93"/>
      <c r="J39" s="91"/>
    </row>
    <row r="40" spans="1:13" ht="18" x14ac:dyDescent="0.3">
      <c r="A40" s="78"/>
      <c r="B40" s="79"/>
      <c r="C40" s="79"/>
      <c r="D40" s="94"/>
      <c r="E40" s="89"/>
      <c r="F40" s="89"/>
      <c r="G40" s="92"/>
      <c r="H40" s="89"/>
      <c r="I40" s="93"/>
      <c r="J40" s="91"/>
    </row>
    <row r="41" spans="1:13" ht="18" x14ac:dyDescent="0.3">
      <c r="A41" s="78"/>
      <c r="B41" s="79"/>
      <c r="C41" s="79"/>
      <c r="D41" s="94"/>
      <c r="E41" s="89"/>
      <c r="F41" s="89"/>
      <c r="G41" s="92"/>
      <c r="H41" s="89"/>
      <c r="I41" s="93"/>
      <c r="J41" s="91"/>
    </row>
    <row r="42" spans="1:13" ht="18" x14ac:dyDescent="0.3">
      <c r="A42" s="78"/>
      <c r="B42" s="79"/>
      <c r="C42" s="79"/>
      <c r="D42" s="94"/>
      <c r="E42" s="89"/>
      <c r="F42" s="89"/>
      <c r="G42" s="92"/>
      <c r="H42" s="89"/>
      <c r="I42" s="93"/>
      <c r="J42" s="91"/>
    </row>
    <row r="43" spans="1:13" ht="18" x14ac:dyDescent="0.3">
      <c r="A43" s="78"/>
      <c r="B43" s="79"/>
      <c r="C43" s="79"/>
      <c r="D43" s="95"/>
      <c r="E43" s="89"/>
      <c r="F43" s="89"/>
      <c r="G43" s="92"/>
      <c r="H43" s="89"/>
      <c r="I43" s="93"/>
      <c r="J43" s="91">
        <f t="shared" si="0"/>
        <v>0</v>
      </c>
    </row>
    <row r="44" spans="1:13" ht="18.75" thickBot="1" x14ac:dyDescent="0.35">
      <c r="A44" s="78"/>
      <c r="B44" s="79"/>
      <c r="C44" s="79"/>
      <c r="D44" s="96"/>
      <c r="E44" s="97"/>
      <c r="F44" s="97"/>
      <c r="G44" s="98"/>
      <c r="H44" s="97"/>
      <c r="I44" s="99"/>
      <c r="J44" s="100">
        <f t="shared" si="0"/>
        <v>0</v>
      </c>
      <c r="M44" s="105"/>
    </row>
    <row r="45" spans="1:13" ht="21" thickBot="1" x14ac:dyDescent="0.35">
      <c r="A45" s="78"/>
      <c r="B45" s="79"/>
      <c r="C45" s="79"/>
      <c r="D45" s="933" t="s">
        <v>10</v>
      </c>
      <c r="E45" s="934"/>
      <c r="F45" s="934"/>
      <c r="G45" s="934"/>
      <c r="H45" s="934"/>
      <c r="I45" s="935"/>
      <c r="J45" s="102">
        <f>ROUND(SUM(J8:J44),2)</f>
        <v>1</v>
      </c>
    </row>
    <row r="46" spans="1:13" ht="21" thickBot="1" x14ac:dyDescent="0.35">
      <c r="A46" s="78"/>
      <c r="B46" s="79"/>
      <c r="C46" s="79"/>
      <c r="D46" s="933" t="s">
        <v>1127</v>
      </c>
      <c r="E46" s="934"/>
      <c r="F46" s="934"/>
      <c r="G46" s="934"/>
      <c r="H46" s="934"/>
      <c r="I46" s="935"/>
      <c r="J46" s="103"/>
    </row>
    <row r="47" spans="1:13" ht="21" thickBot="1" x14ac:dyDescent="0.35">
      <c r="A47" s="78"/>
      <c r="B47" s="79"/>
      <c r="C47" s="101"/>
      <c r="D47" s="933" t="s">
        <v>1128</v>
      </c>
      <c r="E47" s="934"/>
      <c r="F47" s="934"/>
      <c r="G47" s="934"/>
      <c r="H47" s="934"/>
      <c r="I47" s="935"/>
      <c r="J47" s="104">
        <f>+J45-J46</f>
        <v>1</v>
      </c>
    </row>
    <row r="48" spans="1:13" ht="21" thickBot="1" x14ac:dyDescent="0.35">
      <c r="A48" s="936" t="s">
        <v>1129</v>
      </c>
      <c r="B48" s="937"/>
      <c r="C48" s="938"/>
      <c r="D48" s="939" t="s">
        <v>1130</v>
      </c>
      <c r="E48" s="940"/>
      <c r="F48" s="940"/>
      <c r="G48" s="940"/>
      <c r="H48" s="940"/>
      <c r="I48" s="940"/>
      <c r="J48" s="941"/>
    </row>
    <row r="49" spans="1:10" ht="38.25" customHeight="1" thickBot="1" x14ac:dyDescent="0.35">
      <c r="A49" s="942" t="str">
        <f>PPTO!G3</f>
        <v>JUNIO DE 2026</v>
      </c>
      <c r="B49" s="943"/>
      <c r="C49" s="944"/>
      <c r="D49" s="921"/>
      <c r="E49" s="922"/>
      <c r="F49" s="922"/>
      <c r="G49" s="922"/>
      <c r="H49" s="922"/>
      <c r="I49" s="922"/>
      <c r="J49" s="923"/>
    </row>
    <row r="50" spans="1:10" ht="19.5" thickBot="1" x14ac:dyDescent="0.35">
      <c r="A50" s="918"/>
      <c r="B50" s="919"/>
      <c r="C50" s="920"/>
      <c r="D50" s="921" t="s">
        <v>1131</v>
      </c>
      <c r="E50" s="922"/>
      <c r="F50" s="922"/>
      <c r="G50" s="922"/>
      <c r="H50" s="922"/>
      <c r="I50" s="922"/>
      <c r="J50" s="923"/>
    </row>
  </sheetData>
  <mergeCells count="19">
    <mergeCell ref="A2:J2"/>
    <mergeCell ref="A3:J3"/>
    <mergeCell ref="A4:J4"/>
    <mergeCell ref="C5:D5"/>
    <mergeCell ref="G5:H5"/>
    <mergeCell ref="I5:J5"/>
    <mergeCell ref="A50:C50"/>
    <mergeCell ref="D50:J50"/>
    <mergeCell ref="D6:D7"/>
    <mergeCell ref="E6:G6"/>
    <mergeCell ref="I6:I7"/>
    <mergeCell ref="J6:J7"/>
    <mergeCell ref="D45:I45"/>
    <mergeCell ref="D46:I46"/>
    <mergeCell ref="D47:I47"/>
    <mergeCell ref="A48:C48"/>
    <mergeCell ref="D48:J48"/>
    <mergeCell ref="A49:C49"/>
    <mergeCell ref="D49:J49"/>
  </mergeCells>
  <conditionalFormatting sqref="J8:J44">
    <cfRule type="cellIs" dxfId="12" priority="1" operator="equal">
      <formula>0</formula>
    </cfRule>
  </conditionalFormatting>
  <pageMargins left="0.7" right="0.7" top="0.75" bottom="0.75" header="0.3" footer="0.3"/>
  <pageSetup scale="51" orientation="landscape" r:id="rId1"/>
  <drawing r:id="rId2"/>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06C897-28B2-4790-8F7F-65C3A7D4860E}">
  <sheetPr>
    <tabColor rgb="FF92D050"/>
    <pageSetUpPr fitToPage="1"/>
  </sheetPr>
  <dimension ref="A1:M52"/>
  <sheetViews>
    <sheetView showOutlineSymbols="0" view="pageBreakPreview" topLeftCell="A26" zoomScale="60" zoomScaleNormal="70" workbookViewId="0">
      <selection activeCell="M47" sqref="M47"/>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29.6" customHeight="1" thickBot="1" x14ac:dyDescent="0.35">
      <c r="A5" s="72" t="s">
        <v>5</v>
      </c>
      <c r="B5" s="73">
        <v>10.1</v>
      </c>
      <c r="C5" s="913" t="str">
        <f>+VLOOKUP(B5,PPTO!B8:G94,2,FALSE)</f>
        <v>Suministro e instalación de Sanitarios, incluye: accesorios PVC, Sanitario Manantial blanco según detalle del proyecto, grifería y todo lo necesario para su correcta instalación</v>
      </c>
      <c r="D5" s="914"/>
      <c r="E5" s="72" t="s">
        <v>7</v>
      </c>
      <c r="F5" s="74" t="str">
        <f>+VLOOKUP(B5,PPTO!B8:G94,3,FALSE)</f>
        <v>UN</v>
      </c>
      <c r="G5" s="915" t="s">
        <v>1120</v>
      </c>
      <c r="H5" s="915"/>
      <c r="I5" s="916">
        <f>+VLOOKUP(B5,PPTO!B8:G94,5,FALSE)</f>
        <v>575398.51893065264</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8" x14ac:dyDescent="0.3">
      <c r="A8" s="78"/>
      <c r="B8" s="79"/>
      <c r="C8" s="79"/>
      <c r="D8" s="88" t="s">
        <v>1242</v>
      </c>
      <c r="E8" s="89"/>
      <c r="F8" s="89"/>
      <c r="G8" s="89"/>
      <c r="H8" s="89"/>
      <c r="I8" s="90">
        <v>1</v>
      </c>
      <c r="J8" s="91">
        <f t="shared" ref="J8:J46" si="0">+PRODUCT(E8:I8)</f>
        <v>1</v>
      </c>
    </row>
    <row r="9" spans="1:10" ht="18" x14ac:dyDescent="0.3">
      <c r="A9" s="78"/>
      <c r="B9" s="79"/>
      <c r="C9" s="79"/>
      <c r="D9" s="94" t="s">
        <v>1243</v>
      </c>
      <c r="E9" s="89"/>
      <c r="F9" s="89"/>
      <c r="G9" s="89"/>
      <c r="H9" s="89"/>
      <c r="I9" s="93">
        <v>3</v>
      </c>
      <c r="J9" s="91">
        <f t="shared" si="0"/>
        <v>3</v>
      </c>
    </row>
    <row r="10" spans="1:10" ht="18" x14ac:dyDescent="0.3">
      <c r="A10" s="78"/>
      <c r="B10" s="79"/>
      <c r="C10" s="79"/>
      <c r="D10" s="94" t="s">
        <v>1244</v>
      </c>
      <c r="E10" s="89"/>
      <c r="F10" s="89"/>
      <c r="G10" s="89"/>
      <c r="H10" s="89"/>
      <c r="I10" s="93">
        <v>4</v>
      </c>
      <c r="J10" s="91">
        <f t="shared" si="0"/>
        <v>4</v>
      </c>
    </row>
    <row r="11" spans="1:10" ht="18" x14ac:dyDescent="0.3">
      <c r="A11" s="78"/>
      <c r="B11" s="79"/>
      <c r="C11" s="79"/>
      <c r="D11" s="94"/>
      <c r="E11" s="89"/>
      <c r="F11" s="89"/>
      <c r="G11" s="89"/>
      <c r="H11" s="89"/>
      <c r="I11" s="93"/>
      <c r="J11" s="91">
        <f t="shared" si="0"/>
        <v>0</v>
      </c>
    </row>
    <row r="12" spans="1:10" ht="18" x14ac:dyDescent="0.3">
      <c r="A12" s="78"/>
      <c r="B12" s="79"/>
      <c r="C12" s="79"/>
      <c r="D12" s="94"/>
      <c r="E12" s="89"/>
      <c r="F12" s="89"/>
      <c r="G12" s="89"/>
      <c r="H12" s="89"/>
      <c r="I12" s="93"/>
      <c r="J12" s="91">
        <f t="shared" si="0"/>
        <v>0</v>
      </c>
    </row>
    <row r="13" spans="1:10" ht="18" x14ac:dyDescent="0.3">
      <c r="A13" s="78"/>
      <c r="B13" s="79"/>
      <c r="C13" s="79"/>
      <c r="D13" s="94"/>
      <c r="E13" s="89"/>
      <c r="F13" s="89"/>
      <c r="G13" s="89"/>
      <c r="H13" s="89"/>
      <c r="I13" s="93"/>
      <c r="J13" s="91">
        <f t="shared" si="0"/>
        <v>0</v>
      </c>
    </row>
    <row r="14" spans="1:10" ht="18" x14ac:dyDescent="0.3">
      <c r="A14" s="78"/>
      <c r="B14" s="79"/>
      <c r="C14" s="79"/>
      <c r="D14" s="94"/>
      <c r="E14" s="89"/>
      <c r="F14" s="89"/>
      <c r="G14" s="89"/>
      <c r="H14" s="89"/>
      <c r="I14" s="93"/>
      <c r="J14" s="91">
        <f t="shared" si="0"/>
        <v>0</v>
      </c>
    </row>
    <row r="15" spans="1:10" ht="18" x14ac:dyDescent="0.3">
      <c r="A15" s="78"/>
      <c r="B15" s="79"/>
      <c r="C15" s="79"/>
      <c r="D15" s="94"/>
      <c r="E15" s="89"/>
      <c r="F15" s="89"/>
      <c r="G15" s="89"/>
      <c r="H15" s="89"/>
      <c r="I15" s="93"/>
      <c r="J15" s="91">
        <f t="shared" si="0"/>
        <v>0</v>
      </c>
    </row>
    <row r="16" spans="1:10" ht="18" x14ac:dyDescent="0.3">
      <c r="A16" s="78"/>
      <c r="B16" s="79"/>
      <c r="C16" s="79"/>
      <c r="D16" s="94"/>
      <c r="E16" s="89"/>
      <c r="F16" s="89"/>
      <c r="G16" s="89"/>
      <c r="H16" s="89"/>
      <c r="I16" s="93"/>
      <c r="J16" s="91">
        <f t="shared" si="0"/>
        <v>0</v>
      </c>
    </row>
    <row r="17" spans="1:10" ht="18" x14ac:dyDescent="0.3">
      <c r="A17" s="78"/>
      <c r="B17" s="79"/>
      <c r="C17" s="79"/>
      <c r="D17" s="94"/>
      <c r="E17" s="89"/>
      <c r="F17" s="89"/>
      <c r="G17" s="89"/>
      <c r="H17" s="89"/>
      <c r="I17" s="93"/>
      <c r="J17" s="91">
        <f t="shared" si="0"/>
        <v>0</v>
      </c>
    </row>
    <row r="18" spans="1:10" ht="18" x14ac:dyDescent="0.3">
      <c r="A18" s="78"/>
      <c r="B18" s="79"/>
      <c r="C18" s="79"/>
      <c r="D18" s="94"/>
      <c r="E18" s="89"/>
      <c r="F18" s="89"/>
      <c r="G18" s="89"/>
      <c r="H18" s="89"/>
      <c r="I18" s="93"/>
      <c r="J18" s="91">
        <f t="shared" si="0"/>
        <v>0</v>
      </c>
    </row>
    <row r="19" spans="1:10" ht="18" x14ac:dyDescent="0.3">
      <c r="A19" s="78"/>
      <c r="B19" s="79"/>
      <c r="C19" s="79"/>
      <c r="D19" s="95"/>
      <c r="E19" s="89"/>
      <c r="F19" s="89"/>
      <c r="G19" s="89"/>
      <c r="H19" s="89"/>
      <c r="I19" s="93"/>
      <c r="J19" s="91">
        <f t="shared" si="0"/>
        <v>0</v>
      </c>
    </row>
    <row r="20" spans="1:10" ht="18" x14ac:dyDescent="0.3">
      <c r="A20" s="78"/>
      <c r="B20" s="79"/>
      <c r="C20" s="79"/>
      <c r="D20" s="88"/>
      <c r="E20" s="89"/>
      <c r="F20" s="89"/>
      <c r="G20" s="89"/>
      <c r="H20" s="89"/>
      <c r="I20" s="90"/>
      <c r="J20" s="91">
        <f t="shared" si="0"/>
        <v>0</v>
      </c>
    </row>
    <row r="21" spans="1:10" ht="18" x14ac:dyDescent="0.3">
      <c r="A21" s="78"/>
      <c r="B21" s="79"/>
      <c r="C21" s="79"/>
      <c r="D21" s="88"/>
      <c r="E21" s="89"/>
      <c r="F21" s="89"/>
      <c r="G21" s="89"/>
      <c r="H21" s="89"/>
      <c r="I21" s="90"/>
      <c r="J21" s="91">
        <f t="shared" si="0"/>
        <v>0</v>
      </c>
    </row>
    <row r="22" spans="1:10" ht="18" x14ac:dyDescent="0.3">
      <c r="A22" s="78"/>
      <c r="B22" s="79"/>
      <c r="C22" s="79"/>
      <c r="D22" s="88"/>
      <c r="E22" s="89"/>
      <c r="F22" s="89"/>
      <c r="G22" s="89"/>
      <c r="H22" s="89"/>
      <c r="I22" s="90"/>
      <c r="J22" s="91">
        <f t="shared" si="0"/>
        <v>0</v>
      </c>
    </row>
    <row r="23" spans="1:10" ht="18" x14ac:dyDescent="0.3">
      <c r="A23" s="78"/>
      <c r="B23" s="79"/>
      <c r="C23" s="79"/>
      <c r="D23" s="94"/>
      <c r="E23" s="89"/>
      <c r="F23" s="89"/>
      <c r="G23" s="89"/>
      <c r="H23" s="89"/>
      <c r="I23" s="93"/>
      <c r="J23" s="91">
        <f t="shared" si="0"/>
        <v>0</v>
      </c>
    </row>
    <row r="24" spans="1:10" ht="18" x14ac:dyDescent="0.3">
      <c r="A24" s="78"/>
      <c r="B24" s="79"/>
      <c r="C24" s="79"/>
      <c r="D24" s="94"/>
      <c r="E24" s="89"/>
      <c r="F24" s="89"/>
      <c r="G24" s="89"/>
      <c r="H24" s="89"/>
      <c r="I24" s="93"/>
      <c r="J24" s="91">
        <f t="shared" si="0"/>
        <v>0</v>
      </c>
    </row>
    <row r="25" spans="1:10" ht="18" x14ac:dyDescent="0.3">
      <c r="A25" s="78"/>
      <c r="B25" s="79"/>
      <c r="C25" s="79"/>
      <c r="D25" s="94"/>
      <c r="E25" s="89"/>
      <c r="F25" s="89"/>
      <c r="G25" s="89"/>
      <c r="H25" s="89"/>
      <c r="I25" s="93"/>
      <c r="J25" s="91">
        <f t="shared" si="0"/>
        <v>0</v>
      </c>
    </row>
    <row r="26" spans="1:10" ht="18" x14ac:dyDescent="0.3">
      <c r="A26" s="78"/>
      <c r="B26" s="79"/>
      <c r="C26" s="79"/>
      <c r="D26" s="94"/>
      <c r="E26" s="89"/>
      <c r="F26" s="89"/>
      <c r="G26" s="89"/>
      <c r="H26" s="89"/>
      <c r="I26" s="93"/>
      <c r="J26" s="91">
        <f t="shared" si="0"/>
        <v>0</v>
      </c>
    </row>
    <row r="27" spans="1:10" ht="18" x14ac:dyDescent="0.3">
      <c r="A27" s="78"/>
      <c r="B27" s="79"/>
      <c r="C27" s="79"/>
      <c r="D27" s="94"/>
      <c r="E27" s="89"/>
      <c r="F27" s="89"/>
      <c r="G27" s="89"/>
      <c r="H27" s="89"/>
      <c r="I27" s="93"/>
      <c r="J27" s="91">
        <f t="shared" si="0"/>
        <v>0</v>
      </c>
    </row>
    <row r="28" spans="1:10" ht="18" x14ac:dyDescent="0.3">
      <c r="A28" s="78"/>
      <c r="B28" s="79"/>
      <c r="C28" s="79"/>
      <c r="D28" s="94"/>
      <c r="E28" s="89"/>
      <c r="F28" s="89"/>
      <c r="G28" s="89"/>
      <c r="H28" s="89"/>
      <c r="I28" s="93"/>
      <c r="J28" s="91">
        <f t="shared" si="0"/>
        <v>0</v>
      </c>
    </row>
    <row r="29" spans="1:10" ht="18" x14ac:dyDescent="0.3">
      <c r="A29" s="78"/>
      <c r="B29" s="79"/>
      <c r="C29" s="79"/>
      <c r="D29" s="94"/>
      <c r="E29" s="89"/>
      <c r="F29" s="89"/>
      <c r="G29" s="89"/>
      <c r="H29" s="89"/>
      <c r="I29" s="93"/>
      <c r="J29" s="91">
        <f t="shared" si="0"/>
        <v>0</v>
      </c>
    </row>
    <row r="30" spans="1:10" ht="18" x14ac:dyDescent="0.3">
      <c r="A30" s="78"/>
      <c r="B30" s="79"/>
      <c r="C30" s="79"/>
      <c r="D30" s="94"/>
      <c r="E30" s="89"/>
      <c r="F30" s="89"/>
      <c r="G30" s="89"/>
      <c r="H30" s="89"/>
      <c r="I30" s="93"/>
      <c r="J30" s="91">
        <f t="shared" si="0"/>
        <v>0</v>
      </c>
    </row>
    <row r="31" spans="1:10" ht="18" x14ac:dyDescent="0.3">
      <c r="A31" s="78"/>
      <c r="B31" s="79"/>
      <c r="C31" s="79"/>
      <c r="D31" s="94"/>
      <c r="E31" s="89"/>
      <c r="F31" s="89"/>
      <c r="G31" s="89"/>
      <c r="H31" s="89"/>
      <c r="I31" s="93"/>
      <c r="J31" s="91">
        <f t="shared" si="0"/>
        <v>0</v>
      </c>
    </row>
    <row r="32" spans="1:10" ht="18" x14ac:dyDescent="0.3">
      <c r="A32" s="78"/>
      <c r="B32" s="79"/>
      <c r="C32" s="79"/>
      <c r="D32" s="94"/>
      <c r="E32" s="89"/>
      <c r="F32" s="89"/>
      <c r="G32" s="89"/>
      <c r="H32" s="89"/>
      <c r="I32" s="93"/>
      <c r="J32" s="91">
        <f t="shared" si="0"/>
        <v>0</v>
      </c>
    </row>
    <row r="33" spans="1:13" ht="18" x14ac:dyDescent="0.3">
      <c r="A33" s="78"/>
      <c r="B33" s="79"/>
      <c r="C33" s="79"/>
      <c r="D33" s="94"/>
      <c r="E33" s="89"/>
      <c r="F33" s="89"/>
      <c r="G33" s="89"/>
      <c r="H33" s="89"/>
      <c r="I33" s="93"/>
      <c r="J33" s="91">
        <f t="shared" si="0"/>
        <v>0</v>
      </c>
    </row>
    <row r="34" spans="1:13" ht="18" x14ac:dyDescent="0.3">
      <c r="A34" s="78"/>
      <c r="B34" s="79"/>
      <c r="C34" s="79"/>
      <c r="D34" s="94"/>
      <c r="E34" s="89"/>
      <c r="F34" s="89"/>
      <c r="G34" s="89"/>
      <c r="H34" s="89"/>
      <c r="I34" s="93"/>
      <c r="J34" s="91">
        <f t="shared" si="0"/>
        <v>0</v>
      </c>
    </row>
    <row r="35" spans="1:13" ht="18" x14ac:dyDescent="0.3">
      <c r="A35" s="78"/>
      <c r="B35" s="79"/>
      <c r="C35" s="79"/>
      <c r="D35" s="94"/>
      <c r="E35" s="89"/>
      <c r="F35" s="89"/>
      <c r="G35" s="89"/>
      <c r="H35" s="89"/>
      <c r="I35" s="93"/>
      <c r="J35" s="91">
        <f t="shared" si="0"/>
        <v>0</v>
      </c>
    </row>
    <row r="36" spans="1:13" ht="18" x14ac:dyDescent="0.3">
      <c r="A36" s="78"/>
      <c r="B36" s="79"/>
      <c r="C36" s="79"/>
      <c r="D36" s="94"/>
      <c r="E36" s="89"/>
      <c r="F36" s="89"/>
      <c r="G36" s="89"/>
      <c r="H36" s="89"/>
      <c r="I36" s="93"/>
      <c r="J36" s="91">
        <f t="shared" si="0"/>
        <v>0</v>
      </c>
    </row>
    <row r="37" spans="1:13" ht="18" x14ac:dyDescent="0.3">
      <c r="A37" s="78"/>
      <c r="B37" s="79"/>
      <c r="C37" s="79"/>
      <c r="D37" s="94"/>
      <c r="E37" s="89"/>
      <c r="F37" s="89"/>
      <c r="G37" s="89"/>
      <c r="H37" s="89"/>
      <c r="I37" s="93"/>
      <c r="J37" s="91">
        <f t="shared" si="0"/>
        <v>0</v>
      </c>
    </row>
    <row r="38" spans="1:13" ht="18" x14ac:dyDescent="0.3">
      <c r="A38" s="78"/>
      <c r="B38" s="79"/>
      <c r="C38" s="79"/>
      <c r="D38" s="94"/>
      <c r="E38" s="89"/>
      <c r="F38" s="89"/>
      <c r="G38" s="89"/>
      <c r="H38" s="89"/>
      <c r="I38" s="93"/>
      <c r="J38" s="91">
        <f t="shared" si="0"/>
        <v>0</v>
      </c>
    </row>
    <row r="39" spans="1:13" ht="18" x14ac:dyDescent="0.3">
      <c r="A39" s="78"/>
      <c r="B39" s="79"/>
      <c r="C39" s="79"/>
      <c r="D39" s="94"/>
      <c r="E39" s="89"/>
      <c r="F39" s="89"/>
      <c r="G39" s="89"/>
      <c r="H39" s="89"/>
      <c r="I39" s="93"/>
      <c r="J39" s="91">
        <f t="shared" si="0"/>
        <v>0</v>
      </c>
    </row>
    <row r="40" spans="1:13" ht="18" x14ac:dyDescent="0.3">
      <c r="A40" s="78"/>
      <c r="B40" s="79"/>
      <c r="C40" s="79"/>
      <c r="D40" s="94"/>
      <c r="E40" s="89"/>
      <c r="F40" s="89"/>
      <c r="G40" s="92"/>
      <c r="H40" s="89"/>
      <c r="I40" s="93"/>
      <c r="J40" s="91"/>
    </row>
    <row r="41" spans="1:13" ht="18" x14ac:dyDescent="0.3">
      <c r="A41" s="78"/>
      <c r="B41" s="79"/>
      <c r="C41" s="79"/>
      <c r="D41" s="94"/>
      <c r="E41" s="89"/>
      <c r="F41" s="89"/>
      <c r="G41" s="92"/>
      <c r="H41" s="89"/>
      <c r="I41" s="93"/>
      <c r="J41" s="91"/>
    </row>
    <row r="42" spans="1:13" ht="18" x14ac:dyDescent="0.3">
      <c r="A42" s="78"/>
      <c r="B42" s="79"/>
      <c r="C42" s="79"/>
      <c r="D42" s="94"/>
      <c r="E42" s="89"/>
      <c r="F42" s="89"/>
      <c r="G42" s="92"/>
      <c r="H42" s="89"/>
      <c r="I42" s="93"/>
      <c r="J42" s="91"/>
    </row>
    <row r="43" spans="1:13" ht="18" x14ac:dyDescent="0.3">
      <c r="A43" s="78"/>
      <c r="B43" s="79"/>
      <c r="C43" s="79"/>
      <c r="D43" s="94"/>
      <c r="E43" s="89"/>
      <c r="F43" s="89"/>
      <c r="G43" s="92"/>
      <c r="H43" s="89"/>
      <c r="I43" s="93"/>
      <c r="J43" s="91"/>
    </row>
    <row r="44" spans="1:13" ht="18" x14ac:dyDescent="0.3">
      <c r="A44" s="78"/>
      <c r="B44" s="79"/>
      <c r="C44" s="79"/>
      <c r="D44" s="94"/>
      <c r="E44" s="89"/>
      <c r="F44" s="89"/>
      <c r="G44" s="92"/>
      <c r="H44" s="89"/>
      <c r="I44" s="93"/>
      <c r="J44" s="91"/>
    </row>
    <row r="45" spans="1:13" ht="18" x14ac:dyDescent="0.3">
      <c r="A45" s="78"/>
      <c r="B45" s="79"/>
      <c r="C45" s="79"/>
      <c r="D45" s="95"/>
      <c r="E45" s="89"/>
      <c r="F45" s="89"/>
      <c r="G45" s="92"/>
      <c r="H45" s="89"/>
      <c r="I45" s="93"/>
      <c r="J45" s="91">
        <f t="shared" si="0"/>
        <v>0</v>
      </c>
    </row>
    <row r="46" spans="1:13" ht="18.75" thickBot="1" x14ac:dyDescent="0.35">
      <c r="A46" s="78"/>
      <c r="B46" s="79"/>
      <c r="C46" s="79"/>
      <c r="D46" s="96"/>
      <c r="E46" s="97"/>
      <c r="F46" s="97"/>
      <c r="G46" s="98"/>
      <c r="H46" s="97"/>
      <c r="I46" s="99"/>
      <c r="J46" s="100">
        <f t="shared" si="0"/>
        <v>0</v>
      </c>
      <c r="M46" s="105"/>
    </row>
    <row r="47" spans="1:13" ht="21" thickBot="1" x14ac:dyDescent="0.35">
      <c r="A47" s="78"/>
      <c r="B47" s="79"/>
      <c r="C47" s="79"/>
      <c r="D47" s="933" t="s">
        <v>10</v>
      </c>
      <c r="E47" s="934"/>
      <c r="F47" s="934"/>
      <c r="G47" s="934"/>
      <c r="H47" s="934"/>
      <c r="I47" s="935"/>
      <c r="J47" s="102">
        <f>ROUND(SUM(J8:J46),2)</f>
        <v>8</v>
      </c>
    </row>
    <row r="48" spans="1:13" ht="21" thickBot="1" x14ac:dyDescent="0.35">
      <c r="A48" s="78"/>
      <c r="B48" s="79"/>
      <c r="C48" s="79"/>
      <c r="D48" s="933" t="s">
        <v>1127</v>
      </c>
      <c r="E48" s="934"/>
      <c r="F48" s="934"/>
      <c r="G48" s="934"/>
      <c r="H48" s="934"/>
      <c r="I48" s="935"/>
      <c r="J48" s="103"/>
    </row>
    <row r="49" spans="1:10" ht="21" thickBot="1" x14ac:dyDescent="0.35">
      <c r="A49" s="78"/>
      <c r="B49" s="79"/>
      <c r="C49" s="101"/>
      <c r="D49" s="933" t="s">
        <v>1128</v>
      </c>
      <c r="E49" s="934"/>
      <c r="F49" s="934"/>
      <c r="G49" s="934"/>
      <c r="H49" s="934"/>
      <c r="I49" s="935"/>
      <c r="J49" s="104">
        <f>+J47-J48</f>
        <v>8</v>
      </c>
    </row>
    <row r="50" spans="1:10" ht="21" thickBot="1" x14ac:dyDescent="0.35">
      <c r="A50" s="936" t="s">
        <v>1129</v>
      </c>
      <c r="B50" s="937"/>
      <c r="C50" s="938"/>
      <c r="D50" s="939" t="s">
        <v>1130</v>
      </c>
      <c r="E50" s="940"/>
      <c r="F50" s="940"/>
      <c r="G50" s="940"/>
      <c r="H50" s="940"/>
      <c r="I50" s="940"/>
      <c r="J50" s="941"/>
    </row>
    <row r="51" spans="1:10" ht="38.25" customHeight="1" thickBot="1" x14ac:dyDescent="0.35">
      <c r="A51" s="942" t="str">
        <f>PPTO!G3</f>
        <v>JUNIO DE 2026</v>
      </c>
      <c r="B51" s="943"/>
      <c r="C51" s="944"/>
      <c r="D51" s="921"/>
      <c r="E51" s="922"/>
      <c r="F51" s="922"/>
      <c r="G51" s="922"/>
      <c r="H51" s="922"/>
      <c r="I51" s="922"/>
      <c r="J51" s="923"/>
    </row>
    <row r="52" spans="1:10" ht="19.5" thickBot="1" x14ac:dyDescent="0.35">
      <c r="A52" s="918"/>
      <c r="B52" s="919"/>
      <c r="C52" s="920"/>
      <c r="D52" s="921" t="s">
        <v>1131</v>
      </c>
      <c r="E52" s="922"/>
      <c r="F52" s="922"/>
      <c r="G52" s="922"/>
      <c r="H52" s="922"/>
      <c r="I52" s="922"/>
      <c r="J52" s="923"/>
    </row>
  </sheetData>
  <mergeCells count="19">
    <mergeCell ref="A2:J2"/>
    <mergeCell ref="A3:J3"/>
    <mergeCell ref="A4:J4"/>
    <mergeCell ref="C5:D5"/>
    <mergeCell ref="G5:H5"/>
    <mergeCell ref="I5:J5"/>
    <mergeCell ref="A52:C52"/>
    <mergeCell ref="D52:J52"/>
    <mergeCell ref="D6:D7"/>
    <mergeCell ref="E6:G6"/>
    <mergeCell ref="I6:I7"/>
    <mergeCell ref="J6:J7"/>
    <mergeCell ref="D47:I47"/>
    <mergeCell ref="D48:I48"/>
    <mergeCell ref="D49:I49"/>
    <mergeCell ref="A50:C50"/>
    <mergeCell ref="D50:J50"/>
    <mergeCell ref="A51:C51"/>
    <mergeCell ref="D51:J51"/>
  </mergeCells>
  <conditionalFormatting sqref="J8:J46">
    <cfRule type="cellIs" dxfId="11" priority="1" operator="equal">
      <formula>0</formula>
    </cfRule>
  </conditionalFormatting>
  <pageMargins left="0.7" right="0.7" top="0.75" bottom="0.75" header="0.3" footer="0.3"/>
  <pageSetup scale="49" orientation="landscape" r:id="rId1"/>
  <drawing r:id="rId2"/>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B593DF-5FED-4AC9-BA30-83E0A9EF8A7D}">
  <sheetPr>
    <tabColor rgb="FF92D050"/>
    <pageSetUpPr fitToPage="1"/>
  </sheetPr>
  <dimension ref="A1:M52"/>
  <sheetViews>
    <sheetView showOutlineSymbols="0" view="pageBreakPreview" topLeftCell="A26" zoomScale="60" zoomScaleNormal="70" workbookViewId="0">
      <selection activeCell="M47" sqref="M47"/>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29.6" customHeight="1" thickBot="1" x14ac:dyDescent="0.35">
      <c r="A5" s="72" t="s">
        <v>5</v>
      </c>
      <c r="B5" s="73">
        <v>10.199999999999999</v>
      </c>
      <c r="C5" s="913" t="str">
        <f>+VLOOKUP(B5,PPTO!B8:G94,2,FALSE)</f>
        <v>Suministro e instalación de Orinales, incluye: accesorios PVC, Orinal arrecife corona o similar según detalle del proyecto, grifería, y todo lo necesario para su correcta instalación</v>
      </c>
      <c r="D5" s="914"/>
      <c r="E5" s="72" t="s">
        <v>7</v>
      </c>
      <c r="F5" s="74" t="str">
        <f>+VLOOKUP(B5,PPTO!B8:G94,3,FALSE)</f>
        <v>UN</v>
      </c>
      <c r="G5" s="915" t="s">
        <v>1120</v>
      </c>
      <c r="H5" s="915"/>
      <c r="I5" s="916">
        <f>+VLOOKUP(B5,PPTO!B8:G94,5,FALSE)</f>
        <v>645398.51893065264</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8" x14ac:dyDescent="0.3">
      <c r="A8" s="78"/>
      <c r="B8" s="79"/>
      <c r="C8" s="79"/>
      <c r="D8" s="88" t="s">
        <v>1243</v>
      </c>
      <c r="E8" s="89"/>
      <c r="F8" s="89"/>
      <c r="G8" s="89"/>
      <c r="H8" s="89"/>
      <c r="I8" s="90">
        <v>3</v>
      </c>
      <c r="J8" s="91">
        <f t="shared" ref="J8:J46" si="0">+PRODUCT(E8:I8)</f>
        <v>3</v>
      </c>
    </row>
    <row r="9" spans="1:10" ht="18" x14ac:dyDescent="0.3">
      <c r="A9" s="78"/>
      <c r="B9" s="79"/>
      <c r="C9" s="79"/>
      <c r="D9" s="94"/>
      <c r="E9" s="89"/>
      <c r="F9" s="89"/>
      <c r="G9" s="89"/>
      <c r="H9" s="89"/>
      <c r="I9" s="93"/>
      <c r="J9" s="91">
        <f t="shared" si="0"/>
        <v>0</v>
      </c>
    </row>
    <row r="10" spans="1:10" ht="18" x14ac:dyDescent="0.3">
      <c r="A10" s="78"/>
      <c r="B10" s="79"/>
      <c r="C10" s="79"/>
      <c r="D10" s="94"/>
      <c r="E10" s="89"/>
      <c r="F10" s="89"/>
      <c r="G10" s="89"/>
      <c r="H10" s="89"/>
      <c r="I10" s="93"/>
      <c r="J10" s="91">
        <f t="shared" si="0"/>
        <v>0</v>
      </c>
    </row>
    <row r="11" spans="1:10" ht="18" x14ac:dyDescent="0.3">
      <c r="A11" s="78"/>
      <c r="B11" s="79"/>
      <c r="C11" s="79"/>
      <c r="D11" s="94"/>
      <c r="E11" s="89"/>
      <c r="F11" s="89"/>
      <c r="G11" s="89"/>
      <c r="H11" s="89"/>
      <c r="I11" s="93"/>
      <c r="J11" s="91">
        <f t="shared" si="0"/>
        <v>0</v>
      </c>
    </row>
    <row r="12" spans="1:10" ht="18" x14ac:dyDescent="0.3">
      <c r="A12" s="78"/>
      <c r="B12" s="79"/>
      <c r="C12" s="79"/>
      <c r="D12" s="94"/>
      <c r="E12" s="89"/>
      <c r="F12" s="89"/>
      <c r="G12" s="89"/>
      <c r="H12" s="89"/>
      <c r="I12" s="93"/>
      <c r="J12" s="91">
        <f t="shared" si="0"/>
        <v>0</v>
      </c>
    </row>
    <row r="13" spans="1:10" ht="18" x14ac:dyDescent="0.3">
      <c r="A13" s="78"/>
      <c r="B13" s="79"/>
      <c r="C13" s="79"/>
      <c r="D13" s="94"/>
      <c r="E13" s="89"/>
      <c r="F13" s="89"/>
      <c r="G13" s="89"/>
      <c r="H13" s="89"/>
      <c r="I13" s="93"/>
      <c r="J13" s="91">
        <f t="shared" si="0"/>
        <v>0</v>
      </c>
    </row>
    <row r="14" spans="1:10" ht="18" x14ac:dyDescent="0.3">
      <c r="A14" s="78"/>
      <c r="B14" s="79"/>
      <c r="C14" s="79"/>
      <c r="D14" s="94"/>
      <c r="E14" s="89"/>
      <c r="F14" s="89"/>
      <c r="G14" s="89"/>
      <c r="H14" s="89"/>
      <c r="I14" s="93"/>
      <c r="J14" s="91">
        <f t="shared" si="0"/>
        <v>0</v>
      </c>
    </row>
    <row r="15" spans="1:10" ht="18" x14ac:dyDescent="0.3">
      <c r="A15" s="78"/>
      <c r="B15" s="79"/>
      <c r="C15" s="79"/>
      <c r="D15" s="94"/>
      <c r="E15" s="89"/>
      <c r="F15" s="89"/>
      <c r="G15" s="89"/>
      <c r="H15" s="89"/>
      <c r="I15" s="93"/>
      <c r="J15" s="91">
        <f t="shared" si="0"/>
        <v>0</v>
      </c>
    </row>
    <row r="16" spans="1:10" ht="18" x14ac:dyDescent="0.3">
      <c r="A16" s="78"/>
      <c r="B16" s="79"/>
      <c r="C16" s="79"/>
      <c r="D16" s="94"/>
      <c r="E16" s="89"/>
      <c r="F16" s="89"/>
      <c r="G16" s="89"/>
      <c r="H16" s="89"/>
      <c r="I16" s="93"/>
      <c r="J16" s="91">
        <f t="shared" si="0"/>
        <v>0</v>
      </c>
    </row>
    <row r="17" spans="1:10" ht="18" x14ac:dyDescent="0.3">
      <c r="A17" s="78"/>
      <c r="B17" s="79"/>
      <c r="C17" s="79"/>
      <c r="D17" s="94"/>
      <c r="E17" s="89"/>
      <c r="F17" s="89"/>
      <c r="G17" s="89"/>
      <c r="H17" s="89"/>
      <c r="I17" s="93"/>
      <c r="J17" s="91">
        <f t="shared" si="0"/>
        <v>0</v>
      </c>
    </row>
    <row r="18" spans="1:10" ht="18" x14ac:dyDescent="0.3">
      <c r="A18" s="78"/>
      <c r="B18" s="79"/>
      <c r="C18" s="79"/>
      <c r="D18" s="94"/>
      <c r="E18" s="89"/>
      <c r="F18" s="89"/>
      <c r="G18" s="89"/>
      <c r="H18" s="89"/>
      <c r="I18" s="93"/>
      <c r="J18" s="91">
        <f t="shared" si="0"/>
        <v>0</v>
      </c>
    </row>
    <row r="19" spans="1:10" ht="18" x14ac:dyDescent="0.3">
      <c r="A19" s="78"/>
      <c r="B19" s="79"/>
      <c r="C19" s="79"/>
      <c r="D19" s="95"/>
      <c r="E19" s="89"/>
      <c r="F19" s="89"/>
      <c r="G19" s="89"/>
      <c r="H19" s="89"/>
      <c r="I19" s="93"/>
      <c r="J19" s="91">
        <f t="shared" si="0"/>
        <v>0</v>
      </c>
    </row>
    <row r="20" spans="1:10" ht="18" x14ac:dyDescent="0.3">
      <c r="A20" s="78"/>
      <c r="B20" s="79"/>
      <c r="C20" s="79"/>
      <c r="D20" s="88"/>
      <c r="E20" s="89"/>
      <c r="F20" s="89"/>
      <c r="G20" s="89"/>
      <c r="H20" s="89"/>
      <c r="I20" s="90"/>
      <c r="J20" s="91">
        <f t="shared" si="0"/>
        <v>0</v>
      </c>
    </row>
    <row r="21" spans="1:10" ht="18" x14ac:dyDescent="0.3">
      <c r="A21" s="78"/>
      <c r="B21" s="79"/>
      <c r="C21" s="79"/>
      <c r="D21" s="88"/>
      <c r="E21" s="89"/>
      <c r="F21" s="89"/>
      <c r="G21" s="89"/>
      <c r="H21" s="89"/>
      <c r="I21" s="90"/>
      <c r="J21" s="91">
        <f t="shared" si="0"/>
        <v>0</v>
      </c>
    </row>
    <row r="22" spans="1:10" ht="18" x14ac:dyDescent="0.3">
      <c r="A22" s="78"/>
      <c r="B22" s="79"/>
      <c r="C22" s="79"/>
      <c r="D22" s="88"/>
      <c r="E22" s="89"/>
      <c r="F22" s="89"/>
      <c r="G22" s="89"/>
      <c r="H22" s="89"/>
      <c r="I22" s="90"/>
      <c r="J22" s="91">
        <f t="shared" si="0"/>
        <v>0</v>
      </c>
    </row>
    <row r="23" spans="1:10" ht="18" x14ac:dyDescent="0.3">
      <c r="A23" s="78"/>
      <c r="B23" s="79"/>
      <c r="C23" s="79"/>
      <c r="D23" s="94"/>
      <c r="E23" s="89"/>
      <c r="F23" s="89"/>
      <c r="G23" s="89"/>
      <c r="H23" s="89"/>
      <c r="I23" s="93"/>
      <c r="J23" s="91">
        <f t="shared" si="0"/>
        <v>0</v>
      </c>
    </row>
    <row r="24" spans="1:10" ht="18" x14ac:dyDescent="0.3">
      <c r="A24" s="78"/>
      <c r="B24" s="79"/>
      <c r="C24" s="79"/>
      <c r="D24" s="94"/>
      <c r="E24" s="89"/>
      <c r="F24" s="89"/>
      <c r="G24" s="89"/>
      <c r="H24" s="89"/>
      <c r="I24" s="93"/>
      <c r="J24" s="91">
        <f t="shared" si="0"/>
        <v>0</v>
      </c>
    </row>
    <row r="25" spans="1:10" ht="18" x14ac:dyDescent="0.3">
      <c r="A25" s="78"/>
      <c r="B25" s="79"/>
      <c r="C25" s="79"/>
      <c r="D25" s="94"/>
      <c r="E25" s="89"/>
      <c r="F25" s="89"/>
      <c r="G25" s="89"/>
      <c r="H25" s="89"/>
      <c r="I25" s="93"/>
      <c r="J25" s="91">
        <f t="shared" si="0"/>
        <v>0</v>
      </c>
    </row>
    <row r="26" spans="1:10" ht="18" x14ac:dyDescent="0.3">
      <c r="A26" s="78"/>
      <c r="B26" s="79"/>
      <c r="C26" s="79"/>
      <c r="D26" s="94"/>
      <c r="E26" s="89"/>
      <c r="F26" s="89"/>
      <c r="G26" s="89"/>
      <c r="H26" s="89"/>
      <c r="I26" s="93"/>
      <c r="J26" s="91">
        <f t="shared" si="0"/>
        <v>0</v>
      </c>
    </row>
    <row r="27" spans="1:10" ht="18" x14ac:dyDescent="0.3">
      <c r="A27" s="78"/>
      <c r="B27" s="79"/>
      <c r="C27" s="79"/>
      <c r="D27" s="94"/>
      <c r="E27" s="89"/>
      <c r="F27" s="89"/>
      <c r="G27" s="89"/>
      <c r="H27" s="89"/>
      <c r="I27" s="93"/>
      <c r="J27" s="91">
        <f t="shared" si="0"/>
        <v>0</v>
      </c>
    </row>
    <row r="28" spans="1:10" ht="18" x14ac:dyDescent="0.3">
      <c r="A28" s="78"/>
      <c r="B28" s="79"/>
      <c r="C28" s="79"/>
      <c r="D28" s="94"/>
      <c r="E28" s="89"/>
      <c r="F28" s="89"/>
      <c r="G28" s="89"/>
      <c r="H28" s="89"/>
      <c r="I28" s="93"/>
      <c r="J28" s="91">
        <f t="shared" si="0"/>
        <v>0</v>
      </c>
    </row>
    <row r="29" spans="1:10" ht="18" x14ac:dyDescent="0.3">
      <c r="A29" s="78"/>
      <c r="B29" s="79"/>
      <c r="C29" s="79"/>
      <c r="D29" s="94"/>
      <c r="E29" s="89"/>
      <c r="F29" s="89"/>
      <c r="G29" s="89"/>
      <c r="H29" s="89"/>
      <c r="I29" s="93"/>
      <c r="J29" s="91">
        <f t="shared" si="0"/>
        <v>0</v>
      </c>
    </row>
    <row r="30" spans="1:10" ht="18" x14ac:dyDescent="0.3">
      <c r="A30" s="78"/>
      <c r="B30" s="79"/>
      <c r="C30" s="79"/>
      <c r="D30" s="94"/>
      <c r="E30" s="89"/>
      <c r="F30" s="89"/>
      <c r="G30" s="89"/>
      <c r="H30" s="89"/>
      <c r="I30" s="93"/>
      <c r="J30" s="91">
        <f t="shared" si="0"/>
        <v>0</v>
      </c>
    </row>
    <row r="31" spans="1:10" ht="18" x14ac:dyDescent="0.3">
      <c r="A31" s="78"/>
      <c r="B31" s="79"/>
      <c r="C31" s="79"/>
      <c r="D31" s="94"/>
      <c r="E31" s="89"/>
      <c r="F31" s="89"/>
      <c r="G31" s="89"/>
      <c r="H31" s="89"/>
      <c r="I31" s="93"/>
      <c r="J31" s="91">
        <f t="shared" si="0"/>
        <v>0</v>
      </c>
    </row>
    <row r="32" spans="1:10" ht="18" x14ac:dyDescent="0.3">
      <c r="A32" s="78"/>
      <c r="B32" s="79"/>
      <c r="C32" s="79"/>
      <c r="D32" s="94"/>
      <c r="E32" s="89"/>
      <c r="F32" s="89"/>
      <c r="G32" s="89"/>
      <c r="H32" s="89"/>
      <c r="I32" s="93"/>
      <c r="J32" s="91">
        <f t="shared" si="0"/>
        <v>0</v>
      </c>
    </row>
    <row r="33" spans="1:13" ht="18" x14ac:dyDescent="0.3">
      <c r="A33" s="78"/>
      <c r="B33" s="79"/>
      <c r="C33" s="79"/>
      <c r="D33" s="94"/>
      <c r="E33" s="89"/>
      <c r="F33" s="89"/>
      <c r="G33" s="89"/>
      <c r="H33" s="89"/>
      <c r="I33" s="93"/>
      <c r="J33" s="91">
        <f t="shared" si="0"/>
        <v>0</v>
      </c>
    </row>
    <row r="34" spans="1:13" ht="18" x14ac:dyDescent="0.3">
      <c r="A34" s="78"/>
      <c r="B34" s="79"/>
      <c r="C34" s="79"/>
      <c r="D34" s="94"/>
      <c r="E34" s="89"/>
      <c r="F34" s="89"/>
      <c r="G34" s="89"/>
      <c r="H34" s="89"/>
      <c r="I34" s="93"/>
      <c r="J34" s="91">
        <f t="shared" si="0"/>
        <v>0</v>
      </c>
    </row>
    <row r="35" spans="1:13" ht="18" x14ac:dyDescent="0.3">
      <c r="A35" s="78"/>
      <c r="B35" s="79"/>
      <c r="C35" s="79"/>
      <c r="D35" s="94"/>
      <c r="E35" s="89"/>
      <c r="F35" s="89"/>
      <c r="G35" s="89"/>
      <c r="H35" s="89"/>
      <c r="I35" s="93"/>
      <c r="J35" s="91">
        <f t="shared" si="0"/>
        <v>0</v>
      </c>
    </row>
    <row r="36" spans="1:13" ht="18" x14ac:dyDescent="0.3">
      <c r="A36" s="78"/>
      <c r="B36" s="79"/>
      <c r="C36" s="79"/>
      <c r="D36" s="94"/>
      <c r="E36" s="89"/>
      <c r="F36" s="89"/>
      <c r="G36" s="89"/>
      <c r="H36" s="89"/>
      <c r="I36" s="93"/>
      <c r="J36" s="91">
        <f t="shared" si="0"/>
        <v>0</v>
      </c>
    </row>
    <row r="37" spans="1:13" ht="18" x14ac:dyDescent="0.3">
      <c r="A37" s="78"/>
      <c r="B37" s="79"/>
      <c r="C37" s="79"/>
      <c r="D37" s="94"/>
      <c r="E37" s="89"/>
      <c r="F37" s="89"/>
      <c r="G37" s="89"/>
      <c r="H37" s="89"/>
      <c r="I37" s="93"/>
      <c r="J37" s="91">
        <f t="shared" si="0"/>
        <v>0</v>
      </c>
    </row>
    <row r="38" spans="1:13" ht="18" x14ac:dyDescent="0.3">
      <c r="A38" s="78"/>
      <c r="B38" s="79"/>
      <c r="C38" s="79"/>
      <c r="D38" s="94"/>
      <c r="E38" s="89"/>
      <c r="F38" s="89"/>
      <c r="G38" s="89"/>
      <c r="H38" s="89"/>
      <c r="I38" s="93"/>
      <c r="J38" s="91">
        <f t="shared" si="0"/>
        <v>0</v>
      </c>
    </row>
    <row r="39" spans="1:13" ht="18" x14ac:dyDescent="0.3">
      <c r="A39" s="78"/>
      <c r="B39" s="79"/>
      <c r="C39" s="79"/>
      <c r="D39" s="94"/>
      <c r="E39" s="89"/>
      <c r="F39" s="89"/>
      <c r="G39" s="89"/>
      <c r="H39" s="89"/>
      <c r="I39" s="93"/>
      <c r="J39" s="91">
        <f t="shared" si="0"/>
        <v>0</v>
      </c>
    </row>
    <row r="40" spans="1:13" ht="18" x14ac:dyDescent="0.3">
      <c r="A40" s="78"/>
      <c r="B40" s="79"/>
      <c r="C40" s="79"/>
      <c r="D40" s="94"/>
      <c r="E40" s="89"/>
      <c r="F40" s="89"/>
      <c r="G40" s="92"/>
      <c r="H40" s="89"/>
      <c r="I40" s="93"/>
      <c r="J40" s="91"/>
    </row>
    <row r="41" spans="1:13" ht="18" x14ac:dyDescent="0.3">
      <c r="A41" s="78"/>
      <c r="B41" s="79"/>
      <c r="C41" s="79"/>
      <c r="D41" s="94"/>
      <c r="E41" s="89"/>
      <c r="F41" s="89"/>
      <c r="G41" s="92"/>
      <c r="H41" s="89"/>
      <c r="I41" s="93"/>
      <c r="J41" s="91"/>
    </row>
    <row r="42" spans="1:13" ht="18" x14ac:dyDescent="0.3">
      <c r="A42" s="78"/>
      <c r="B42" s="79"/>
      <c r="C42" s="79"/>
      <c r="D42" s="94"/>
      <c r="E42" s="89"/>
      <c r="F42" s="89"/>
      <c r="G42" s="92"/>
      <c r="H42" s="89"/>
      <c r="I42" s="93"/>
      <c r="J42" s="91"/>
    </row>
    <row r="43" spans="1:13" ht="18" x14ac:dyDescent="0.3">
      <c r="A43" s="78"/>
      <c r="B43" s="79"/>
      <c r="C43" s="79"/>
      <c r="D43" s="94"/>
      <c r="E43" s="89"/>
      <c r="F43" s="89"/>
      <c r="G43" s="92"/>
      <c r="H43" s="89"/>
      <c r="I43" s="93"/>
      <c r="J43" s="91"/>
    </row>
    <row r="44" spans="1:13" ht="18" x14ac:dyDescent="0.3">
      <c r="A44" s="78"/>
      <c r="B44" s="79"/>
      <c r="C44" s="79"/>
      <c r="D44" s="94"/>
      <c r="E44" s="89"/>
      <c r="F44" s="89"/>
      <c r="G44" s="92"/>
      <c r="H44" s="89"/>
      <c r="I44" s="93"/>
      <c r="J44" s="91"/>
    </row>
    <row r="45" spans="1:13" ht="18" x14ac:dyDescent="0.3">
      <c r="A45" s="78"/>
      <c r="B45" s="79"/>
      <c r="C45" s="79"/>
      <c r="D45" s="95"/>
      <c r="E45" s="89"/>
      <c r="F45" s="89"/>
      <c r="G45" s="92"/>
      <c r="H45" s="89"/>
      <c r="I45" s="93"/>
      <c r="J45" s="91">
        <f t="shared" si="0"/>
        <v>0</v>
      </c>
    </row>
    <row r="46" spans="1:13" ht="18.75" thickBot="1" x14ac:dyDescent="0.35">
      <c r="A46" s="78"/>
      <c r="B46" s="79"/>
      <c r="C46" s="79"/>
      <c r="D46" s="96"/>
      <c r="E46" s="97"/>
      <c r="F46" s="97"/>
      <c r="G46" s="98"/>
      <c r="H46" s="97"/>
      <c r="I46" s="99"/>
      <c r="J46" s="100">
        <f t="shared" si="0"/>
        <v>0</v>
      </c>
      <c r="M46" s="105"/>
    </row>
    <row r="47" spans="1:13" ht="21" thickBot="1" x14ac:dyDescent="0.35">
      <c r="A47" s="78"/>
      <c r="B47" s="79"/>
      <c r="C47" s="79"/>
      <c r="D47" s="933" t="s">
        <v>10</v>
      </c>
      <c r="E47" s="934"/>
      <c r="F47" s="934"/>
      <c r="G47" s="934"/>
      <c r="H47" s="934"/>
      <c r="I47" s="935"/>
      <c r="J47" s="102">
        <f>ROUND(SUM(J8:J46),2)</f>
        <v>3</v>
      </c>
    </row>
    <row r="48" spans="1:13" ht="21" thickBot="1" x14ac:dyDescent="0.35">
      <c r="A48" s="78"/>
      <c r="B48" s="79"/>
      <c r="C48" s="79"/>
      <c r="D48" s="933" t="s">
        <v>1127</v>
      </c>
      <c r="E48" s="934"/>
      <c r="F48" s="934"/>
      <c r="G48" s="934"/>
      <c r="H48" s="934"/>
      <c r="I48" s="935"/>
      <c r="J48" s="103"/>
    </row>
    <row r="49" spans="1:10" ht="21" thickBot="1" x14ac:dyDescent="0.35">
      <c r="A49" s="78"/>
      <c r="B49" s="79"/>
      <c r="C49" s="101"/>
      <c r="D49" s="933" t="s">
        <v>1128</v>
      </c>
      <c r="E49" s="934"/>
      <c r="F49" s="934"/>
      <c r="G49" s="934"/>
      <c r="H49" s="934"/>
      <c r="I49" s="935"/>
      <c r="J49" s="104">
        <f>+J47-J48</f>
        <v>3</v>
      </c>
    </row>
    <row r="50" spans="1:10" ht="21" thickBot="1" x14ac:dyDescent="0.35">
      <c r="A50" s="936" t="s">
        <v>1129</v>
      </c>
      <c r="B50" s="937"/>
      <c r="C50" s="938"/>
      <c r="D50" s="939" t="s">
        <v>1130</v>
      </c>
      <c r="E50" s="940"/>
      <c r="F50" s="940"/>
      <c r="G50" s="940"/>
      <c r="H50" s="940"/>
      <c r="I50" s="940"/>
      <c r="J50" s="941"/>
    </row>
    <row r="51" spans="1:10" ht="38.25" customHeight="1" thickBot="1" x14ac:dyDescent="0.35">
      <c r="A51" s="942" t="str">
        <f>PPTO!G3</f>
        <v>JUNIO DE 2026</v>
      </c>
      <c r="B51" s="943"/>
      <c r="C51" s="944"/>
      <c r="D51" s="921"/>
      <c r="E51" s="922"/>
      <c r="F51" s="922"/>
      <c r="G51" s="922"/>
      <c r="H51" s="922"/>
      <c r="I51" s="922"/>
      <c r="J51" s="923"/>
    </row>
    <row r="52" spans="1:10" ht="19.5" thickBot="1" x14ac:dyDescent="0.35">
      <c r="A52" s="918"/>
      <c r="B52" s="919"/>
      <c r="C52" s="920"/>
      <c r="D52" s="921" t="s">
        <v>1131</v>
      </c>
      <c r="E52" s="922"/>
      <c r="F52" s="922"/>
      <c r="G52" s="922"/>
      <c r="H52" s="922"/>
      <c r="I52" s="922"/>
      <c r="J52" s="923"/>
    </row>
  </sheetData>
  <mergeCells count="19">
    <mergeCell ref="A2:J2"/>
    <mergeCell ref="A3:J3"/>
    <mergeCell ref="A4:J4"/>
    <mergeCell ref="C5:D5"/>
    <mergeCell ref="G5:H5"/>
    <mergeCell ref="I5:J5"/>
    <mergeCell ref="A52:C52"/>
    <mergeCell ref="D52:J52"/>
    <mergeCell ref="D6:D7"/>
    <mergeCell ref="E6:G6"/>
    <mergeCell ref="I6:I7"/>
    <mergeCell ref="J6:J7"/>
    <mergeCell ref="D47:I47"/>
    <mergeCell ref="D48:I48"/>
    <mergeCell ref="D49:I49"/>
    <mergeCell ref="A50:C50"/>
    <mergeCell ref="D50:J50"/>
    <mergeCell ref="A51:C51"/>
    <mergeCell ref="D51:J51"/>
  </mergeCells>
  <conditionalFormatting sqref="J8:J46">
    <cfRule type="cellIs" dxfId="10" priority="1" operator="equal">
      <formula>0</formula>
    </cfRule>
  </conditionalFormatting>
  <pageMargins left="0.7" right="0.7" top="0.75" bottom="0.75" header="0.3" footer="0.3"/>
  <pageSetup scale="49" orientation="landscape" r:id="rId1"/>
  <drawing r:id="rId2"/>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E5B499-96DB-48AE-AD05-3C52B55E85BB}">
  <sheetPr>
    <tabColor rgb="FF92D050"/>
    <pageSetUpPr fitToPage="1"/>
  </sheetPr>
  <dimension ref="A1:M51"/>
  <sheetViews>
    <sheetView showOutlineSymbols="0" view="pageBreakPreview" topLeftCell="A19" zoomScale="60" zoomScaleNormal="70" workbookViewId="0">
      <selection activeCell="M46" sqref="M46"/>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29.6" customHeight="1" thickBot="1" x14ac:dyDescent="0.35">
      <c r="A5" s="72" t="s">
        <v>5</v>
      </c>
      <c r="B5" s="73">
        <v>10.3</v>
      </c>
      <c r="C5" s="913" t="str">
        <f>+VLOOKUP(B5,PPTO!B8:G94,2,FALSE)</f>
        <v>Colocación e instalación de Lavamanos, incluye: accesorios PVC, lavamanos corona o equivalente color blanco, grifería metálica antivandálica, de push ref 71100 de Grival o equivalente, abasto metálico y todos los demás elementos necesarios para su correcta instalación y funcionamiento.</v>
      </c>
      <c r="D5" s="914"/>
      <c r="E5" s="72" t="s">
        <v>7</v>
      </c>
      <c r="F5" s="74" t="str">
        <f>+VLOOKUP(B5,PPTO!B8:G94,3,FALSE)</f>
        <v>UN</v>
      </c>
      <c r="G5" s="915" t="s">
        <v>1120</v>
      </c>
      <c r="H5" s="915"/>
      <c r="I5" s="916">
        <f>+VLOOKUP(B5,PPTO!B8:G94,5,FALSE)</f>
        <v>921097.20406432112</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9.350000000000001" customHeight="1" x14ac:dyDescent="0.3">
      <c r="A8" s="78"/>
      <c r="B8" s="79"/>
      <c r="C8" s="79"/>
      <c r="D8" s="88" t="s">
        <v>1245</v>
      </c>
      <c r="E8" s="89"/>
      <c r="F8" s="89"/>
      <c r="G8" s="89"/>
      <c r="H8" s="89"/>
      <c r="I8" s="90">
        <v>1</v>
      </c>
      <c r="J8" s="91">
        <f t="shared" ref="J8:J45" si="0">+PRODUCT(E8:I8)</f>
        <v>1</v>
      </c>
    </row>
    <row r="9" spans="1:10" ht="18" x14ac:dyDescent="0.3">
      <c r="A9" s="78"/>
      <c r="B9" s="79"/>
      <c r="C9" s="79"/>
      <c r="D9" s="94" t="s">
        <v>1246</v>
      </c>
      <c r="E9" s="89"/>
      <c r="F9" s="89"/>
      <c r="G9" s="89"/>
      <c r="H9" s="89"/>
      <c r="I9" s="93">
        <v>1</v>
      </c>
      <c r="J9" s="91">
        <f t="shared" si="0"/>
        <v>1</v>
      </c>
    </row>
    <row r="10" spans="1:10" ht="18" x14ac:dyDescent="0.3">
      <c r="A10" s="78"/>
      <c r="B10" s="79"/>
      <c r="C10" s="79"/>
      <c r="D10" s="94" t="s">
        <v>1247</v>
      </c>
      <c r="E10" s="89"/>
      <c r="F10" s="89"/>
      <c r="G10" s="89"/>
      <c r="H10" s="89"/>
      <c r="I10" s="93">
        <v>1</v>
      </c>
      <c r="J10" s="91">
        <f t="shared" si="0"/>
        <v>1</v>
      </c>
    </row>
    <row r="11" spans="1:10" ht="18" x14ac:dyDescent="0.3">
      <c r="A11" s="78"/>
      <c r="B11" s="79"/>
      <c r="C11" s="79"/>
      <c r="D11" s="94" t="s">
        <v>1243</v>
      </c>
      <c r="E11" s="89"/>
      <c r="F11" s="89"/>
      <c r="G11" s="89"/>
      <c r="H11" s="89"/>
      <c r="I11" s="93">
        <v>3</v>
      </c>
      <c r="J11" s="91">
        <f t="shared" si="0"/>
        <v>3</v>
      </c>
    </row>
    <row r="12" spans="1:10" ht="18" x14ac:dyDescent="0.3">
      <c r="A12" s="78"/>
      <c r="B12" s="79"/>
      <c r="C12" s="79"/>
      <c r="D12" s="94" t="s">
        <v>1244</v>
      </c>
      <c r="E12" s="89"/>
      <c r="F12" s="89"/>
      <c r="G12" s="89"/>
      <c r="H12" s="89"/>
      <c r="I12" s="93">
        <v>3</v>
      </c>
      <c r="J12" s="91">
        <f t="shared" si="0"/>
        <v>3</v>
      </c>
    </row>
    <row r="13" spans="1:10" ht="18" x14ac:dyDescent="0.3">
      <c r="A13" s="78"/>
      <c r="B13" s="79"/>
      <c r="C13" s="79"/>
      <c r="D13" s="94"/>
      <c r="E13" s="89"/>
      <c r="F13" s="89"/>
      <c r="G13" s="89"/>
      <c r="H13" s="89"/>
      <c r="I13" s="93"/>
      <c r="J13" s="91">
        <f t="shared" si="0"/>
        <v>0</v>
      </c>
    </row>
    <row r="14" spans="1:10" ht="18" x14ac:dyDescent="0.3">
      <c r="A14" s="78"/>
      <c r="B14" s="79"/>
      <c r="C14" s="79"/>
      <c r="D14" s="94"/>
      <c r="E14" s="89"/>
      <c r="F14" s="89"/>
      <c r="G14" s="89"/>
      <c r="H14" s="89"/>
      <c r="I14" s="93"/>
      <c r="J14" s="91">
        <f t="shared" si="0"/>
        <v>0</v>
      </c>
    </row>
    <row r="15" spans="1:10" ht="18" x14ac:dyDescent="0.3">
      <c r="A15" s="78"/>
      <c r="B15" s="79"/>
      <c r="C15" s="79"/>
      <c r="D15" s="94"/>
      <c r="E15" s="89"/>
      <c r="F15" s="89"/>
      <c r="G15" s="89"/>
      <c r="H15" s="89"/>
      <c r="I15" s="93"/>
      <c r="J15" s="91">
        <f t="shared" si="0"/>
        <v>0</v>
      </c>
    </row>
    <row r="16" spans="1:10" ht="18" x14ac:dyDescent="0.3">
      <c r="A16" s="78"/>
      <c r="B16" s="79"/>
      <c r="C16" s="79"/>
      <c r="D16" s="94"/>
      <c r="E16" s="89"/>
      <c r="F16" s="89"/>
      <c r="G16" s="89"/>
      <c r="H16" s="89"/>
      <c r="I16" s="93"/>
      <c r="J16" s="91">
        <f t="shared" si="0"/>
        <v>0</v>
      </c>
    </row>
    <row r="17" spans="1:10" ht="18" x14ac:dyDescent="0.3">
      <c r="A17" s="78"/>
      <c r="B17" s="79"/>
      <c r="C17" s="79"/>
      <c r="D17" s="94"/>
      <c r="E17" s="89"/>
      <c r="F17" s="89"/>
      <c r="G17" s="89"/>
      <c r="H17" s="89"/>
      <c r="I17" s="93"/>
      <c r="J17" s="91">
        <f t="shared" si="0"/>
        <v>0</v>
      </c>
    </row>
    <row r="18" spans="1:10" ht="18" x14ac:dyDescent="0.3">
      <c r="A18" s="78"/>
      <c r="B18" s="79"/>
      <c r="C18" s="79"/>
      <c r="D18" s="95"/>
      <c r="E18" s="89"/>
      <c r="F18" s="89"/>
      <c r="G18" s="89"/>
      <c r="H18" s="89"/>
      <c r="I18" s="93"/>
      <c r="J18" s="91">
        <f t="shared" si="0"/>
        <v>0</v>
      </c>
    </row>
    <row r="19" spans="1:10" ht="18" x14ac:dyDescent="0.3">
      <c r="A19" s="78"/>
      <c r="B19" s="79"/>
      <c r="C19" s="79"/>
      <c r="D19" s="88"/>
      <c r="E19" s="89"/>
      <c r="F19" s="89"/>
      <c r="G19" s="89"/>
      <c r="H19" s="89"/>
      <c r="I19" s="90"/>
      <c r="J19" s="91">
        <f t="shared" si="0"/>
        <v>0</v>
      </c>
    </row>
    <row r="20" spans="1:10" ht="18" x14ac:dyDescent="0.3">
      <c r="A20" s="78"/>
      <c r="B20" s="79"/>
      <c r="C20" s="79"/>
      <c r="D20" s="88"/>
      <c r="E20" s="89"/>
      <c r="F20" s="89"/>
      <c r="G20" s="89"/>
      <c r="H20" s="89"/>
      <c r="I20" s="90"/>
      <c r="J20" s="91">
        <f t="shared" si="0"/>
        <v>0</v>
      </c>
    </row>
    <row r="21" spans="1:10" ht="18" x14ac:dyDescent="0.3">
      <c r="A21" s="78"/>
      <c r="B21" s="79"/>
      <c r="C21" s="79"/>
      <c r="D21" s="88"/>
      <c r="E21" s="89"/>
      <c r="F21" s="89"/>
      <c r="G21" s="89"/>
      <c r="H21" s="89"/>
      <c r="I21" s="90"/>
      <c r="J21" s="91">
        <f t="shared" si="0"/>
        <v>0</v>
      </c>
    </row>
    <row r="22" spans="1:10" ht="18" x14ac:dyDescent="0.3">
      <c r="A22" s="78"/>
      <c r="B22" s="79"/>
      <c r="C22" s="79"/>
      <c r="D22" s="94"/>
      <c r="E22" s="89"/>
      <c r="F22" s="89"/>
      <c r="G22" s="89"/>
      <c r="H22" s="89"/>
      <c r="I22" s="93"/>
      <c r="J22" s="91">
        <f t="shared" si="0"/>
        <v>0</v>
      </c>
    </row>
    <row r="23" spans="1:10" ht="18" x14ac:dyDescent="0.3">
      <c r="A23" s="78"/>
      <c r="B23" s="79"/>
      <c r="C23" s="79"/>
      <c r="D23" s="94"/>
      <c r="E23" s="89"/>
      <c r="F23" s="89"/>
      <c r="G23" s="89"/>
      <c r="H23" s="89"/>
      <c r="I23" s="93"/>
      <c r="J23" s="91">
        <f t="shared" si="0"/>
        <v>0</v>
      </c>
    </row>
    <row r="24" spans="1:10" ht="18" x14ac:dyDescent="0.3">
      <c r="A24" s="78"/>
      <c r="B24" s="79"/>
      <c r="C24" s="79"/>
      <c r="D24" s="94"/>
      <c r="E24" s="89"/>
      <c r="F24" s="89"/>
      <c r="G24" s="89"/>
      <c r="H24" s="89"/>
      <c r="I24" s="93"/>
      <c r="J24" s="91">
        <f t="shared" si="0"/>
        <v>0</v>
      </c>
    </row>
    <row r="25" spans="1:10" ht="18" x14ac:dyDescent="0.3">
      <c r="A25" s="78"/>
      <c r="B25" s="79"/>
      <c r="C25" s="79"/>
      <c r="D25" s="94"/>
      <c r="E25" s="89"/>
      <c r="F25" s="89"/>
      <c r="G25" s="89"/>
      <c r="H25" s="89"/>
      <c r="I25" s="93"/>
      <c r="J25" s="91">
        <f t="shared" si="0"/>
        <v>0</v>
      </c>
    </row>
    <row r="26" spans="1:10" ht="18" x14ac:dyDescent="0.3">
      <c r="A26" s="78"/>
      <c r="B26" s="79"/>
      <c r="C26" s="79"/>
      <c r="D26" s="94"/>
      <c r="E26" s="89"/>
      <c r="F26" s="89"/>
      <c r="G26" s="89"/>
      <c r="H26" s="89"/>
      <c r="I26" s="93"/>
      <c r="J26" s="91">
        <f t="shared" si="0"/>
        <v>0</v>
      </c>
    </row>
    <row r="27" spans="1:10" ht="18" x14ac:dyDescent="0.3">
      <c r="A27" s="78"/>
      <c r="B27" s="79"/>
      <c r="C27" s="79"/>
      <c r="D27" s="94"/>
      <c r="E27" s="89"/>
      <c r="F27" s="89"/>
      <c r="G27" s="89"/>
      <c r="H27" s="89"/>
      <c r="I27" s="93"/>
      <c r="J27" s="91">
        <f t="shared" si="0"/>
        <v>0</v>
      </c>
    </row>
    <row r="28" spans="1:10" ht="18" x14ac:dyDescent="0.3">
      <c r="A28" s="78"/>
      <c r="B28" s="79"/>
      <c r="C28" s="79"/>
      <c r="D28" s="94"/>
      <c r="E28" s="89"/>
      <c r="F28" s="89"/>
      <c r="G28" s="89"/>
      <c r="H28" s="89"/>
      <c r="I28" s="93"/>
      <c r="J28" s="91">
        <f t="shared" si="0"/>
        <v>0</v>
      </c>
    </row>
    <row r="29" spans="1:10" ht="18" x14ac:dyDescent="0.3">
      <c r="A29" s="78"/>
      <c r="B29" s="79"/>
      <c r="C29" s="79"/>
      <c r="D29" s="94"/>
      <c r="E29" s="89"/>
      <c r="F29" s="89"/>
      <c r="G29" s="89"/>
      <c r="H29" s="89"/>
      <c r="I29" s="93"/>
      <c r="J29" s="91">
        <f t="shared" si="0"/>
        <v>0</v>
      </c>
    </row>
    <row r="30" spans="1:10" ht="18" x14ac:dyDescent="0.3">
      <c r="A30" s="78"/>
      <c r="B30" s="79"/>
      <c r="C30" s="79"/>
      <c r="D30" s="94"/>
      <c r="E30" s="89"/>
      <c r="F30" s="89"/>
      <c r="G30" s="89"/>
      <c r="H30" s="89"/>
      <c r="I30" s="93"/>
      <c r="J30" s="91">
        <f t="shared" si="0"/>
        <v>0</v>
      </c>
    </row>
    <row r="31" spans="1:10" ht="18" x14ac:dyDescent="0.3">
      <c r="A31" s="78"/>
      <c r="B31" s="79"/>
      <c r="C31" s="79"/>
      <c r="D31" s="94"/>
      <c r="E31" s="89"/>
      <c r="F31" s="89"/>
      <c r="G31" s="89"/>
      <c r="H31" s="89"/>
      <c r="I31" s="93"/>
      <c r="J31" s="91">
        <f t="shared" si="0"/>
        <v>0</v>
      </c>
    </row>
    <row r="32" spans="1:10" ht="18" x14ac:dyDescent="0.3">
      <c r="A32" s="78"/>
      <c r="B32" s="79"/>
      <c r="C32" s="79"/>
      <c r="D32" s="94"/>
      <c r="E32" s="89"/>
      <c r="F32" s="89"/>
      <c r="G32" s="89"/>
      <c r="H32" s="89"/>
      <c r="I32" s="93"/>
      <c r="J32" s="91">
        <f t="shared" si="0"/>
        <v>0</v>
      </c>
    </row>
    <row r="33" spans="1:13" ht="18" x14ac:dyDescent="0.3">
      <c r="A33" s="78"/>
      <c r="B33" s="79"/>
      <c r="C33" s="79"/>
      <c r="D33" s="94"/>
      <c r="E33" s="89"/>
      <c r="F33" s="89"/>
      <c r="G33" s="89"/>
      <c r="H33" s="89"/>
      <c r="I33" s="93"/>
      <c r="J33" s="91">
        <f t="shared" si="0"/>
        <v>0</v>
      </c>
    </row>
    <row r="34" spans="1:13" ht="18" x14ac:dyDescent="0.3">
      <c r="A34" s="78"/>
      <c r="B34" s="79"/>
      <c r="C34" s="79"/>
      <c r="D34" s="94"/>
      <c r="E34" s="89"/>
      <c r="F34" s="89"/>
      <c r="G34" s="89"/>
      <c r="H34" s="89"/>
      <c r="I34" s="93"/>
      <c r="J34" s="91">
        <f t="shared" si="0"/>
        <v>0</v>
      </c>
    </row>
    <row r="35" spans="1:13" ht="18" x14ac:dyDescent="0.3">
      <c r="A35" s="78"/>
      <c r="B35" s="79"/>
      <c r="C35" s="79"/>
      <c r="D35" s="94"/>
      <c r="E35" s="89"/>
      <c r="F35" s="89"/>
      <c r="G35" s="89"/>
      <c r="H35" s="89"/>
      <c r="I35" s="93"/>
      <c r="J35" s="91">
        <f t="shared" si="0"/>
        <v>0</v>
      </c>
    </row>
    <row r="36" spans="1:13" ht="18" x14ac:dyDescent="0.3">
      <c r="A36" s="78"/>
      <c r="B36" s="79"/>
      <c r="C36" s="79"/>
      <c r="D36" s="94"/>
      <c r="E36" s="89"/>
      <c r="F36" s="89"/>
      <c r="G36" s="89"/>
      <c r="H36" s="89"/>
      <c r="I36" s="93"/>
      <c r="J36" s="91">
        <f t="shared" si="0"/>
        <v>0</v>
      </c>
    </row>
    <row r="37" spans="1:13" ht="18" x14ac:dyDescent="0.3">
      <c r="A37" s="78"/>
      <c r="B37" s="79"/>
      <c r="C37" s="79"/>
      <c r="D37" s="94"/>
      <c r="E37" s="89"/>
      <c r="F37" s="89"/>
      <c r="G37" s="89"/>
      <c r="H37" s="89"/>
      <c r="I37" s="93"/>
      <c r="J37" s="91">
        <f t="shared" si="0"/>
        <v>0</v>
      </c>
    </row>
    <row r="38" spans="1:13" ht="18" x14ac:dyDescent="0.3">
      <c r="A38" s="78"/>
      <c r="B38" s="79"/>
      <c r="C38" s="79"/>
      <c r="D38" s="94"/>
      <c r="E38" s="89"/>
      <c r="F38" s="89"/>
      <c r="G38" s="89"/>
      <c r="H38" s="89"/>
      <c r="I38" s="93"/>
      <c r="J38" s="91">
        <f t="shared" si="0"/>
        <v>0</v>
      </c>
    </row>
    <row r="39" spans="1:13" ht="18" x14ac:dyDescent="0.3">
      <c r="A39" s="78"/>
      <c r="B39" s="79"/>
      <c r="C39" s="79"/>
      <c r="D39" s="94"/>
      <c r="E39" s="89"/>
      <c r="F39" s="89"/>
      <c r="G39" s="92"/>
      <c r="H39" s="89"/>
      <c r="I39" s="93"/>
      <c r="J39" s="91"/>
    </row>
    <row r="40" spans="1:13" ht="18" x14ac:dyDescent="0.3">
      <c r="A40" s="78"/>
      <c r="B40" s="79"/>
      <c r="C40" s="79"/>
      <c r="D40" s="94"/>
      <c r="E40" s="89"/>
      <c r="F40" s="89"/>
      <c r="G40" s="92"/>
      <c r="H40" s="89"/>
      <c r="I40" s="93"/>
      <c r="J40" s="91"/>
    </row>
    <row r="41" spans="1:13" ht="18" x14ac:dyDescent="0.3">
      <c r="A41" s="78"/>
      <c r="B41" s="79"/>
      <c r="C41" s="79"/>
      <c r="D41" s="94"/>
      <c r="E41" s="89"/>
      <c r="F41" s="89"/>
      <c r="G41" s="92"/>
      <c r="H41" s="89"/>
      <c r="I41" s="93"/>
      <c r="J41" s="91"/>
    </row>
    <row r="42" spans="1:13" ht="18" x14ac:dyDescent="0.3">
      <c r="A42" s="78"/>
      <c r="B42" s="79"/>
      <c r="C42" s="79"/>
      <c r="D42" s="94"/>
      <c r="E42" s="89"/>
      <c r="F42" s="89"/>
      <c r="G42" s="92"/>
      <c r="H42" s="89"/>
      <c r="I42" s="93"/>
      <c r="J42" s="91"/>
    </row>
    <row r="43" spans="1:13" ht="18" x14ac:dyDescent="0.3">
      <c r="A43" s="78"/>
      <c r="B43" s="79"/>
      <c r="C43" s="79"/>
      <c r="D43" s="94"/>
      <c r="E43" s="89"/>
      <c r="F43" s="89"/>
      <c r="G43" s="92"/>
      <c r="H43" s="89"/>
      <c r="I43" s="93"/>
      <c r="J43" s="91"/>
    </row>
    <row r="44" spans="1:13" ht="18" x14ac:dyDescent="0.3">
      <c r="A44" s="78"/>
      <c r="B44" s="79"/>
      <c r="C44" s="79"/>
      <c r="D44" s="95"/>
      <c r="E44" s="89"/>
      <c r="F44" s="89"/>
      <c r="G44" s="92"/>
      <c r="H44" s="89"/>
      <c r="I44" s="93"/>
      <c r="J44" s="91">
        <f t="shared" si="0"/>
        <v>0</v>
      </c>
    </row>
    <row r="45" spans="1:13" ht="18.75" thickBot="1" x14ac:dyDescent="0.35">
      <c r="A45" s="78"/>
      <c r="B45" s="79"/>
      <c r="C45" s="79"/>
      <c r="D45" s="96"/>
      <c r="E45" s="97"/>
      <c r="F45" s="97"/>
      <c r="G45" s="98"/>
      <c r="H45" s="97"/>
      <c r="I45" s="99"/>
      <c r="J45" s="100">
        <f t="shared" si="0"/>
        <v>0</v>
      </c>
      <c r="M45" s="105"/>
    </row>
    <row r="46" spans="1:13" ht="21" thickBot="1" x14ac:dyDescent="0.35">
      <c r="A46" s="78"/>
      <c r="B46" s="79"/>
      <c r="C46" s="79"/>
      <c r="D46" s="933" t="s">
        <v>10</v>
      </c>
      <c r="E46" s="934"/>
      <c r="F46" s="934"/>
      <c r="G46" s="934"/>
      <c r="H46" s="934"/>
      <c r="I46" s="935"/>
      <c r="J46" s="102">
        <f>ROUND(SUM(J8:J45),2)</f>
        <v>9</v>
      </c>
    </row>
    <row r="47" spans="1:13" ht="21" thickBot="1" x14ac:dyDescent="0.35">
      <c r="A47" s="78"/>
      <c r="B47" s="79"/>
      <c r="C47" s="79"/>
      <c r="D47" s="933" t="s">
        <v>1127</v>
      </c>
      <c r="E47" s="934"/>
      <c r="F47" s="934"/>
      <c r="G47" s="934"/>
      <c r="H47" s="934"/>
      <c r="I47" s="935"/>
      <c r="J47" s="103"/>
    </row>
    <row r="48" spans="1:13" ht="21" thickBot="1" x14ac:dyDescent="0.35">
      <c r="A48" s="78"/>
      <c r="B48" s="79"/>
      <c r="C48" s="101"/>
      <c r="D48" s="933" t="s">
        <v>1128</v>
      </c>
      <c r="E48" s="934"/>
      <c r="F48" s="934"/>
      <c r="G48" s="934"/>
      <c r="H48" s="934"/>
      <c r="I48" s="935"/>
      <c r="J48" s="104">
        <f>+J46-J47</f>
        <v>9</v>
      </c>
    </row>
    <row r="49" spans="1:10" ht="21" thickBot="1" x14ac:dyDescent="0.35">
      <c r="A49" s="936" t="s">
        <v>1129</v>
      </c>
      <c r="B49" s="937"/>
      <c r="C49" s="938"/>
      <c r="D49" s="939" t="s">
        <v>1130</v>
      </c>
      <c r="E49" s="940"/>
      <c r="F49" s="940"/>
      <c r="G49" s="940"/>
      <c r="H49" s="940"/>
      <c r="I49" s="940"/>
      <c r="J49" s="941"/>
    </row>
    <row r="50" spans="1:10" ht="38.25" customHeight="1" thickBot="1" x14ac:dyDescent="0.35">
      <c r="A50" s="942" t="str">
        <f>PPTO!G3</f>
        <v>JUNIO DE 2026</v>
      </c>
      <c r="B50" s="943"/>
      <c r="C50" s="944"/>
      <c r="D50" s="921"/>
      <c r="E50" s="922"/>
      <c r="F50" s="922"/>
      <c r="G50" s="922"/>
      <c r="H50" s="922"/>
      <c r="I50" s="922"/>
      <c r="J50" s="923"/>
    </row>
    <row r="51" spans="1:10" ht="19.5" thickBot="1" x14ac:dyDescent="0.35">
      <c r="A51" s="918"/>
      <c r="B51" s="919"/>
      <c r="C51" s="920"/>
      <c r="D51" s="921" t="s">
        <v>1131</v>
      </c>
      <c r="E51" s="922"/>
      <c r="F51" s="922"/>
      <c r="G51" s="922"/>
      <c r="H51" s="922"/>
      <c r="I51" s="922"/>
      <c r="J51" s="923"/>
    </row>
  </sheetData>
  <mergeCells count="19">
    <mergeCell ref="A2:J2"/>
    <mergeCell ref="A3:J3"/>
    <mergeCell ref="A4:J4"/>
    <mergeCell ref="C5:D5"/>
    <mergeCell ref="G5:H5"/>
    <mergeCell ref="I5:J5"/>
    <mergeCell ref="A51:C51"/>
    <mergeCell ref="D51:J51"/>
    <mergeCell ref="D6:D7"/>
    <mergeCell ref="E6:G6"/>
    <mergeCell ref="I6:I7"/>
    <mergeCell ref="J6:J7"/>
    <mergeCell ref="D46:I46"/>
    <mergeCell ref="D47:I47"/>
    <mergeCell ref="D48:I48"/>
    <mergeCell ref="A49:C49"/>
    <mergeCell ref="D49:J49"/>
    <mergeCell ref="A50:C50"/>
    <mergeCell ref="D50:J50"/>
  </mergeCells>
  <conditionalFormatting sqref="J8:J45">
    <cfRule type="cellIs" dxfId="9" priority="1" operator="equal">
      <formula>0</formula>
    </cfRule>
  </conditionalFormatting>
  <pageMargins left="0.7" right="0.7" top="0.75" bottom="0.75" header="0.3" footer="0.3"/>
  <pageSetup scale="49" orientation="landscape" r:id="rId1"/>
  <drawing r:id="rId2"/>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428DAE-4320-4410-A2F4-F8F945C3100F}">
  <sheetPr>
    <tabColor rgb="FF92D050"/>
    <pageSetUpPr fitToPage="1"/>
  </sheetPr>
  <dimension ref="A1:M52"/>
  <sheetViews>
    <sheetView showOutlineSymbols="0" view="pageBreakPreview" topLeftCell="A21" zoomScale="60" zoomScaleNormal="70" workbookViewId="0">
      <selection activeCell="M47" sqref="M47"/>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29.6" customHeight="1" thickBot="1" x14ac:dyDescent="0.35">
      <c r="A5" s="72" t="s">
        <v>5</v>
      </c>
      <c r="B5" s="73">
        <v>10.4</v>
      </c>
      <c r="C5" s="913" t="str">
        <f>+VLOOKUP(B5,PPTO!B8:G94,2,FALSE)</f>
        <v>Suministr e instalación de Kit para duchas (Rejilla de piso, griferia y todo lo necesario para su correcto funcionamiento)</v>
      </c>
      <c r="D5" s="914"/>
      <c r="E5" s="72" t="s">
        <v>7</v>
      </c>
      <c r="F5" s="74" t="str">
        <f>+VLOOKUP(B5,PPTO!B8:G94,3,FALSE)</f>
        <v>UN</v>
      </c>
      <c r="G5" s="915" t="s">
        <v>1120</v>
      </c>
      <c r="H5" s="915"/>
      <c r="I5" s="916">
        <f>+VLOOKUP(B5,PPTO!B8:G94,5,FALSE)</f>
        <v>358014.66368249565</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8" x14ac:dyDescent="0.3">
      <c r="A8" s="78"/>
      <c r="B8" s="79"/>
      <c r="C8" s="79"/>
      <c r="D8" s="88" t="s">
        <v>1242</v>
      </c>
      <c r="E8" s="89"/>
      <c r="F8" s="89"/>
      <c r="G8" s="89"/>
      <c r="H8" s="89"/>
      <c r="I8" s="90">
        <v>1</v>
      </c>
      <c r="J8" s="91">
        <f t="shared" ref="J8:J46" si="0">+PRODUCT(E8:I8)</f>
        <v>1</v>
      </c>
    </row>
    <row r="9" spans="1:10" ht="18" x14ac:dyDescent="0.3">
      <c r="A9" s="78"/>
      <c r="B9" s="79"/>
      <c r="C9" s="79"/>
      <c r="D9" s="94" t="s">
        <v>1248</v>
      </c>
      <c r="E9" s="89"/>
      <c r="F9" s="89"/>
      <c r="G9" s="89"/>
      <c r="H9" s="89"/>
      <c r="I9" s="93">
        <v>1</v>
      </c>
      <c r="J9" s="91">
        <f t="shared" si="0"/>
        <v>1</v>
      </c>
    </row>
    <row r="10" spans="1:10" ht="18" x14ac:dyDescent="0.3">
      <c r="A10" s="78"/>
      <c r="B10" s="79"/>
      <c r="C10" s="79"/>
      <c r="D10" s="94"/>
      <c r="E10" s="89"/>
      <c r="F10" s="89"/>
      <c r="G10" s="89"/>
      <c r="H10" s="89"/>
      <c r="I10" s="93"/>
      <c r="J10" s="91">
        <f t="shared" si="0"/>
        <v>0</v>
      </c>
    </row>
    <row r="11" spans="1:10" ht="18" x14ac:dyDescent="0.3">
      <c r="A11" s="78"/>
      <c r="B11" s="79"/>
      <c r="C11" s="79"/>
      <c r="D11" s="94"/>
      <c r="E11" s="89"/>
      <c r="F11" s="89"/>
      <c r="G11" s="89"/>
      <c r="H11" s="89"/>
      <c r="I11" s="93"/>
      <c r="J11" s="91">
        <f t="shared" si="0"/>
        <v>0</v>
      </c>
    </row>
    <row r="12" spans="1:10" ht="18" x14ac:dyDescent="0.3">
      <c r="A12" s="78"/>
      <c r="B12" s="79"/>
      <c r="C12" s="79"/>
      <c r="D12" s="94"/>
      <c r="E12" s="89"/>
      <c r="F12" s="89"/>
      <c r="G12" s="89"/>
      <c r="H12" s="89"/>
      <c r="I12" s="93"/>
      <c r="J12" s="91">
        <f t="shared" si="0"/>
        <v>0</v>
      </c>
    </row>
    <row r="13" spans="1:10" ht="18" x14ac:dyDescent="0.3">
      <c r="A13" s="78"/>
      <c r="B13" s="79"/>
      <c r="C13" s="79"/>
      <c r="D13" s="94"/>
      <c r="E13" s="89"/>
      <c r="F13" s="89"/>
      <c r="G13" s="89"/>
      <c r="H13" s="89"/>
      <c r="I13" s="93"/>
      <c r="J13" s="91">
        <f t="shared" si="0"/>
        <v>0</v>
      </c>
    </row>
    <row r="14" spans="1:10" ht="18" x14ac:dyDescent="0.3">
      <c r="A14" s="78"/>
      <c r="B14" s="79"/>
      <c r="C14" s="79"/>
      <c r="D14" s="94"/>
      <c r="E14" s="89"/>
      <c r="F14" s="89"/>
      <c r="G14" s="89"/>
      <c r="H14" s="89"/>
      <c r="I14" s="93"/>
      <c r="J14" s="91">
        <f t="shared" si="0"/>
        <v>0</v>
      </c>
    </row>
    <row r="15" spans="1:10" ht="18" x14ac:dyDescent="0.3">
      <c r="A15" s="78"/>
      <c r="B15" s="79"/>
      <c r="C15" s="79"/>
      <c r="D15" s="94"/>
      <c r="E15" s="89"/>
      <c r="F15" s="89"/>
      <c r="G15" s="89"/>
      <c r="H15" s="89"/>
      <c r="I15" s="93"/>
      <c r="J15" s="91">
        <f t="shared" si="0"/>
        <v>0</v>
      </c>
    </row>
    <row r="16" spans="1:10" ht="18" x14ac:dyDescent="0.3">
      <c r="A16" s="78"/>
      <c r="B16" s="79"/>
      <c r="C16" s="79"/>
      <c r="D16" s="94"/>
      <c r="E16" s="89"/>
      <c r="F16" s="89"/>
      <c r="G16" s="89"/>
      <c r="H16" s="89"/>
      <c r="I16" s="93"/>
      <c r="J16" s="91">
        <f t="shared" si="0"/>
        <v>0</v>
      </c>
    </row>
    <row r="17" spans="1:10" ht="18" x14ac:dyDescent="0.3">
      <c r="A17" s="78"/>
      <c r="B17" s="79"/>
      <c r="C17" s="79"/>
      <c r="D17" s="94"/>
      <c r="E17" s="89"/>
      <c r="F17" s="89"/>
      <c r="G17" s="89"/>
      <c r="H17" s="89"/>
      <c r="I17" s="93"/>
      <c r="J17" s="91">
        <f t="shared" si="0"/>
        <v>0</v>
      </c>
    </row>
    <row r="18" spans="1:10" ht="18" x14ac:dyDescent="0.3">
      <c r="A18" s="78"/>
      <c r="B18" s="79"/>
      <c r="C18" s="79"/>
      <c r="D18" s="94"/>
      <c r="E18" s="89"/>
      <c r="F18" s="89"/>
      <c r="G18" s="89"/>
      <c r="H18" s="89"/>
      <c r="I18" s="93"/>
      <c r="J18" s="91">
        <f t="shared" si="0"/>
        <v>0</v>
      </c>
    </row>
    <row r="19" spans="1:10" ht="18" x14ac:dyDescent="0.3">
      <c r="A19" s="78"/>
      <c r="B19" s="79"/>
      <c r="C19" s="79"/>
      <c r="D19" s="95"/>
      <c r="E19" s="89"/>
      <c r="F19" s="89"/>
      <c r="G19" s="89"/>
      <c r="H19" s="89"/>
      <c r="I19" s="93"/>
      <c r="J19" s="91">
        <f t="shared" si="0"/>
        <v>0</v>
      </c>
    </row>
    <row r="20" spans="1:10" ht="18" x14ac:dyDescent="0.3">
      <c r="A20" s="78"/>
      <c r="B20" s="79"/>
      <c r="C20" s="79"/>
      <c r="D20" s="88"/>
      <c r="E20" s="89"/>
      <c r="F20" s="89"/>
      <c r="G20" s="89"/>
      <c r="H20" s="89"/>
      <c r="I20" s="90"/>
      <c r="J20" s="91">
        <f t="shared" si="0"/>
        <v>0</v>
      </c>
    </row>
    <row r="21" spans="1:10" ht="18" x14ac:dyDescent="0.3">
      <c r="A21" s="78"/>
      <c r="B21" s="79"/>
      <c r="C21" s="79"/>
      <c r="D21" s="88"/>
      <c r="E21" s="89"/>
      <c r="F21" s="89"/>
      <c r="G21" s="89"/>
      <c r="H21" s="89"/>
      <c r="I21" s="90"/>
      <c r="J21" s="91">
        <f t="shared" si="0"/>
        <v>0</v>
      </c>
    </row>
    <row r="22" spans="1:10" ht="18" x14ac:dyDescent="0.3">
      <c r="A22" s="78"/>
      <c r="B22" s="79"/>
      <c r="C22" s="79"/>
      <c r="D22" s="88"/>
      <c r="E22" s="89"/>
      <c r="F22" s="89"/>
      <c r="G22" s="89"/>
      <c r="H22" s="89"/>
      <c r="I22" s="90"/>
      <c r="J22" s="91">
        <f t="shared" si="0"/>
        <v>0</v>
      </c>
    </row>
    <row r="23" spans="1:10" ht="18" x14ac:dyDescent="0.3">
      <c r="A23" s="78"/>
      <c r="B23" s="79"/>
      <c r="C23" s="79"/>
      <c r="D23" s="94"/>
      <c r="E23" s="89"/>
      <c r="F23" s="89"/>
      <c r="G23" s="89"/>
      <c r="H23" s="89"/>
      <c r="I23" s="93"/>
      <c r="J23" s="91">
        <f t="shared" si="0"/>
        <v>0</v>
      </c>
    </row>
    <row r="24" spans="1:10" ht="18" x14ac:dyDescent="0.3">
      <c r="A24" s="78"/>
      <c r="B24" s="79"/>
      <c r="C24" s="79"/>
      <c r="D24" s="94"/>
      <c r="E24" s="89"/>
      <c r="F24" s="89"/>
      <c r="G24" s="89"/>
      <c r="H24" s="89"/>
      <c r="I24" s="93"/>
      <c r="J24" s="91">
        <f t="shared" si="0"/>
        <v>0</v>
      </c>
    </row>
    <row r="25" spans="1:10" ht="18" x14ac:dyDescent="0.3">
      <c r="A25" s="78"/>
      <c r="B25" s="79"/>
      <c r="C25" s="79"/>
      <c r="D25" s="94"/>
      <c r="E25" s="89"/>
      <c r="F25" s="89"/>
      <c r="G25" s="89"/>
      <c r="H25" s="89"/>
      <c r="I25" s="93"/>
      <c r="J25" s="91">
        <f t="shared" si="0"/>
        <v>0</v>
      </c>
    </row>
    <row r="26" spans="1:10" ht="18" x14ac:dyDescent="0.3">
      <c r="A26" s="78"/>
      <c r="B26" s="79"/>
      <c r="C26" s="79"/>
      <c r="D26" s="94"/>
      <c r="E26" s="89"/>
      <c r="F26" s="89"/>
      <c r="G26" s="89"/>
      <c r="H26" s="89"/>
      <c r="I26" s="93"/>
      <c r="J26" s="91">
        <f t="shared" si="0"/>
        <v>0</v>
      </c>
    </row>
    <row r="27" spans="1:10" ht="18" x14ac:dyDescent="0.3">
      <c r="A27" s="78"/>
      <c r="B27" s="79"/>
      <c r="C27" s="79"/>
      <c r="D27" s="94"/>
      <c r="E27" s="89"/>
      <c r="F27" s="89"/>
      <c r="G27" s="89"/>
      <c r="H27" s="89"/>
      <c r="I27" s="93"/>
      <c r="J27" s="91">
        <f t="shared" si="0"/>
        <v>0</v>
      </c>
    </row>
    <row r="28" spans="1:10" ht="18" x14ac:dyDescent="0.3">
      <c r="A28" s="78"/>
      <c r="B28" s="79"/>
      <c r="C28" s="79"/>
      <c r="D28" s="94"/>
      <c r="E28" s="89"/>
      <c r="F28" s="89"/>
      <c r="G28" s="89"/>
      <c r="H28" s="89"/>
      <c r="I28" s="93"/>
      <c r="J28" s="91">
        <f t="shared" si="0"/>
        <v>0</v>
      </c>
    </row>
    <row r="29" spans="1:10" ht="18" x14ac:dyDescent="0.3">
      <c r="A29" s="78"/>
      <c r="B29" s="79"/>
      <c r="C29" s="79"/>
      <c r="D29" s="94"/>
      <c r="E29" s="89"/>
      <c r="F29" s="89"/>
      <c r="G29" s="89"/>
      <c r="H29" s="89"/>
      <c r="I29" s="93"/>
      <c r="J29" s="91">
        <f t="shared" si="0"/>
        <v>0</v>
      </c>
    </row>
    <row r="30" spans="1:10" ht="18" x14ac:dyDescent="0.3">
      <c r="A30" s="78"/>
      <c r="B30" s="79"/>
      <c r="C30" s="79"/>
      <c r="D30" s="94"/>
      <c r="E30" s="89"/>
      <c r="F30" s="89"/>
      <c r="G30" s="89"/>
      <c r="H30" s="89"/>
      <c r="I30" s="93"/>
      <c r="J30" s="91">
        <f t="shared" si="0"/>
        <v>0</v>
      </c>
    </row>
    <row r="31" spans="1:10" ht="18" x14ac:dyDescent="0.3">
      <c r="A31" s="78"/>
      <c r="B31" s="79"/>
      <c r="C31" s="79"/>
      <c r="D31" s="94"/>
      <c r="E31" s="89"/>
      <c r="F31" s="89"/>
      <c r="G31" s="89"/>
      <c r="H31" s="89"/>
      <c r="I31" s="93"/>
      <c r="J31" s="91">
        <f t="shared" si="0"/>
        <v>0</v>
      </c>
    </row>
    <row r="32" spans="1:10" ht="18" x14ac:dyDescent="0.3">
      <c r="A32" s="78"/>
      <c r="B32" s="79"/>
      <c r="C32" s="79"/>
      <c r="D32" s="94"/>
      <c r="E32" s="89"/>
      <c r="F32" s="89"/>
      <c r="G32" s="89"/>
      <c r="H32" s="89"/>
      <c r="I32" s="93"/>
      <c r="J32" s="91">
        <f t="shared" si="0"/>
        <v>0</v>
      </c>
    </row>
    <row r="33" spans="1:13" ht="18" x14ac:dyDescent="0.3">
      <c r="A33" s="78"/>
      <c r="B33" s="79"/>
      <c r="C33" s="79"/>
      <c r="D33" s="94"/>
      <c r="E33" s="89"/>
      <c r="F33" s="89"/>
      <c r="G33" s="89"/>
      <c r="H33" s="89"/>
      <c r="I33" s="93"/>
      <c r="J33" s="91">
        <f t="shared" si="0"/>
        <v>0</v>
      </c>
    </row>
    <row r="34" spans="1:13" ht="18" x14ac:dyDescent="0.3">
      <c r="A34" s="78"/>
      <c r="B34" s="79"/>
      <c r="C34" s="79"/>
      <c r="D34" s="94"/>
      <c r="E34" s="89"/>
      <c r="F34" s="89"/>
      <c r="G34" s="89"/>
      <c r="H34" s="89"/>
      <c r="I34" s="93"/>
      <c r="J34" s="91">
        <f t="shared" si="0"/>
        <v>0</v>
      </c>
    </row>
    <row r="35" spans="1:13" ht="18" x14ac:dyDescent="0.3">
      <c r="A35" s="78"/>
      <c r="B35" s="79"/>
      <c r="C35" s="79"/>
      <c r="D35" s="94"/>
      <c r="E35" s="89"/>
      <c r="F35" s="89"/>
      <c r="G35" s="89"/>
      <c r="H35" s="89"/>
      <c r="I35" s="93"/>
      <c r="J35" s="91">
        <f t="shared" si="0"/>
        <v>0</v>
      </c>
    </row>
    <row r="36" spans="1:13" ht="18" x14ac:dyDescent="0.3">
      <c r="A36" s="78"/>
      <c r="B36" s="79"/>
      <c r="C36" s="79"/>
      <c r="D36" s="94"/>
      <c r="E36" s="89"/>
      <c r="F36" s="89"/>
      <c r="G36" s="89"/>
      <c r="H36" s="89"/>
      <c r="I36" s="93"/>
      <c r="J36" s="91">
        <f t="shared" si="0"/>
        <v>0</v>
      </c>
    </row>
    <row r="37" spans="1:13" ht="18" x14ac:dyDescent="0.3">
      <c r="A37" s="78"/>
      <c r="B37" s="79"/>
      <c r="C37" s="79"/>
      <c r="D37" s="94"/>
      <c r="E37" s="89"/>
      <c r="F37" s="89"/>
      <c r="G37" s="89"/>
      <c r="H37" s="89"/>
      <c r="I37" s="93"/>
      <c r="J37" s="91">
        <f t="shared" si="0"/>
        <v>0</v>
      </c>
    </row>
    <row r="38" spans="1:13" ht="18" x14ac:dyDescent="0.3">
      <c r="A38" s="78"/>
      <c r="B38" s="79"/>
      <c r="C38" s="79"/>
      <c r="D38" s="94"/>
      <c r="E38" s="89"/>
      <c r="F38" s="89"/>
      <c r="G38" s="89"/>
      <c r="H38" s="89"/>
      <c r="I38" s="93"/>
      <c r="J38" s="91">
        <f t="shared" si="0"/>
        <v>0</v>
      </c>
    </row>
    <row r="39" spans="1:13" ht="18" x14ac:dyDescent="0.3">
      <c r="A39" s="78"/>
      <c r="B39" s="79"/>
      <c r="C39" s="79"/>
      <c r="D39" s="94"/>
      <c r="E39" s="89"/>
      <c r="F39" s="89"/>
      <c r="G39" s="89"/>
      <c r="H39" s="89"/>
      <c r="I39" s="93"/>
      <c r="J39" s="91">
        <f t="shared" si="0"/>
        <v>0</v>
      </c>
    </row>
    <row r="40" spans="1:13" ht="18" x14ac:dyDescent="0.3">
      <c r="A40" s="78"/>
      <c r="B40" s="79"/>
      <c r="C40" s="79"/>
      <c r="D40" s="94"/>
      <c r="E40" s="89"/>
      <c r="F40" s="89"/>
      <c r="G40" s="92"/>
      <c r="H40" s="89"/>
      <c r="I40" s="93"/>
      <c r="J40" s="91"/>
    </row>
    <row r="41" spans="1:13" ht="18" x14ac:dyDescent="0.3">
      <c r="A41" s="78"/>
      <c r="B41" s="79"/>
      <c r="C41" s="79"/>
      <c r="D41" s="94"/>
      <c r="E41" s="89"/>
      <c r="F41" s="89"/>
      <c r="G41" s="92"/>
      <c r="H41" s="89"/>
      <c r="I41" s="93"/>
      <c r="J41" s="91"/>
    </row>
    <row r="42" spans="1:13" ht="18" x14ac:dyDescent="0.3">
      <c r="A42" s="78"/>
      <c r="B42" s="79"/>
      <c r="C42" s="79"/>
      <c r="D42" s="94"/>
      <c r="E42" s="89"/>
      <c r="F42" s="89"/>
      <c r="G42" s="92"/>
      <c r="H42" s="89"/>
      <c r="I42" s="93"/>
      <c r="J42" s="91"/>
    </row>
    <row r="43" spans="1:13" ht="18" x14ac:dyDescent="0.3">
      <c r="A43" s="78"/>
      <c r="B43" s="79"/>
      <c r="C43" s="79"/>
      <c r="D43" s="94"/>
      <c r="E43" s="89"/>
      <c r="F43" s="89"/>
      <c r="G43" s="92"/>
      <c r="H43" s="89"/>
      <c r="I43" s="93"/>
      <c r="J43" s="91"/>
    </row>
    <row r="44" spans="1:13" ht="18" x14ac:dyDescent="0.3">
      <c r="A44" s="78"/>
      <c r="B44" s="79"/>
      <c r="C44" s="79"/>
      <c r="D44" s="94"/>
      <c r="E44" s="89"/>
      <c r="F44" s="89"/>
      <c r="G44" s="92"/>
      <c r="H44" s="89"/>
      <c r="I44" s="93"/>
      <c r="J44" s="91"/>
    </row>
    <row r="45" spans="1:13" ht="18" x14ac:dyDescent="0.3">
      <c r="A45" s="78"/>
      <c r="B45" s="79"/>
      <c r="C45" s="79"/>
      <c r="D45" s="95"/>
      <c r="E45" s="89"/>
      <c r="F45" s="89"/>
      <c r="G45" s="92"/>
      <c r="H45" s="89"/>
      <c r="I45" s="93"/>
      <c r="J45" s="91">
        <f t="shared" si="0"/>
        <v>0</v>
      </c>
    </row>
    <row r="46" spans="1:13" ht="18.75" thickBot="1" x14ac:dyDescent="0.35">
      <c r="A46" s="78"/>
      <c r="B46" s="79"/>
      <c r="C46" s="79"/>
      <c r="D46" s="96"/>
      <c r="E46" s="97"/>
      <c r="F46" s="97"/>
      <c r="G46" s="98"/>
      <c r="H46" s="97"/>
      <c r="I46" s="99"/>
      <c r="J46" s="100">
        <f t="shared" si="0"/>
        <v>0</v>
      </c>
      <c r="M46" s="105"/>
    </row>
    <row r="47" spans="1:13" ht="21" thickBot="1" x14ac:dyDescent="0.35">
      <c r="A47" s="78"/>
      <c r="B47" s="79"/>
      <c r="C47" s="79"/>
      <c r="D47" s="933" t="s">
        <v>10</v>
      </c>
      <c r="E47" s="934"/>
      <c r="F47" s="934"/>
      <c r="G47" s="934"/>
      <c r="H47" s="934"/>
      <c r="I47" s="935"/>
      <c r="J47" s="102">
        <f>ROUND(SUM(J8:J46),2)</f>
        <v>2</v>
      </c>
    </row>
    <row r="48" spans="1:13" ht="21" thickBot="1" x14ac:dyDescent="0.35">
      <c r="A48" s="78"/>
      <c r="B48" s="79"/>
      <c r="C48" s="79"/>
      <c r="D48" s="933" t="s">
        <v>1127</v>
      </c>
      <c r="E48" s="934"/>
      <c r="F48" s="934"/>
      <c r="G48" s="934"/>
      <c r="H48" s="934"/>
      <c r="I48" s="935"/>
      <c r="J48" s="103"/>
    </row>
    <row r="49" spans="1:10" ht="21" thickBot="1" x14ac:dyDescent="0.35">
      <c r="A49" s="78"/>
      <c r="B49" s="79"/>
      <c r="C49" s="101"/>
      <c r="D49" s="933" t="s">
        <v>1128</v>
      </c>
      <c r="E49" s="934"/>
      <c r="F49" s="934"/>
      <c r="G49" s="934"/>
      <c r="H49" s="934"/>
      <c r="I49" s="935"/>
      <c r="J49" s="104">
        <f>+J47-J48</f>
        <v>2</v>
      </c>
    </row>
    <row r="50" spans="1:10" ht="21" thickBot="1" x14ac:dyDescent="0.35">
      <c r="A50" s="936" t="s">
        <v>1129</v>
      </c>
      <c r="B50" s="937"/>
      <c r="C50" s="938"/>
      <c r="D50" s="939" t="s">
        <v>1130</v>
      </c>
      <c r="E50" s="940"/>
      <c r="F50" s="940"/>
      <c r="G50" s="940"/>
      <c r="H50" s="940"/>
      <c r="I50" s="940"/>
      <c r="J50" s="941"/>
    </row>
    <row r="51" spans="1:10" ht="38.25" customHeight="1" thickBot="1" x14ac:dyDescent="0.35">
      <c r="A51" s="942" t="str">
        <f>PPTO!G3</f>
        <v>JUNIO DE 2026</v>
      </c>
      <c r="B51" s="943"/>
      <c r="C51" s="944"/>
      <c r="D51" s="921"/>
      <c r="E51" s="922"/>
      <c r="F51" s="922"/>
      <c r="G51" s="922"/>
      <c r="H51" s="922"/>
      <c r="I51" s="922"/>
      <c r="J51" s="923"/>
    </row>
    <row r="52" spans="1:10" ht="19.5" thickBot="1" x14ac:dyDescent="0.35">
      <c r="A52" s="918"/>
      <c r="B52" s="919"/>
      <c r="C52" s="920"/>
      <c r="D52" s="921" t="s">
        <v>1131</v>
      </c>
      <c r="E52" s="922"/>
      <c r="F52" s="922"/>
      <c r="G52" s="922"/>
      <c r="H52" s="922"/>
      <c r="I52" s="922"/>
      <c r="J52" s="923"/>
    </row>
  </sheetData>
  <mergeCells count="19">
    <mergeCell ref="A2:J2"/>
    <mergeCell ref="A3:J3"/>
    <mergeCell ref="A4:J4"/>
    <mergeCell ref="C5:D5"/>
    <mergeCell ref="G5:H5"/>
    <mergeCell ref="I5:J5"/>
    <mergeCell ref="A52:C52"/>
    <mergeCell ref="D52:J52"/>
    <mergeCell ref="D6:D7"/>
    <mergeCell ref="E6:G6"/>
    <mergeCell ref="I6:I7"/>
    <mergeCell ref="J6:J7"/>
    <mergeCell ref="D47:I47"/>
    <mergeCell ref="D48:I48"/>
    <mergeCell ref="D49:I49"/>
    <mergeCell ref="A50:C50"/>
    <mergeCell ref="D50:J50"/>
    <mergeCell ref="A51:C51"/>
    <mergeCell ref="D51:J51"/>
  </mergeCells>
  <conditionalFormatting sqref="J8:J46">
    <cfRule type="cellIs" dxfId="8" priority="1" operator="equal">
      <formula>0</formula>
    </cfRule>
  </conditionalFormatting>
  <pageMargins left="0.7" right="0.7" top="0.75" bottom="0.75" header="0.3" footer="0.3"/>
  <pageSetup scale="49" orientation="landscape" r:id="rId1"/>
  <drawing r:id="rId2"/>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E0AB52-3B56-4CB7-A7E6-1C8F9A491D0D}">
  <sheetPr>
    <tabColor rgb="FF92D050"/>
    <pageSetUpPr fitToPage="1"/>
  </sheetPr>
  <dimension ref="A1:M52"/>
  <sheetViews>
    <sheetView showOutlineSymbols="0" view="pageBreakPreview" topLeftCell="A18" zoomScale="60" zoomScaleNormal="70" workbookViewId="0">
      <selection activeCell="M47" sqref="M47"/>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53" t="s">
        <v>8</v>
      </c>
      <c r="B2" s="954"/>
      <c r="C2" s="954"/>
      <c r="D2" s="954"/>
      <c r="E2" s="954"/>
      <c r="F2" s="954"/>
      <c r="G2" s="954"/>
      <c r="H2" s="954"/>
      <c r="I2" s="954"/>
      <c r="J2" s="955"/>
    </row>
    <row r="3" spans="1:10" ht="38.25" customHeight="1" thickBot="1" x14ac:dyDescent="0.35">
      <c r="A3" s="956" t="str">
        <f>PPTO!C3</f>
        <v xml:space="preserve">MUNICIPIO DE SAN ROQUE - ANTIOQUIA, CORREGIMIENTO DE SAN JOSÉ DEL NÚS. </v>
      </c>
      <c r="B3" s="957"/>
      <c r="C3" s="957"/>
      <c r="D3" s="957"/>
      <c r="E3" s="957"/>
      <c r="F3" s="957"/>
      <c r="G3" s="957"/>
      <c r="H3" s="957"/>
      <c r="I3" s="957"/>
      <c r="J3" s="958"/>
    </row>
    <row r="4" spans="1:10" ht="38.25" customHeight="1" thickBot="1" x14ac:dyDescent="0.35">
      <c r="A4" s="956" t="str">
        <f>PPTO!C4</f>
        <v xml:space="preserve">CONSTRUCCIÓN DE CENTRO DIA - MUNICIPIO DE SAN ROQUE </v>
      </c>
      <c r="B4" s="957"/>
      <c r="C4" s="957"/>
      <c r="D4" s="957"/>
      <c r="E4" s="957"/>
      <c r="F4" s="957"/>
      <c r="G4" s="957"/>
      <c r="H4" s="957"/>
      <c r="I4" s="957"/>
      <c r="J4" s="958"/>
    </row>
    <row r="5" spans="1:10" ht="129.6" customHeight="1" thickBot="1" x14ac:dyDescent="0.35">
      <c r="A5" s="72" t="s">
        <v>5</v>
      </c>
      <c r="B5" s="73">
        <v>10.5</v>
      </c>
      <c r="C5" s="913" t="str">
        <f>+VLOOKUP(B5,PPTO!B8:G94,2,FALSE)</f>
        <v>Suministro e instalación de Lava escobas prefabricado de 70x70x25cm Granito y cemento blanco (incluye llave boca manguera)</v>
      </c>
      <c r="D5" s="914"/>
      <c r="E5" s="72" t="s">
        <v>7</v>
      </c>
      <c r="F5" s="74" t="str">
        <f>+VLOOKUP(B5,PPTO!B8:G94,3,FALSE)</f>
        <v>UN</v>
      </c>
      <c r="G5" s="915" t="s">
        <v>1120</v>
      </c>
      <c r="H5" s="915"/>
      <c r="I5" s="916">
        <f>+VLOOKUP(B5,PPTO!B8:G94,5,FALSE)</f>
        <v>356439.39358291449</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8" x14ac:dyDescent="0.3">
      <c r="A8" s="78"/>
      <c r="B8" s="79"/>
      <c r="C8" s="79"/>
      <c r="D8" s="94" t="s">
        <v>1249</v>
      </c>
      <c r="E8" s="89"/>
      <c r="F8" s="89"/>
      <c r="G8" s="89"/>
      <c r="H8" s="89"/>
      <c r="I8" s="93">
        <v>1</v>
      </c>
      <c r="J8" s="91">
        <f t="shared" ref="J8" si="0">+PRODUCT(E8:I8)</f>
        <v>1</v>
      </c>
    </row>
    <row r="9" spans="1:10" ht="18" x14ac:dyDescent="0.3">
      <c r="A9" s="78"/>
      <c r="B9" s="79"/>
      <c r="C9" s="79"/>
      <c r="D9" s="94"/>
      <c r="E9" s="89"/>
      <c r="F9" s="89"/>
      <c r="G9" s="89"/>
      <c r="H9" s="89"/>
      <c r="I9" s="93"/>
      <c r="J9" s="91"/>
    </row>
    <row r="10" spans="1:10" ht="18" x14ac:dyDescent="0.3">
      <c r="A10" s="78"/>
      <c r="B10" s="79"/>
      <c r="C10" s="79"/>
      <c r="D10" s="94"/>
      <c r="E10" s="89"/>
      <c r="F10" s="89"/>
      <c r="G10" s="89"/>
      <c r="H10" s="89"/>
      <c r="I10" s="93"/>
      <c r="J10" s="91"/>
    </row>
    <row r="11" spans="1:10" ht="18" x14ac:dyDescent="0.3">
      <c r="A11" s="78"/>
      <c r="B11" s="79"/>
      <c r="C11" s="79"/>
      <c r="D11" s="94"/>
      <c r="E11" s="89"/>
      <c r="F11" s="89"/>
      <c r="G11" s="89"/>
      <c r="H11" s="89"/>
      <c r="I11" s="93"/>
      <c r="J11" s="91"/>
    </row>
    <row r="12" spans="1:10" ht="18" x14ac:dyDescent="0.3">
      <c r="A12" s="78"/>
      <c r="B12" s="79"/>
      <c r="C12" s="79"/>
      <c r="D12" s="94"/>
      <c r="E12" s="89"/>
      <c r="F12" s="89"/>
      <c r="G12" s="89"/>
      <c r="H12" s="89"/>
      <c r="I12" s="93"/>
      <c r="J12" s="91">
        <f t="shared" ref="J12:J46" si="1">+PRODUCT(E12:I12)</f>
        <v>0</v>
      </c>
    </row>
    <row r="13" spans="1:10" ht="18" x14ac:dyDescent="0.3">
      <c r="A13" s="78"/>
      <c r="B13" s="79"/>
      <c r="C13" s="79"/>
      <c r="D13" s="94"/>
      <c r="E13" s="89"/>
      <c r="F13" s="89"/>
      <c r="G13" s="89"/>
      <c r="H13" s="89"/>
      <c r="I13" s="93"/>
      <c r="J13" s="91">
        <f t="shared" si="1"/>
        <v>0</v>
      </c>
    </row>
    <row r="14" spans="1:10" ht="18" x14ac:dyDescent="0.3">
      <c r="A14" s="78"/>
      <c r="B14" s="79"/>
      <c r="C14" s="79"/>
      <c r="D14" s="94"/>
      <c r="E14" s="89"/>
      <c r="F14" s="89"/>
      <c r="G14" s="89"/>
      <c r="H14" s="89"/>
      <c r="I14" s="93"/>
      <c r="J14" s="91">
        <f t="shared" si="1"/>
        <v>0</v>
      </c>
    </row>
    <row r="15" spans="1:10" ht="18" x14ac:dyDescent="0.3">
      <c r="A15" s="78"/>
      <c r="B15" s="79"/>
      <c r="C15" s="79"/>
      <c r="D15" s="94"/>
      <c r="E15" s="89"/>
      <c r="F15" s="89"/>
      <c r="G15" s="89"/>
      <c r="H15" s="89"/>
      <c r="I15" s="93"/>
      <c r="J15" s="91">
        <f t="shared" si="1"/>
        <v>0</v>
      </c>
    </row>
    <row r="16" spans="1:10" ht="18" x14ac:dyDescent="0.3">
      <c r="A16" s="78"/>
      <c r="B16" s="79"/>
      <c r="C16" s="79"/>
      <c r="D16" s="94"/>
      <c r="E16" s="89"/>
      <c r="F16" s="89"/>
      <c r="G16" s="89"/>
      <c r="H16" s="89"/>
      <c r="I16" s="93"/>
      <c r="J16" s="91">
        <f t="shared" si="1"/>
        <v>0</v>
      </c>
    </row>
    <row r="17" spans="1:10" ht="18" x14ac:dyDescent="0.3">
      <c r="A17" s="78"/>
      <c r="B17" s="79"/>
      <c r="C17" s="79"/>
      <c r="D17" s="94"/>
      <c r="E17" s="89"/>
      <c r="F17" s="89"/>
      <c r="G17" s="89"/>
      <c r="H17" s="89"/>
      <c r="I17" s="93"/>
      <c r="J17" s="91">
        <f t="shared" si="1"/>
        <v>0</v>
      </c>
    </row>
    <row r="18" spans="1:10" ht="18" x14ac:dyDescent="0.3">
      <c r="A18" s="78"/>
      <c r="B18" s="79"/>
      <c r="C18" s="79"/>
      <c r="D18" s="94"/>
      <c r="E18" s="89"/>
      <c r="F18" s="89"/>
      <c r="G18" s="89"/>
      <c r="H18" s="89"/>
      <c r="I18" s="93"/>
      <c r="J18" s="91">
        <f t="shared" si="1"/>
        <v>0</v>
      </c>
    </row>
    <row r="19" spans="1:10" ht="18" x14ac:dyDescent="0.3">
      <c r="A19" s="78"/>
      <c r="B19" s="79"/>
      <c r="C19" s="79"/>
      <c r="D19" s="95"/>
      <c r="E19" s="89"/>
      <c r="F19" s="89"/>
      <c r="G19" s="89"/>
      <c r="H19" s="89"/>
      <c r="I19" s="93"/>
      <c r="J19" s="91">
        <f t="shared" si="1"/>
        <v>0</v>
      </c>
    </row>
    <row r="20" spans="1:10" ht="18" x14ac:dyDescent="0.3">
      <c r="A20" s="78"/>
      <c r="B20" s="79"/>
      <c r="C20" s="79"/>
      <c r="D20" s="88"/>
      <c r="E20" s="89"/>
      <c r="F20" s="89"/>
      <c r="G20" s="89"/>
      <c r="H20" s="89"/>
      <c r="I20" s="90"/>
      <c r="J20" s="91">
        <f t="shared" si="1"/>
        <v>0</v>
      </c>
    </row>
    <row r="21" spans="1:10" ht="18" x14ac:dyDescent="0.3">
      <c r="A21" s="78"/>
      <c r="B21" s="79"/>
      <c r="C21" s="79"/>
      <c r="D21" s="88"/>
      <c r="E21" s="89"/>
      <c r="F21" s="89"/>
      <c r="G21" s="89"/>
      <c r="H21" s="89"/>
      <c r="I21" s="90"/>
      <c r="J21" s="91">
        <f t="shared" si="1"/>
        <v>0</v>
      </c>
    </row>
    <row r="22" spans="1:10" ht="18" x14ac:dyDescent="0.3">
      <c r="A22" s="78"/>
      <c r="B22" s="79"/>
      <c r="C22" s="79"/>
      <c r="D22" s="88"/>
      <c r="E22" s="89"/>
      <c r="F22" s="89"/>
      <c r="G22" s="89"/>
      <c r="H22" s="89"/>
      <c r="I22" s="90"/>
      <c r="J22" s="91">
        <f t="shared" si="1"/>
        <v>0</v>
      </c>
    </row>
    <row r="23" spans="1:10" ht="18" x14ac:dyDescent="0.3">
      <c r="A23" s="78"/>
      <c r="B23" s="79"/>
      <c r="C23" s="79"/>
      <c r="D23" s="94"/>
      <c r="E23" s="89"/>
      <c r="F23" s="89"/>
      <c r="G23" s="89"/>
      <c r="H23" s="89"/>
      <c r="I23" s="93"/>
      <c r="J23" s="91">
        <f t="shared" si="1"/>
        <v>0</v>
      </c>
    </row>
    <row r="24" spans="1:10" ht="18" x14ac:dyDescent="0.3">
      <c r="A24" s="78"/>
      <c r="B24" s="79"/>
      <c r="C24" s="79"/>
      <c r="D24" s="94"/>
      <c r="E24" s="89"/>
      <c r="F24" s="89"/>
      <c r="G24" s="89"/>
      <c r="H24" s="89"/>
      <c r="I24" s="93"/>
      <c r="J24" s="91">
        <f t="shared" si="1"/>
        <v>0</v>
      </c>
    </row>
    <row r="25" spans="1:10" ht="18" x14ac:dyDescent="0.3">
      <c r="A25" s="78"/>
      <c r="B25" s="79"/>
      <c r="C25" s="79"/>
      <c r="D25" s="94"/>
      <c r="E25" s="89"/>
      <c r="F25" s="89"/>
      <c r="G25" s="89"/>
      <c r="H25" s="89"/>
      <c r="I25" s="93"/>
      <c r="J25" s="91">
        <f t="shared" si="1"/>
        <v>0</v>
      </c>
    </row>
    <row r="26" spans="1:10" ht="18" x14ac:dyDescent="0.3">
      <c r="A26" s="78"/>
      <c r="B26" s="79"/>
      <c r="C26" s="79"/>
      <c r="D26" s="94"/>
      <c r="E26" s="89"/>
      <c r="F26" s="89"/>
      <c r="G26" s="89"/>
      <c r="H26" s="89"/>
      <c r="I26" s="93"/>
      <c r="J26" s="91">
        <f t="shared" si="1"/>
        <v>0</v>
      </c>
    </row>
    <row r="27" spans="1:10" ht="18" x14ac:dyDescent="0.3">
      <c r="A27" s="78"/>
      <c r="B27" s="79"/>
      <c r="C27" s="79"/>
      <c r="D27" s="94"/>
      <c r="E27" s="89"/>
      <c r="F27" s="89"/>
      <c r="G27" s="89"/>
      <c r="H27" s="89"/>
      <c r="I27" s="93"/>
      <c r="J27" s="91">
        <f t="shared" si="1"/>
        <v>0</v>
      </c>
    </row>
    <row r="28" spans="1:10" ht="18" x14ac:dyDescent="0.3">
      <c r="A28" s="78"/>
      <c r="B28" s="79"/>
      <c r="C28" s="79"/>
      <c r="D28" s="94"/>
      <c r="E28" s="89"/>
      <c r="F28" s="89"/>
      <c r="G28" s="89"/>
      <c r="H28" s="89"/>
      <c r="I28" s="93"/>
      <c r="J28" s="91">
        <f t="shared" si="1"/>
        <v>0</v>
      </c>
    </row>
    <row r="29" spans="1:10" ht="18" x14ac:dyDescent="0.3">
      <c r="A29" s="78"/>
      <c r="B29" s="79"/>
      <c r="C29" s="79"/>
      <c r="D29" s="94"/>
      <c r="E29" s="89"/>
      <c r="F29" s="89"/>
      <c r="G29" s="89"/>
      <c r="H29" s="89"/>
      <c r="I29" s="93"/>
      <c r="J29" s="91">
        <f t="shared" si="1"/>
        <v>0</v>
      </c>
    </row>
    <row r="30" spans="1:10" ht="18" x14ac:dyDescent="0.3">
      <c r="A30" s="78"/>
      <c r="B30" s="79"/>
      <c r="C30" s="79"/>
      <c r="D30" s="94"/>
      <c r="E30" s="89"/>
      <c r="F30" s="89"/>
      <c r="G30" s="89"/>
      <c r="H30" s="89"/>
      <c r="I30" s="93"/>
      <c r="J30" s="91">
        <f t="shared" si="1"/>
        <v>0</v>
      </c>
    </row>
    <row r="31" spans="1:10" ht="18" x14ac:dyDescent="0.3">
      <c r="A31" s="78"/>
      <c r="B31" s="79"/>
      <c r="C31" s="79"/>
      <c r="D31" s="94"/>
      <c r="E31" s="89"/>
      <c r="F31" s="89"/>
      <c r="G31" s="89"/>
      <c r="H31" s="89"/>
      <c r="I31" s="93"/>
      <c r="J31" s="91">
        <f t="shared" si="1"/>
        <v>0</v>
      </c>
    </row>
    <row r="32" spans="1:10" ht="18" x14ac:dyDescent="0.3">
      <c r="A32" s="78"/>
      <c r="B32" s="79"/>
      <c r="C32" s="79"/>
      <c r="D32" s="94"/>
      <c r="E32" s="89"/>
      <c r="F32" s="89"/>
      <c r="G32" s="89"/>
      <c r="H32" s="89"/>
      <c r="I32" s="93"/>
      <c r="J32" s="91">
        <f t="shared" si="1"/>
        <v>0</v>
      </c>
    </row>
    <row r="33" spans="1:13" ht="18" x14ac:dyDescent="0.3">
      <c r="A33" s="78"/>
      <c r="B33" s="79"/>
      <c r="C33" s="79"/>
      <c r="D33" s="94"/>
      <c r="E33" s="89"/>
      <c r="F33" s="89"/>
      <c r="G33" s="89"/>
      <c r="H33" s="89"/>
      <c r="I33" s="93"/>
      <c r="J33" s="91">
        <f t="shared" si="1"/>
        <v>0</v>
      </c>
    </row>
    <row r="34" spans="1:13" ht="18" x14ac:dyDescent="0.3">
      <c r="A34" s="78"/>
      <c r="B34" s="79"/>
      <c r="C34" s="79"/>
      <c r="D34" s="94"/>
      <c r="E34" s="89"/>
      <c r="F34" s="89"/>
      <c r="G34" s="89"/>
      <c r="H34" s="89"/>
      <c r="I34" s="93"/>
      <c r="J34" s="91">
        <f t="shared" si="1"/>
        <v>0</v>
      </c>
    </row>
    <row r="35" spans="1:13" ht="18" x14ac:dyDescent="0.3">
      <c r="A35" s="78"/>
      <c r="B35" s="79"/>
      <c r="C35" s="79"/>
      <c r="D35" s="94"/>
      <c r="E35" s="89"/>
      <c r="F35" s="89"/>
      <c r="G35" s="89"/>
      <c r="H35" s="89"/>
      <c r="I35" s="93"/>
      <c r="J35" s="91">
        <f t="shared" si="1"/>
        <v>0</v>
      </c>
    </row>
    <row r="36" spans="1:13" ht="18" x14ac:dyDescent="0.3">
      <c r="A36" s="78"/>
      <c r="B36" s="79"/>
      <c r="C36" s="79"/>
      <c r="D36" s="94"/>
      <c r="E36" s="89"/>
      <c r="F36" s="89"/>
      <c r="G36" s="89"/>
      <c r="H36" s="89"/>
      <c r="I36" s="93"/>
      <c r="J36" s="91">
        <f t="shared" si="1"/>
        <v>0</v>
      </c>
    </row>
    <row r="37" spans="1:13" ht="18" x14ac:dyDescent="0.3">
      <c r="A37" s="78"/>
      <c r="B37" s="79"/>
      <c r="C37" s="79"/>
      <c r="D37" s="94"/>
      <c r="E37" s="89"/>
      <c r="F37" s="89"/>
      <c r="G37" s="89"/>
      <c r="H37" s="89"/>
      <c r="I37" s="93"/>
      <c r="J37" s="91">
        <f t="shared" si="1"/>
        <v>0</v>
      </c>
    </row>
    <row r="38" spans="1:13" ht="18" x14ac:dyDescent="0.3">
      <c r="A38" s="78"/>
      <c r="B38" s="79"/>
      <c r="C38" s="79"/>
      <c r="D38" s="94"/>
      <c r="E38" s="89"/>
      <c r="F38" s="89"/>
      <c r="G38" s="89"/>
      <c r="H38" s="89"/>
      <c r="I38" s="93"/>
      <c r="J38" s="91">
        <f t="shared" si="1"/>
        <v>0</v>
      </c>
    </row>
    <row r="39" spans="1:13" ht="18" x14ac:dyDescent="0.3">
      <c r="A39" s="78"/>
      <c r="B39" s="79"/>
      <c r="C39" s="79"/>
      <c r="D39" s="94"/>
      <c r="E39" s="89"/>
      <c r="F39" s="89"/>
      <c r="G39" s="89"/>
      <c r="H39" s="89"/>
      <c r="I39" s="93"/>
      <c r="J39" s="91">
        <f t="shared" si="1"/>
        <v>0</v>
      </c>
    </row>
    <row r="40" spans="1:13" ht="18" x14ac:dyDescent="0.3">
      <c r="A40" s="78"/>
      <c r="B40" s="79"/>
      <c r="C40" s="79"/>
      <c r="D40" s="94"/>
      <c r="E40" s="89"/>
      <c r="F40" s="89"/>
      <c r="G40" s="92"/>
      <c r="H40" s="89"/>
      <c r="I40" s="93"/>
      <c r="J40" s="91"/>
    </row>
    <row r="41" spans="1:13" ht="18" x14ac:dyDescent="0.3">
      <c r="A41" s="78"/>
      <c r="B41" s="79"/>
      <c r="C41" s="79"/>
      <c r="D41" s="94"/>
      <c r="E41" s="89"/>
      <c r="F41" s="89"/>
      <c r="G41" s="92"/>
      <c r="H41" s="89"/>
      <c r="I41" s="93"/>
      <c r="J41" s="91"/>
    </row>
    <row r="42" spans="1:13" ht="18" x14ac:dyDescent="0.3">
      <c r="A42" s="78"/>
      <c r="B42" s="79"/>
      <c r="C42" s="79"/>
      <c r="D42" s="94"/>
      <c r="E42" s="89"/>
      <c r="F42" s="89"/>
      <c r="G42" s="92"/>
      <c r="H42" s="89"/>
      <c r="I42" s="93"/>
      <c r="J42" s="91"/>
    </row>
    <row r="43" spans="1:13" ht="18" x14ac:dyDescent="0.3">
      <c r="A43" s="78"/>
      <c r="B43" s="79"/>
      <c r="C43" s="79"/>
      <c r="D43" s="94"/>
      <c r="E43" s="89"/>
      <c r="F43" s="89"/>
      <c r="G43" s="92"/>
      <c r="H43" s="89"/>
      <c r="I43" s="93"/>
      <c r="J43" s="91"/>
    </row>
    <row r="44" spans="1:13" ht="18" x14ac:dyDescent="0.3">
      <c r="A44" s="78"/>
      <c r="B44" s="79"/>
      <c r="C44" s="79"/>
      <c r="D44" s="94"/>
      <c r="E44" s="89"/>
      <c r="F44" s="89"/>
      <c r="G44" s="92"/>
      <c r="H44" s="89"/>
      <c r="I44" s="93"/>
      <c r="J44" s="91"/>
    </row>
    <row r="45" spans="1:13" ht="18" x14ac:dyDescent="0.3">
      <c r="A45" s="78"/>
      <c r="B45" s="79"/>
      <c r="C45" s="79"/>
      <c r="D45" s="95"/>
      <c r="E45" s="89"/>
      <c r="F45" s="89"/>
      <c r="G45" s="92"/>
      <c r="H45" s="89"/>
      <c r="I45" s="93"/>
      <c r="J45" s="91">
        <f t="shared" si="1"/>
        <v>0</v>
      </c>
    </row>
    <row r="46" spans="1:13" ht="18.75" thickBot="1" x14ac:dyDescent="0.35">
      <c r="A46" s="78"/>
      <c r="B46" s="79"/>
      <c r="C46" s="79"/>
      <c r="D46" s="96"/>
      <c r="E46" s="97"/>
      <c r="F46" s="97"/>
      <c r="G46" s="98"/>
      <c r="H46" s="97"/>
      <c r="I46" s="99"/>
      <c r="J46" s="100">
        <f t="shared" si="1"/>
        <v>0</v>
      </c>
      <c r="M46" s="105"/>
    </row>
    <row r="47" spans="1:13" ht="21" thickBot="1" x14ac:dyDescent="0.35">
      <c r="A47" s="78"/>
      <c r="B47" s="79"/>
      <c r="C47" s="79"/>
      <c r="D47" s="933" t="s">
        <v>10</v>
      </c>
      <c r="E47" s="934"/>
      <c r="F47" s="934"/>
      <c r="G47" s="934"/>
      <c r="H47" s="934"/>
      <c r="I47" s="935"/>
      <c r="J47" s="102">
        <f>ROUND(SUM(J8:J46),2)</f>
        <v>1</v>
      </c>
    </row>
    <row r="48" spans="1:13" ht="21" thickBot="1" x14ac:dyDescent="0.35">
      <c r="A48" s="78"/>
      <c r="B48" s="79"/>
      <c r="C48" s="79"/>
      <c r="D48" s="933" t="s">
        <v>1127</v>
      </c>
      <c r="E48" s="934"/>
      <c r="F48" s="934"/>
      <c r="G48" s="934"/>
      <c r="H48" s="934"/>
      <c r="I48" s="935"/>
      <c r="J48" s="103"/>
    </row>
    <row r="49" spans="1:10" ht="21" thickBot="1" x14ac:dyDescent="0.35">
      <c r="A49" s="78"/>
      <c r="B49" s="79"/>
      <c r="C49" s="101"/>
      <c r="D49" s="933" t="s">
        <v>1128</v>
      </c>
      <c r="E49" s="934"/>
      <c r="F49" s="934"/>
      <c r="G49" s="934"/>
      <c r="H49" s="934"/>
      <c r="I49" s="935"/>
      <c r="J49" s="104">
        <f>+J47-J48</f>
        <v>1</v>
      </c>
    </row>
    <row r="50" spans="1:10" ht="21" thickBot="1" x14ac:dyDescent="0.35">
      <c r="A50" s="936" t="s">
        <v>1129</v>
      </c>
      <c r="B50" s="937"/>
      <c r="C50" s="938"/>
      <c r="D50" s="939" t="s">
        <v>1130</v>
      </c>
      <c r="E50" s="940"/>
      <c r="F50" s="940"/>
      <c r="G50" s="940"/>
      <c r="H50" s="940"/>
      <c r="I50" s="940"/>
      <c r="J50" s="941"/>
    </row>
    <row r="51" spans="1:10" ht="38.25" customHeight="1" thickBot="1" x14ac:dyDescent="0.35">
      <c r="A51" s="942" t="str">
        <f>PPTO!G3</f>
        <v>JUNIO DE 2026</v>
      </c>
      <c r="B51" s="943"/>
      <c r="C51" s="944"/>
      <c r="D51" s="921"/>
      <c r="E51" s="922"/>
      <c r="F51" s="922"/>
      <c r="G51" s="922"/>
      <c r="H51" s="922"/>
      <c r="I51" s="922"/>
      <c r="J51" s="923"/>
    </row>
    <row r="52" spans="1:10" ht="19.5" thickBot="1" x14ac:dyDescent="0.35">
      <c r="A52" s="918"/>
      <c r="B52" s="919"/>
      <c r="C52" s="920"/>
      <c r="D52" s="921" t="s">
        <v>1131</v>
      </c>
      <c r="E52" s="922"/>
      <c r="F52" s="922"/>
      <c r="G52" s="922"/>
      <c r="H52" s="922"/>
      <c r="I52" s="922"/>
      <c r="J52" s="923"/>
    </row>
  </sheetData>
  <mergeCells count="19">
    <mergeCell ref="A2:J2"/>
    <mergeCell ref="A3:J3"/>
    <mergeCell ref="A4:J4"/>
    <mergeCell ref="C5:D5"/>
    <mergeCell ref="G5:H5"/>
    <mergeCell ref="I5:J5"/>
    <mergeCell ref="A52:C52"/>
    <mergeCell ref="D52:J52"/>
    <mergeCell ref="D6:D7"/>
    <mergeCell ref="E6:G6"/>
    <mergeCell ref="I6:I7"/>
    <mergeCell ref="J6:J7"/>
    <mergeCell ref="D47:I47"/>
    <mergeCell ref="D48:I48"/>
    <mergeCell ref="D49:I49"/>
    <mergeCell ref="A50:C50"/>
    <mergeCell ref="D50:J50"/>
    <mergeCell ref="A51:C51"/>
    <mergeCell ref="D51:J51"/>
  </mergeCells>
  <conditionalFormatting sqref="J8:J46">
    <cfRule type="cellIs" dxfId="7" priority="1" operator="equal">
      <formula>0</formula>
    </cfRule>
  </conditionalFormatting>
  <pageMargins left="0.7" right="0.7" top="0.75" bottom="0.75" header="0.3" footer="0.3"/>
  <pageSetup scale="49" orientation="landscape" r:id="rId1"/>
  <drawing r:id="rId2"/>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8CEEEA-10B3-4B12-8CCF-47F041CC179F}">
  <sheetPr>
    <tabColor rgb="FF92D050"/>
    <pageSetUpPr fitToPage="1"/>
  </sheetPr>
  <dimension ref="A1:M52"/>
  <sheetViews>
    <sheetView showOutlineSymbols="0" view="pageBreakPreview" topLeftCell="A26" zoomScale="60" zoomScaleNormal="70" workbookViewId="0">
      <selection activeCell="M47" sqref="M47"/>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29.6" customHeight="1" thickBot="1" x14ac:dyDescent="0.35">
      <c r="A5" s="72" t="s">
        <v>5</v>
      </c>
      <c r="B5" s="73">
        <v>10.6</v>
      </c>
      <c r="C5" s="913" t="str">
        <f>+VLOOKUP(B5,PPTO!B8:G94,2,FALSE)</f>
        <v>Colocación e instalación de Lavamanos PMR, incluye: accesorios PVC, lavamanos corona o equivalente color blanco, grifería metálica antivandálica, de push ref 71100 de Grival o equivalente, abasto metálico y todos los demás elementos necesarios para su correcta instalación y funcionamiento.</v>
      </c>
      <c r="D5" s="914"/>
      <c r="E5" s="72" t="s">
        <v>7</v>
      </c>
      <c r="F5" s="74" t="str">
        <f>+VLOOKUP(B5,PPTO!B8:G94,3,FALSE)</f>
        <v>UN</v>
      </c>
      <c r="G5" s="915" t="s">
        <v>1120</v>
      </c>
      <c r="H5" s="915"/>
      <c r="I5" s="916">
        <f>+VLOOKUP(B5,PPTO!B8:G94,5,FALSE)</f>
        <v>893501.7755080401</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8" x14ac:dyDescent="0.3">
      <c r="A8" s="78"/>
      <c r="B8" s="79"/>
      <c r="C8" s="79"/>
      <c r="D8" s="88" t="s">
        <v>1250</v>
      </c>
      <c r="E8" s="89"/>
      <c r="F8" s="89"/>
      <c r="G8" s="89"/>
      <c r="H8" s="89"/>
      <c r="I8" s="90">
        <v>2</v>
      </c>
      <c r="J8" s="91">
        <f t="shared" ref="J8:J46" si="0">+PRODUCT(E8:I8)</f>
        <v>2</v>
      </c>
    </row>
    <row r="9" spans="1:10" ht="18" x14ac:dyDescent="0.3">
      <c r="A9" s="78"/>
      <c r="B9" s="79"/>
      <c r="C9" s="79"/>
      <c r="D9" s="94" t="s">
        <v>1224</v>
      </c>
      <c r="E9" s="89"/>
      <c r="F9" s="89"/>
      <c r="G9" s="89"/>
      <c r="H9" s="89"/>
      <c r="I9" s="93">
        <v>1</v>
      </c>
      <c r="J9" s="91">
        <f t="shared" si="0"/>
        <v>1</v>
      </c>
    </row>
    <row r="10" spans="1:10" ht="18" x14ac:dyDescent="0.3">
      <c r="A10" s="78"/>
      <c r="B10" s="79"/>
      <c r="C10" s="79"/>
      <c r="D10" s="94"/>
      <c r="E10" s="89"/>
      <c r="F10" s="89"/>
      <c r="G10" s="89"/>
      <c r="H10" s="89"/>
      <c r="I10" s="93"/>
      <c r="J10" s="91">
        <f t="shared" si="0"/>
        <v>0</v>
      </c>
    </row>
    <row r="11" spans="1:10" ht="18" x14ac:dyDescent="0.3">
      <c r="A11" s="78"/>
      <c r="B11" s="79"/>
      <c r="C11" s="79"/>
      <c r="D11" s="94"/>
      <c r="E11" s="89"/>
      <c r="F11" s="89"/>
      <c r="G11" s="89"/>
      <c r="H11" s="89"/>
      <c r="I11" s="93"/>
      <c r="J11" s="91">
        <f t="shared" si="0"/>
        <v>0</v>
      </c>
    </row>
    <row r="12" spans="1:10" ht="18" x14ac:dyDescent="0.3">
      <c r="A12" s="78"/>
      <c r="B12" s="79"/>
      <c r="C12" s="79"/>
      <c r="D12" s="94"/>
      <c r="E12" s="89"/>
      <c r="F12" s="89"/>
      <c r="G12" s="89"/>
      <c r="H12" s="89"/>
      <c r="I12" s="93"/>
      <c r="J12" s="91">
        <f t="shared" si="0"/>
        <v>0</v>
      </c>
    </row>
    <row r="13" spans="1:10" ht="18" x14ac:dyDescent="0.3">
      <c r="A13" s="78"/>
      <c r="B13" s="79"/>
      <c r="C13" s="79"/>
      <c r="D13" s="94"/>
      <c r="E13" s="89"/>
      <c r="F13" s="89"/>
      <c r="G13" s="89"/>
      <c r="H13" s="89"/>
      <c r="I13" s="93"/>
      <c r="J13" s="91">
        <f t="shared" si="0"/>
        <v>0</v>
      </c>
    </row>
    <row r="14" spans="1:10" ht="18" x14ac:dyDescent="0.3">
      <c r="A14" s="78"/>
      <c r="B14" s="79"/>
      <c r="C14" s="79"/>
      <c r="D14" s="94"/>
      <c r="E14" s="89"/>
      <c r="F14" s="89"/>
      <c r="G14" s="89"/>
      <c r="H14" s="89"/>
      <c r="I14" s="93"/>
      <c r="J14" s="91">
        <f t="shared" si="0"/>
        <v>0</v>
      </c>
    </row>
    <row r="15" spans="1:10" ht="18" x14ac:dyDescent="0.3">
      <c r="A15" s="78"/>
      <c r="B15" s="79"/>
      <c r="C15" s="79"/>
      <c r="D15" s="94"/>
      <c r="E15" s="89"/>
      <c r="F15" s="89"/>
      <c r="G15" s="89"/>
      <c r="H15" s="89"/>
      <c r="I15" s="93"/>
      <c r="J15" s="91">
        <f t="shared" si="0"/>
        <v>0</v>
      </c>
    </row>
    <row r="16" spans="1:10" ht="18" x14ac:dyDescent="0.3">
      <c r="A16" s="78"/>
      <c r="B16" s="79"/>
      <c r="C16" s="79"/>
      <c r="D16" s="94"/>
      <c r="E16" s="89"/>
      <c r="F16" s="89"/>
      <c r="G16" s="89"/>
      <c r="H16" s="89"/>
      <c r="I16" s="93"/>
      <c r="J16" s="91">
        <f t="shared" si="0"/>
        <v>0</v>
      </c>
    </row>
    <row r="17" spans="1:10" ht="18" x14ac:dyDescent="0.3">
      <c r="A17" s="78"/>
      <c r="B17" s="79"/>
      <c r="C17" s="79"/>
      <c r="D17" s="94"/>
      <c r="E17" s="89"/>
      <c r="F17" s="89"/>
      <c r="G17" s="89"/>
      <c r="H17" s="89"/>
      <c r="I17" s="93"/>
      <c r="J17" s="91">
        <f t="shared" si="0"/>
        <v>0</v>
      </c>
    </row>
    <row r="18" spans="1:10" ht="18" x14ac:dyDescent="0.3">
      <c r="A18" s="78"/>
      <c r="B18" s="79"/>
      <c r="C18" s="79"/>
      <c r="D18" s="94"/>
      <c r="E18" s="89"/>
      <c r="F18" s="89"/>
      <c r="G18" s="89"/>
      <c r="H18" s="89"/>
      <c r="I18" s="93"/>
      <c r="J18" s="91">
        <f t="shared" si="0"/>
        <v>0</v>
      </c>
    </row>
    <row r="19" spans="1:10" ht="18" x14ac:dyDescent="0.3">
      <c r="A19" s="78"/>
      <c r="B19" s="79"/>
      <c r="C19" s="79"/>
      <c r="D19" s="95"/>
      <c r="E19" s="89"/>
      <c r="F19" s="89"/>
      <c r="G19" s="89"/>
      <c r="H19" s="89"/>
      <c r="I19" s="93"/>
      <c r="J19" s="91">
        <f t="shared" si="0"/>
        <v>0</v>
      </c>
    </row>
    <row r="20" spans="1:10" ht="18" x14ac:dyDescent="0.3">
      <c r="A20" s="78"/>
      <c r="B20" s="79"/>
      <c r="C20" s="79"/>
      <c r="D20" s="88"/>
      <c r="E20" s="89"/>
      <c r="F20" s="89"/>
      <c r="G20" s="89"/>
      <c r="H20" s="89"/>
      <c r="I20" s="90"/>
      <c r="J20" s="91">
        <f t="shared" si="0"/>
        <v>0</v>
      </c>
    </row>
    <row r="21" spans="1:10" ht="18" x14ac:dyDescent="0.3">
      <c r="A21" s="78"/>
      <c r="B21" s="79"/>
      <c r="C21" s="79"/>
      <c r="D21" s="88"/>
      <c r="E21" s="89"/>
      <c r="F21" s="89"/>
      <c r="G21" s="89"/>
      <c r="H21" s="89"/>
      <c r="I21" s="90"/>
      <c r="J21" s="91">
        <f t="shared" si="0"/>
        <v>0</v>
      </c>
    </row>
    <row r="22" spans="1:10" ht="18" x14ac:dyDescent="0.3">
      <c r="A22" s="78"/>
      <c r="B22" s="79"/>
      <c r="C22" s="79"/>
      <c r="D22" s="88"/>
      <c r="E22" s="89"/>
      <c r="F22" s="89"/>
      <c r="G22" s="89"/>
      <c r="H22" s="89"/>
      <c r="I22" s="90"/>
      <c r="J22" s="91">
        <f t="shared" si="0"/>
        <v>0</v>
      </c>
    </row>
    <row r="23" spans="1:10" ht="18" x14ac:dyDescent="0.3">
      <c r="A23" s="78"/>
      <c r="B23" s="79"/>
      <c r="C23" s="79"/>
      <c r="D23" s="94"/>
      <c r="E23" s="89"/>
      <c r="F23" s="89"/>
      <c r="G23" s="89"/>
      <c r="H23" s="89"/>
      <c r="I23" s="93"/>
      <c r="J23" s="91">
        <f t="shared" si="0"/>
        <v>0</v>
      </c>
    </row>
    <row r="24" spans="1:10" ht="18" x14ac:dyDescent="0.3">
      <c r="A24" s="78"/>
      <c r="B24" s="79"/>
      <c r="C24" s="79"/>
      <c r="D24" s="94"/>
      <c r="E24" s="89"/>
      <c r="F24" s="89"/>
      <c r="G24" s="89"/>
      <c r="H24" s="89"/>
      <c r="I24" s="93"/>
      <c r="J24" s="91">
        <f t="shared" si="0"/>
        <v>0</v>
      </c>
    </row>
    <row r="25" spans="1:10" ht="18" x14ac:dyDescent="0.3">
      <c r="A25" s="78"/>
      <c r="B25" s="79"/>
      <c r="C25" s="79"/>
      <c r="D25" s="94"/>
      <c r="E25" s="89"/>
      <c r="F25" s="89"/>
      <c r="G25" s="89"/>
      <c r="H25" s="89"/>
      <c r="I25" s="93"/>
      <c r="J25" s="91">
        <f t="shared" si="0"/>
        <v>0</v>
      </c>
    </row>
    <row r="26" spans="1:10" ht="18" x14ac:dyDescent="0.3">
      <c r="A26" s="78"/>
      <c r="B26" s="79"/>
      <c r="C26" s="79"/>
      <c r="D26" s="94"/>
      <c r="E26" s="89"/>
      <c r="F26" s="89"/>
      <c r="G26" s="89"/>
      <c r="H26" s="89"/>
      <c r="I26" s="93"/>
      <c r="J26" s="91">
        <f t="shared" si="0"/>
        <v>0</v>
      </c>
    </row>
    <row r="27" spans="1:10" ht="18" x14ac:dyDescent="0.3">
      <c r="A27" s="78"/>
      <c r="B27" s="79"/>
      <c r="C27" s="79"/>
      <c r="D27" s="94"/>
      <c r="E27" s="89"/>
      <c r="F27" s="89"/>
      <c r="G27" s="89"/>
      <c r="H27" s="89"/>
      <c r="I27" s="93"/>
      <c r="J27" s="91">
        <f t="shared" si="0"/>
        <v>0</v>
      </c>
    </row>
    <row r="28" spans="1:10" ht="18" x14ac:dyDescent="0.3">
      <c r="A28" s="78"/>
      <c r="B28" s="79"/>
      <c r="C28" s="79"/>
      <c r="D28" s="94"/>
      <c r="E28" s="89"/>
      <c r="F28" s="89"/>
      <c r="G28" s="89"/>
      <c r="H28" s="89"/>
      <c r="I28" s="93"/>
      <c r="J28" s="91">
        <f t="shared" si="0"/>
        <v>0</v>
      </c>
    </row>
    <row r="29" spans="1:10" ht="18" x14ac:dyDescent="0.3">
      <c r="A29" s="78"/>
      <c r="B29" s="79"/>
      <c r="C29" s="79"/>
      <c r="D29" s="94"/>
      <c r="E29" s="89"/>
      <c r="F29" s="89"/>
      <c r="G29" s="89"/>
      <c r="H29" s="89"/>
      <c r="I29" s="93"/>
      <c r="J29" s="91">
        <f t="shared" si="0"/>
        <v>0</v>
      </c>
    </row>
    <row r="30" spans="1:10" ht="18" x14ac:dyDescent="0.3">
      <c r="A30" s="78"/>
      <c r="B30" s="79"/>
      <c r="C30" s="79"/>
      <c r="D30" s="94"/>
      <c r="E30" s="89"/>
      <c r="F30" s="89"/>
      <c r="G30" s="89"/>
      <c r="H30" s="89"/>
      <c r="I30" s="93"/>
      <c r="J30" s="91">
        <f t="shared" si="0"/>
        <v>0</v>
      </c>
    </row>
    <row r="31" spans="1:10" ht="18" x14ac:dyDescent="0.3">
      <c r="A31" s="78"/>
      <c r="B31" s="79"/>
      <c r="C31" s="79"/>
      <c r="D31" s="94"/>
      <c r="E31" s="89"/>
      <c r="F31" s="89"/>
      <c r="G31" s="89"/>
      <c r="H31" s="89"/>
      <c r="I31" s="93"/>
      <c r="J31" s="91">
        <f t="shared" si="0"/>
        <v>0</v>
      </c>
    </row>
    <row r="32" spans="1:10" ht="18" x14ac:dyDescent="0.3">
      <c r="A32" s="78"/>
      <c r="B32" s="79"/>
      <c r="C32" s="79"/>
      <c r="D32" s="94"/>
      <c r="E32" s="89"/>
      <c r="F32" s="89"/>
      <c r="G32" s="89"/>
      <c r="H32" s="89"/>
      <c r="I32" s="93"/>
      <c r="J32" s="91">
        <f t="shared" si="0"/>
        <v>0</v>
      </c>
    </row>
    <row r="33" spans="1:13" ht="18" x14ac:dyDescent="0.3">
      <c r="A33" s="78"/>
      <c r="B33" s="79"/>
      <c r="C33" s="79"/>
      <c r="D33" s="94"/>
      <c r="E33" s="89"/>
      <c r="F33" s="89"/>
      <c r="G33" s="89"/>
      <c r="H33" s="89"/>
      <c r="I33" s="93"/>
      <c r="J33" s="91">
        <f t="shared" si="0"/>
        <v>0</v>
      </c>
    </row>
    <row r="34" spans="1:13" ht="18" x14ac:dyDescent="0.3">
      <c r="A34" s="78"/>
      <c r="B34" s="79"/>
      <c r="C34" s="79"/>
      <c r="D34" s="94"/>
      <c r="E34" s="89"/>
      <c r="F34" s="89"/>
      <c r="G34" s="89"/>
      <c r="H34" s="89"/>
      <c r="I34" s="93"/>
      <c r="J34" s="91">
        <f t="shared" si="0"/>
        <v>0</v>
      </c>
    </row>
    <row r="35" spans="1:13" ht="18" x14ac:dyDescent="0.3">
      <c r="A35" s="78"/>
      <c r="B35" s="79"/>
      <c r="C35" s="79"/>
      <c r="D35" s="94"/>
      <c r="E35" s="89"/>
      <c r="F35" s="89"/>
      <c r="G35" s="89"/>
      <c r="H35" s="89"/>
      <c r="I35" s="93"/>
      <c r="J35" s="91">
        <f t="shared" si="0"/>
        <v>0</v>
      </c>
    </row>
    <row r="36" spans="1:13" ht="18" x14ac:dyDescent="0.3">
      <c r="A36" s="78"/>
      <c r="B36" s="79"/>
      <c r="C36" s="79"/>
      <c r="D36" s="94"/>
      <c r="E36" s="89"/>
      <c r="F36" s="89"/>
      <c r="G36" s="89"/>
      <c r="H36" s="89"/>
      <c r="I36" s="93"/>
      <c r="J36" s="91">
        <f t="shared" si="0"/>
        <v>0</v>
      </c>
    </row>
    <row r="37" spans="1:13" ht="18" x14ac:dyDescent="0.3">
      <c r="A37" s="78"/>
      <c r="B37" s="79"/>
      <c r="C37" s="79"/>
      <c r="D37" s="94"/>
      <c r="E37" s="89"/>
      <c r="F37" s="89"/>
      <c r="G37" s="89"/>
      <c r="H37" s="89"/>
      <c r="I37" s="93"/>
      <c r="J37" s="91">
        <f t="shared" si="0"/>
        <v>0</v>
      </c>
    </row>
    <row r="38" spans="1:13" ht="18" x14ac:dyDescent="0.3">
      <c r="A38" s="78"/>
      <c r="B38" s="79"/>
      <c r="C38" s="79"/>
      <c r="D38" s="94"/>
      <c r="E38" s="89"/>
      <c r="F38" s="89"/>
      <c r="G38" s="89"/>
      <c r="H38" s="89"/>
      <c r="I38" s="93"/>
      <c r="J38" s="91">
        <f t="shared" si="0"/>
        <v>0</v>
      </c>
    </row>
    <row r="39" spans="1:13" ht="18" x14ac:dyDescent="0.3">
      <c r="A39" s="78"/>
      <c r="B39" s="79"/>
      <c r="C39" s="79"/>
      <c r="D39" s="94"/>
      <c r="E39" s="89"/>
      <c r="F39" s="89"/>
      <c r="G39" s="89"/>
      <c r="H39" s="89"/>
      <c r="I39" s="93"/>
      <c r="J39" s="91">
        <f t="shared" si="0"/>
        <v>0</v>
      </c>
    </row>
    <row r="40" spans="1:13" ht="18" x14ac:dyDescent="0.3">
      <c r="A40" s="78"/>
      <c r="B40" s="79"/>
      <c r="C40" s="79"/>
      <c r="D40" s="94"/>
      <c r="E40" s="89"/>
      <c r="F40" s="89"/>
      <c r="G40" s="92"/>
      <c r="H40" s="89"/>
      <c r="I40" s="93"/>
      <c r="J40" s="91"/>
    </row>
    <row r="41" spans="1:13" ht="18" x14ac:dyDescent="0.3">
      <c r="A41" s="78"/>
      <c r="B41" s="79"/>
      <c r="C41" s="79"/>
      <c r="D41" s="94"/>
      <c r="E41" s="89"/>
      <c r="F41" s="89"/>
      <c r="G41" s="92"/>
      <c r="H41" s="89"/>
      <c r="I41" s="93"/>
      <c r="J41" s="91"/>
    </row>
    <row r="42" spans="1:13" ht="18" x14ac:dyDescent="0.3">
      <c r="A42" s="78"/>
      <c r="B42" s="79"/>
      <c r="C42" s="79"/>
      <c r="D42" s="94"/>
      <c r="E42" s="89"/>
      <c r="F42" s="89"/>
      <c r="G42" s="92"/>
      <c r="H42" s="89"/>
      <c r="I42" s="93"/>
      <c r="J42" s="91"/>
    </row>
    <row r="43" spans="1:13" ht="18" x14ac:dyDescent="0.3">
      <c r="A43" s="78"/>
      <c r="B43" s="79"/>
      <c r="C43" s="79"/>
      <c r="D43" s="94"/>
      <c r="E43" s="89"/>
      <c r="F43" s="89"/>
      <c r="G43" s="92"/>
      <c r="H43" s="89"/>
      <c r="I43" s="93"/>
      <c r="J43" s="91"/>
    </row>
    <row r="44" spans="1:13" ht="18" x14ac:dyDescent="0.3">
      <c r="A44" s="78"/>
      <c r="B44" s="79"/>
      <c r="C44" s="79"/>
      <c r="D44" s="94"/>
      <c r="E44" s="89"/>
      <c r="F44" s="89"/>
      <c r="G44" s="92"/>
      <c r="H44" s="89"/>
      <c r="I44" s="93"/>
      <c r="J44" s="91"/>
    </row>
    <row r="45" spans="1:13" ht="18" x14ac:dyDescent="0.3">
      <c r="A45" s="78"/>
      <c r="B45" s="79"/>
      <c r="C45" s="79"/>
      <c r="D45" s="95"/>
      <c r="E45" s="89"/>
      <c r="F45" s="89"/>
      <c r="G45" s="92"/>
      <c r="H45" s="89"/>
      <c r="I45" s="93"/>
      <c r="J45" s="91">
        <f t="shared" si="0"/>
        <v>0</v>
      </c>
    </row>
    <row r="46" spans="1:13" ht="18.75" thickBot="1" x14ac:dyDescent="0.35">
      <c r="A46" s="78"/>
      <c r="B46" s="79"/>
      <c r="C46" s="79"/>
      <c r="D46" s="96"/>
      <c r="E46" s="97"/>
      <c r="F46" s="97"/>
      <c r="G46" s="98"/>
      <c r="H46" s="97"/>
      <c r="I46" s="99"/>
      <c r="J46" s="100">
        <f t="shared" si="0"/>
        <v>0</v>
      </c>
      <c r="M46" s="105"/>
    </row>
    <row r="47" spans="1:13" ht="21" thickBot="1" x14ac:dyDescent="0.35">
      <c r="A47" s="78"/>
      <c r="B47" s="79"/>
      <c r="C47" s="79"/>
      <c r="D47" s="933" t="s">
        <v>10</v>
      </c>
      <c r="E47" s="934"/>
      <c r="F47" s="934"/>
      <c r="G47" s="934"/>
      <c r="H47" s="934"/>
      <c r="I47" s="935"/>
      <c r="J47" s="102">
        <f>ROUND(SUM(J8:J46),2)</f>
        <v>3</v>
      </c>
    </row>
    <row r="48" spans="1:13" ht="21" thickBot="1" x14ac:dyDescent="0.35">
      <c r="A48" s="78"/>
      <c r="B48" s="79"/>
      <c r="C48" s="79"/>
      <c r="D48" s="933" t="s">
        <v>1127</v>
      </c>
      <c r="E48" s="934"/>
      <c r="F48" s="934"/>
      <c r="G48" s="934"/>
      <c r="H48" s="934"/>
      <c r="I48" s="935"/>
      <c r="J48" s="103"/>
    </row>
    <row r="49" spans="1:10" ht="21" thickBot="1" x14ac:dyDescent="0.35">
      <c r="A49" s="78"/>
      <c r="B49" s="79"/>
      <c r="C49" s="101"/>
      <c r="D49" s="933" t="s">
        <v>1128</v>
      </c>
      <c r="E49" s="934"/>
      <c r="F49" s="934"/>
      <c r="G49" s="934"/>
      <c r="H49" s="934"/>
      <c r="I49" s="935"/>
      <c r="J49" s="104">
        <f>+J47-J48</f>
        <v>3</v>
      </c>
    </row>
    <row r="50" spans="1:10" ht="21" thickBot="1" x14ac:dyDescent="0.35">
      <c r="A50" s="936" t="s">
        <v>1129</v>
      </c>
      <c r="B50" s="937"/>
      <c r="C50" s="938"/>
      <c r="D50" s="939" t="s">
        <v>1130</v>
      </c>
      <c r="E50" s="940"/>
      <c r="F50" s="940"/>
      <c r="G50" s="940"/>
      <c r="H50" s="940"/>
      <c r="I50" s="940"/>
      <c r="J50" s="941"/>
    </row>
    <row r="51" spans="1:10" ht="38.25" customHeight="1" thickBot="1" x14ac:dyDescent="0.35">
      <c r="A51" s="942" t="str">
        <f>PPTO!G3</f>
        <v>JUNIO DE 2026</v>
      </c>
      <c r="B51" s="943"/>
      <c r="C51" s="944"/>
      <c r="D51" s="921"/>
      <c r="E51" s="922"/>
      <c r="F51" s="922"/>
      <c r="G51" s="922"/>
      <c r="H51" s="922"/>
      <c r="I51" s="922"/>
      <c r="J51" s="923"/>
    </row>
    <row r="52" spans="1:10" ht="19.5" thickBot="1" x14ac:dyDescent="0.35">
      <c r="A52" s="918"/>
      <c r="B52" s="919"/>
      <c r="C52" s="920"/>
      <c r="D52" s="921" t="s">
        <v>1131</v>
      </c>
      <c r="E52" s="922"/>
      <c r="F52" s="922"/>
      <c r="G52" s="922"/>
      <c r="H52" s="922"/>
      <c r="I52" s="922"/>
      <c r="J52" s="923"/>
    </row>
  </sheetData>
  <mergeCells count="19">
    <mergeCell ref="A2:J2"/>
    <mergeCell ref="A3:J3"/>
    <mergeCell ref="A4:J4"/>
    <mergeCell ref="C5:D5"/>
    <mergeCell ref="G5:H5"/>
    <mergeCell ref="I5:J5"/>
    <mergeCell ref="A52:C52"/>
    <mergeCell ref="D52:J52"/>
    <mergeCell ref="D6:D7"/>
    <mergeCell ref="E6:G6"/>
    <mergeCell ref="I6:I7"/>
    <mergeCell ref="J6:J7"/>
    <mergeCell ref="D47:I47"/>
    <mergeCell ref="D48:I48"/>
    <mergeCell ref="D49:I49"/>
    <mergeCell ref="A50:C50"/>
    <mergeCell ref="D50:J50"/>
    <mergeCell ref="A51:C51"/>
    <mergeCell ref="D51:J51"/>
  </mergeCells>
  <conditionalFormatting sqref="J8:J46">
    <cfRule type="cellIs" dxfId="6" priority="1" operator="equal">
      <formula>0</formula>
    </cfRule>
  </conditionalFormatting>
  <pageMargins left="0.7" right="0.7" top="0.75" bottom="0.75" header="0.3" footer="0.3"/>
  <pageSetup scale="49" orientation="landscape" r:id="rId1"/>
  <drawing r:id="rId2"/>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29F667-2760-4E11-BCF3-003437228DE7}">
  <sheetPr>
    <tabColor rgb="FF92D050"/>
    <pageSetUpPr fitToPage="1"/>
  </sheetPr>
  <dimension ref="A1:M52"/>
  <sheetViews>
    <sheetView showOutlineSymbols="0" view="pageBreakPreview" zoomScale="60" zoomScaleNormal="70" workbookViewId="0">
      <selection activeCell="B6" sqref="B6"/>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29.6" customHeight="1" thickBot="1" x14ac:dyDescent="0.35">
      <c r="A5" s="72" t="s">
        <v>5</v>
      </c>
      <c r="B5" s="73">
        <v>10.7</v>
      </c>
      <c r="C5" s="913" t="str">
        <f>+VLOOKUP(B5,PPTO!B8:G94,2,FALSE)</f>
        <v>Suministro e instalación de Mesones prefabricados en quartzone. Color a definir, incluye todo lo necesario para su correcto funcionamiento</v>
      </c>
      <c r="D5" s="914"/>
      <c r="E5" s="72" t="s">
        <v>7</v>
      </c>
      <c r="F5" s="74" t="str">
        <f>+VLOOKUP(B5,PPTO!B8:G94,3,FALSE)</f>
        <v>ML</v>
      </c>
      <c r="G5" s="915" t="s">
        <v>1120</v>
      </c>
      <c r="H5" s="915"/>
      <c r="I5" s="916">
        <f>+VLOOKUP(B5,PPTO!B8:G94,5,FALSE)</f>
        <v>528201.31486633164</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8" x14ac:dyDescent="0.3">
      <c r="A8" s="78"/>
      <c r="B8" s="79"/>
      <c r="C8" s="79"/>
      <c r="D8" s="88" t="s">
        <v>1251</v>
      </c>
      <c r="E8" s="89"/>
      <c r="F8" s="89">
        <v>1.5</v>
      </c>
      <c r="G8" s="89">
        <f>2*1.2</f>
        <v>2.4</v>
      </c>
      <c r="H8" s="89"/>
      <c r="I8" s="90"/>
      <c r="J8" s="91">
        <f>+G8+F8</f>
        <v>3.9</v>
      </c>
    </row>
    <row r="9" spans="1:10" ht="18" x14ac:dyDescent="0.3">
      <c r="A9" s="78"/>
      <c r="B9" s="79"/>
      <c r="C9" s="79"/>
      <c r="D9" s="94" t="s">
        <v>1252</v>
      </c>
      <c r="E9" s="89"/>
      <c r="F9" s="89">
        <v>1.5</v>
      </c>
      <c r="G9" s="89">
        <f t="shared" ref="G9" si="0">2*1.2</f>
        <v>2.4</v>
      </c>
      <c r="H9" s="89"/>
      <c r="I9" s="93"/>
      <c r="J9" s="91">
        <f t="shared" ref="J9:J11" si="1">+G9+F9</f>
        <v>3.9</v>
      </c>
    </row>
    <row r="10" spans="1:10" ht="18" x14ac:dyDescent="0.3">
      <c r="A10" s="78"/>
      <c r="B10" s="79"/>
      <c r="C10" s="79"/>
      <c r="D10" s="94" t="s">
        <v>1253</v>
      </c>
      <c r="E10" s="89"/>
      <c r="F10" s="89">
        <v>0.8</v>
      </c>
      <c r="G10" s="89">
        <f>1.2</f>
        <v>1.2</v>
      </c>
      <c r="H10" s="89"/>
      <c r="I10" s="93"/>
      <c r="J10" s="91">
        <f t="shared" si="1"/>
        <v>2</v>
      </c>
    </row>
    <row r="11" spans="1:10" ht="18" x14ac:dyDescent="0.3">
      <c r="A11" s="78"/>
      <c r="B11" s="79"/>
      <c r="C11" s="79"/>
      <c r="D11" s="94"/>
      <c r="E11" s="89"/>
      <c r="F11" s="89"/>
      <c r="G11" s="89"/>
      <c r="H11" s="89"/>
      <c r="I11" s="93"/>
      <c r="J11" s="91">
        <f t="shared" si="1"/>
        <v>0</v>
      </c>
    </row>
    <row r="12" spans="1:10" ht="18" x14ac:dyDescent="0.3">
      <c r="A12" s="78"/>
      <c r="B12" s="79"/>
      <c r="C12" s="79"/>
      <c r="D12" s="94"/>
      <c r="E12" s="89"/>
      <c r="F12" s="89"/>
      <c r="G12" s="89"/>
      <c r="H12" s="89"/>
      <c r="I12" s="93"/>
      <c r="J12" s="91">
        <f t="shared" ref="J12:J46" si="2">+PRODUCT(E12:I12)</f>
        <v>0</v>
      </c>
    </row>
    <row r="13" spans="1:10" ht="18" x14ac:dyDescent="0.3">
      <c r="A13" s="78"/>
      <c r="B13" s="79"/>
      <c r="C13" s="79"/>
      <c r="D13" s="94"/>
      <c r="E13" s="89"/>
      <c r="F13" s="89"/>
      <c r="G13" s="89"/>
      <c r="H13" s="89"/>
      <c r="I13" s="93"/>
      <c r="J13" s="91">
        <f t="shared" si="2"/>
        <v>0</v>
      </c>
    </row>
    <row r="14" spans="1:10" ht="18" x14ac:dyDescent="0.3">
      <c r="A14" s="78"/>
      <c r="B14" s="79"/>
      <c r="C14" s="79"/>
      <c r="D14" s="94"/>
      <c r="E14" s="89"/>
      <c r="F14" s="89"/>
      <c r="G14" s="89"/>
      <c r="H14" s="89"/>
      <c r="I14" s="93"/>
      <c r="J14" s="91">
        <f t="shared" si="2"/>
        <v>0</v>
      </c>
    </row>
    <row r="15" spans="1:10" ht="18" x14ac:dyDescent="0.3">
      <c r="A15" s="78"/>
      <c r="B15" s="79"/>
      <c r="C15" s="79"/>
      <c r="D15" s="94"/>
      <c r="E15" s="89"/>
      <c r="F15" s="89"/>
      <c r="G15" s="89"/>
      <c r="H15" s="89"/>
      <c r="I15" s="93"/>
      <c r="J15" s="91">
        <f t="shared" si="2"/>
        <v>0</v>
      </c>
    </row>
    <row r="16" spans="1:10" ht="18" x14ac:dyDescent="0.3">
      <c r="A16" s="78"/>
      <c r="B16" s="79"/>
      <c r="C16" s="79"/>
      <c r="D16" s="94"/>
      <c r="E16" s="89"/>
      <c r="F16" s="89"/>
      <c r="G16" s="89"/>
      <c r="H16" s="89"/>
      <c r="I16" s="93"/>
      <c r="J16" s="91">
        <f t="shared" si="2"/>
        <v>0</v>
      </c>
    </row>
    <row r="17" spans="1:10" ht="18" x14ac:dyDescent="0.3">
      <c r="A17" s="78"/>
      <c r="B17" s="79"/>
      <c r="C17" s="79"/>
      <c r="D17" s="94"/>
      <c r="E17" s="89"/>
      <c r="F17" s="89"/>
      <c r="G17" s="89"/>
      <c r="H17" s="89"/>
      <c r="I17" s="93"/>
      <c r="J17" s="91">
        <f t="shared" si="2"/>
        <v>0</v>
      </c>
    </row>
    <row r="18" spans="1:10" ht="18" x14ac:dyDescent="0.3">
      <c r="A18" s="78"/>
      <c r="B18" s="79"/>
      <c r="C18" s="79"/>
      <c r="D18" s="94"/>
      <c r="E18" s="89"/>
      <c r="F18" s="89"/>
      <c r="G18" s="89"/>
      <c r="H18" s="89"/>
      <c r="I18" s="93"/>
      <c r="J18" s="91">
        <f t="shared" si="2"/>
        <v>0</v>
      </c>
    </row>
    <row r="19" spans="1:10" ht="18" x14ac:dyDescent="0.3">
      <c r="A19" s="78"/>
      <c r="B19" s="79"/>
      <c r="C19" s="79"/>
      <c r="D19" s="95"/>
      <c r="E19" s="89"/>
      <c r="F19" s="89"/>
      <c r="G19" s="89"/>
      <c r="H19" s="89"/>
      <c r="I19" s="93"/>
      <c r="J19" s="91">
        <f t="shared" si="2"/>
        <v>0</v>
      </c>
    </row>
    <row r="20" spans="1:10" ht="18" x14ac:dyDescent="0.3">
      <c r="A20" s="78"/>
      <c r="B20" s="79"/>
      <c r="C20" s="79"/>
      <c r="D20" s="88"/>
      <c r="E20" s="89"/>
      <c r="F20" s="89"/>
      <c r="G20" s="89"/>
      <c r="H20" s="89"/>
      <c r="I20" s="90"/>
      <c r="J20" s="91">
        <f t="shared" si="2"/>
        <v>0</v>
      </c>
    </row>
    <row r="21" spans="1:10" ht="18" x14ac:dyDescent="0.3">
      <c r="A21" s="78"/>
      <c r="B21" s="79"/>
      <c r="C21" s="79"/>
      <c r="D21" s="88"/>
      <c r="E21" s="89"/>
      <c r="F21" s="89"/>
      <c r="G21" s="89"/>
      <c r="H21" s="89"/>
      <c r="I21" s="90"/>
      <c r="J21" s="91">
        <f t="shared" si="2"/>
        <v>0</v>
      </c>
    </row>
    <row r="22" spans="1:10" ht="18" x14ac:dyDescent="0.3">
      <c r="A22" s="78"/>
      <c r="B22" s="79"/>
      <c r="C22" s="79"/>
      <c r="D22" s="88"/>
      <c r="E22" s="89"/>
      <c r="F22" s="89"/>
      <c r="G22" s="89"/>
      <c r="H22" s="89"/>
      <c r="I22" s="90"/>
      <c r="J22" s="91">
        <f t="shared" si="2"/>
        <v>0</v>
      </c>
    </row>
    <row r="23" spans="1:10" ht="18" x14ac:dyDescent="0.3">
      <c r="A23" s="78"/>
      <c r="B23" s="79"/>
      <c r="C23" s="79"/>
      <c r="D23" s="94"/>
      <c r="E23" s="89"/>
      <c r="F23" s="89"/>
      <c r="G23" s="89"/>
      <c r="H23" s="89"/>
      <c r="I23" s="93"/>
      <c r="J23" s="91">
        <f t="shared" si="2"/>
        <v>0</v>
      </c>
    </row>
    <row r="24" spans="1:10" ht="18" x14ac:dyDescent="0.3">
      <c r="A24" s="78"/>
      <c r="B24" s="79"/>
      <c r="C24" s="79"/>
      <c r="D24" s="94"/>
      <c r="E24" s="89"/>
      <c r="F24" s="89"/>
      <c r="G24" s="89"/>
      <c r="H24" s="89"/>
      <c r="I24" s="93"/>
      <c r="J24" s="91">
        <f t="shared" si="2"/>
        <v>0</v>
      </c>
    </row>
    <row r="25" spans="1:10" ht="18" x14ac:dyDescent="0.3">
      <c r="A25" s="78"/>
      <c r="B25" s="79"/>
      <c r="C25" s="79"/>
      <c r="D25" s="94"/>
      <c r="E25" s="89"/>
      <c r="F25" s="89"/>
      <c r="G25" s="89"/>
      <c r="H25" s="89"/>
      <c r="I25" s="93"/>
      <c r="J25" s="91">
        <f t="shared" si="2"/>
        <v>0</v>
      </c>
    </row>
    <row r="26" spans="1:10" ht="18" x14ac:dyDescent="0.3">
      <c r="A26" s="78"/>
      <c r="B26" s="79"/>
      <c r="C26" s="79"/>
      <c r="D26" s="94"/>
      <c r="E26" s="89"/>
      <c r="F26" s="89"/>
      <c r="G26" s="89"/>
      <c r="H26" s="89"/>
      <c r="I26" s="93"/>
      <c r="J26" s="91">
        <f t="shared" si="2"/>
        <v>0</v>
      </c>
    </row>
    <row r="27" spans="1:10" ht="18" x14ac:dyDescent="0.3">
      <c r="A27" s="78"/>
      <c r="B27" s="79"/>
      <c r="C27" s="79"/>
      <c r="D27" s="94"/>
      <c r="E27" s="89"/>
      <c r="F27" s="89"/>
      <c r="G27" s="89"/>
      <c r="H27" s="89"/>
      <c r="I27" s="93"/>
      <c r="J27" s="91">
        <f t="shared" si="2"/>
        <v>0</v>
      </c>
    </row>
    <row r="28" spans="1:10" ht="18" x14ac:dyDescent="0.3">
      <c r="A28" s="78"/>
      <c r="B28" s="79"/>
      <c r="C28" s="79"/>
      <c r="D28" s="94"/>
      <c r="E28" s="89"/>
      <c r="F28" s="89"/>
      <c r="G28" s="89"/>
      <c r="H28" s="89"/>
      <c r="I28" s="93"/>
      <c r="J28" s="91">
        <f t="shared" si="2"/>
        <v>0</v>
      </c>
    </row>
    <row r="29" spans="1:10" ht="18" x14ac:dyDescent="0.3">
      <c r="A29" s="78"/>
      <c r="B29" s="79"/>
      <c r="C29" s="79"/>
      <c r="D29" s="94"/>
      <c r="E29" s="89"/>
      <c r="F29" s="89"/>
      <c r="G29" s="89"/>
      <c r="H29" s="89"/>
      <c r="I29" s="93"/>
      <c r="J29" s="91">
        <f t="shared" si="2"/>
        <v>0</v>
      </c>
    </row>
    <row r="30" spans="1:10" ht="18" x14ac:dyDescent="0.3">
      <c r="A30" s="78"/>
      <c r="B30" s="79"/>
      <c r="C30" s="79"/>
      <c r="D30" s="94"/>
      <c r="E30" s="89"/>
      <c r="F30" s="89"/>
      <c r="G30" s="89"/>
      <c r="H30" s="89"/>
      <c r="I30" s="93"/>
      <c r="J30" s="91">
        <f t="shared" si="2"/>
        <v>0</v>
      </c>
    </row>
    <row r="31" spans="1:10" ht="18" x14ac:dyDescent="0.3">
      <c r="A31" s="78"/>
      <c r="B31" s="79"/>
      <c r="C31" s="79"/>
      <c r="D31" s="94"/>
      <c r="E31" s="89"/>
      <c r="F31" s="89"/>
      <c r="G31" s="89"/>
      <c r="H31" s="89"/>
      <c r="I31" s="93"/>
      <c r="J31" s="91">
        <f t="shared" si="2"/>
        <v>0</v>
      </c>
    </row>
    <row r="32" spans="1:10" ht="18" x14ac:dyDescent="0.3">
      <c r="A32" s="78"/>
      <c r="B32" s="79"/>
      <c r="C32" s="79"/>
      <c r="D32" s="94"/>
      <c r="E32" s="89"/>
      <c r="F32" s="89"/>
      <c r="G32" s="89"/>
      <c r="H32" s="89"/>
      <c r="I32" s="93"/>
      <c r="J32" s="91">
        <f t="shared" si="2"/>
        <v>0</v>
      </c>
    </row>
    <row r="33" spans="1:13" ht="18" x14ac:dyDescent="0.3">
      <c r="A33" s="78"/>
      <c r="B33" s="79"/>
      <c r="C33" s="79"/>
      <c r="D33" s="94"/>
      <c r="E33" s="89"/>
      <c r="F33" s="89"/>
      <c r="G33" s="89"/>
      <c r="H33" s="89"/>
      <c r="I33" s="93"/>
      <c r="J33" s="91">
        <f t="shared" si="2"/>
        <v>0</v>
      </c>
    </row>
    <row r="34" spans="1:13" ht="18" x14ac:dyDescent="0.3">
      <c r="A34" s="78"/>
      <c r="B34" s="79"/>
      <c r="C34" s="79"/>
      <c r="D34" s="94"/>
      <c r="E34" s="89"/>
      <c r="F34" s="89"/>
      <c r="G34" s="89"/>
      <c r="H34" s="89"/>
      <c r="I34" s="93"/>
      <c r="J34" s="91">
        <f t="shared" si="2"/>
        <v>0</v>
      </c>
    </row>
    <row r="35" spans="1:13" ht="18" x14ac:dyDescent="0.3">
      <c r="A35" s="78"/>
      <c r="B35" s="79"/>
      <c r="C35" s="79"/>
      <c r="D35" s="94"/>
      <c r="E35" s="89"/>
      <c r="F35" s="89"/>
      <c r="G35" s="89"/>
      <c r="H35" s="89"/>
      <c r="I35" s="93"/>
      <c r="J35" s="91">
        <f t="shared" si="2"/>
        <v>0</v>
      </c>
    </row>
    <row r="36" spans="1:13" ht="18" x14ac:dyDescent="0.3">
      <c r="A36" s="78"/>
      <c r="B36" s="79"/>
      <c r="C36" s="79"/>
      <c r="D36" s="94"/>
      <c r="E36" s="89"/>
      <c r="F36" s="89"/>
      <c r="G36" s="89"/>
      <c r="H36" s="89"/>
      <c r="I36" s="93"/>
      <c r="J36" s="91">
        <f t="shared" si="2"/>
        <v>0</v>
      </c>
    </row>
    <row r="37" spans="1:13" ht="18" x14ac:dyDescent="0.3">
      <c r="A37" s="78"/>
      <c r="B37" s="79"/>
      <c r="C37" s="79"/>
      <c r="D37" s="94"/>
      <c r="E37" s="89"/>
      <c r="F37" s="89"/>
      <c r="G37" s="89"/>
      <c r="H37" s="89"/>
      <c r="I37" s="93"/>
      <c r="J37" s="91">
        <f t="shared" si="2"/>
        <v>0</v>
      </c>
    </row>
    <row r="38" spans="1:13" ht="18" x14ac:dyDescent="0.3">
      <c r="A38" s="78"/>
      <c r="B38" s="79"/>
      <c r="C38" s="79"/>
      <c r="D38" s="94"/>
      <c r="E38" s="89"/>
      <c r="F38" s="89"/>
      <c r="G38" s="89"/>
      <c r="H38" s="89"/>
      <c r="I38" s="93"/>
      <c r="J38" s="91">
        <f t="shared" si="2"/>
        <v>0</v>
      </c>
    </row>
    <row r="39" spans="1:13" ht="18" x14ac:dyDescent="0.3">
      <c r="A39" s="78"/>
      <c r="B39" s="79"/>
      <c r="C39" s="79"/>
      <c r="D39" s="94"/>
      <c r="E39" s="89"/>
      <c r="F39" s="89"/>
      <c r="G39" s="89"/>
      <c r="H39" s="89"/>
      <c r="I39" s="93"/>
      <c r="J39" s="91">
        <f t="shared" si="2"/>
        <v>0</v>
      </c>
    </row>
    <row r="40" spans="1:13" ht="18" x14ac:dyDescent="0.3">
      <c r="A40" s="78"/>
      <c r="B40" s="79"/>
      <c r="C40" s="79"/>
      <c r="D40" s="94"/>
      <c r="E40" s="89"/>
      <c r="F40" s="89"/>
      <c r="G40" s="92"/>
      <c r="H40" s="89"/>
      <c r="I40" s="93"/>
      <c r="J40" s="91"/>
    </row>
    <row r="41" spans="1:13" ht="18" x14ac:dyDescent="0.3">
      <c r="A41" s="78"/>
      <c r="B41" s="79"/>
      <c r="C41" s="79"/>
      <c r="D41" s="94"/>
      <c r="E41" s="89"/>
      <c r="F41" s="89"/>
      <c r="G41" s="92"/>
      <c r="H41" s="89"/>
      <c r="I41" s="93"/>
      <c r="J41" s="91"/>
    </row>
    <row r="42" spans="1:13" ht="18" x14ac:dyDescent="0.3">
      <c r="A42" s="78"/>
      <c r="B42" s="79"/>
      <c r="C42" s="79"/>
      <c r="D42" s="94"/>
      <c r="E42" s="89"/>
      <c r="F42" s="89"/>
      <c r="G42" s="92"/>
      <c r="H42" s="89"/>
      <c r="I42" s="93"/>
      <c r="J42" s="91"/>
    </row>
    <row r="43" spans="1:13" ht="18" x14ac:dyDescent="0.3">
      <c r="A43" s="78"/>
      <c r="B43" s="79"/>
      <c r="C43" s="79"/>
      <c r="D43" s="94"/>
      <c r="E43" s="89"/>
      <c r="F43" s="89"/>
      <c r="G43" s="92"/>
      <c r="H43" s="89"/>
      <c r="I43" s="93"/>
      <c r="J43" s="91"/>
    </row>
    <row r="44" spans="1:13" ht="18" x14ac:dyDescent="0.3">
      <c r="A44" s="78"/>
      <c r="B44" s="79"/>
      <c r="C44" s="79"/>
      <c r="D44" s="94"/>
      <c r="E44" s="89"/>
      <c r="F44" s="89"/>
      <c r="G44" s="92"/>
      <c r="H44" s="89"/>
      <c r="I44" s="93"/>
      <c r="J44" s="91"/>
    </row>
    <row r="45" spans="1:13" ht="18" x14ac:dyDescent="0.3">
      <c r="A45" s="78"/>
      <c r="B45" s="79"/>
      <c r="C45" s="79"/>
      <c r="D45" s="95"/>
      <c r="E45" s="89"/>
      <c r="F45" s="89"/>
      <c r="G45" s="92"/>
      <c r="H45" s="89"/>
      <c r="I45" s="93"/>
      <c r="J45" s="91">
        <f t="shared" si="2"/>
        <v>0</v>
      </c>
    </row>
    <row r="46" spans="1:13" ht="18.75" thickBot="1" x14ac:dyDescent="0.35">
      <c r="A46" s="78"/>
      <c r="B46" s="79"/>
      <c r="C46" s="79"/>
      <c r="D46" s="96"/>
      <c r="E46" s="97"/>
      <c r="F46" s="97"/>
      <c r="G46" s="98"/>
      <c r="H46" s="97"/>
      <c r="I46" s="99"/>
      <c r="J46" s="100">
        <f t="shared" si="2"/>
        <v>0</v>
      </c>
      <c r="M46" s="105"/>
    </row>
    <row r="47" spans="1:13" ht="21" thickBot="1" x14ac:dyDescent="0.35">
      <c r="A47" s="78"/>
      <c r="B47" s="79"/>
      <c r="C47" s="79"/>
      <c r="D47" s="933" t="s">
        <v>10</v>
      </c>
      <c r="E47" s="934"/>
      <c r="F47" s="934"/>
      <c r="G47" s="934"/>
      <c r="H47" s="934"/>
      <c r="I47" s="935"/>
      <c r="J47" s="102">
        <f>ROUND(SUM(J8:J46),2)</f>
        <v>9.8000000000000007</v>
      </c>
    </row>
    <row r="48" spans="1:13" ht="21" thickBot="1" x14ac:dyDescent="0.35">
      <c r="A48" s="78"/>
      <c r="B48" s="79"/>
      <c r="C48" s="79"/>
      <c r="D48" s="933" t="s">
        <v>1127</v>
      </c>
      <c r="E48" s="934"/>
      <c r="F48" s="934"/>
      <c r="G48" s="934"/>
      <c r="H48" s="934"/>
      <c r="I48" s="935"/>
      <c r="J48" s="103"/>
    </row>
    <row r="49" spans="1:10" ht="21" thickBot="1" x14ac:dyDescent="0.35">
      <c r="A49" s="78"/>
      <c r="B49" s="79"/>
      <c r="C49" s="101"/>
      <c r="D49" s="933" t="s">
        <v>1128</v>
      </c>
      <c r="E49" s="934"/>
      <c r="F49" s="934"/>
      <c r="G49" s="934"/>
      <c r="H49" s="934"/>
      <c r="I49" s="935"/>
      <c r="J49" s="104">
        <f>+J47-J48</f>
        <v>9.8000000000000007</v>
      </c>
    </row>
    <row r="50" spans="1:10" ht="21" thickBot="1" x14ac:dyDescent="0.35">
      <c r="A50" s="936" t="s">
        <v>1129</v>
      </c>
      <c r="B50" s="937"/>
      <c r="C50" s="938"/>
      <c r="D50" s="939" t="s">
        <v>1130</v>
      </c>
      <c r="E50" s="940"/>
      <c r="F50" s="940"/>
      <c r="G50" s="940"/>
      <c r="H50" s="940"/>
      <c r="I50" s="940"/>
      <c r="J50" s="941"/>
    </row>
    <row r="51" spans="1:10" ht="38.25" customHeight="1" thickBot="1" x14ac:dyDescent="0.35">
      <c r="A51" s="942" t="str">
        <f>PPTO!G3</f>
        <v>JUNIO DE 2026</v>
      </c>
      <c r="B51" s="943"/>
      <c r="C51" s="944"/>
      <c r="D51" s="921"/>
      <c r="E51" s="922"/>
      <c r="F51" s="922"/>
      <c r="G51" s="922"/>
      <c r="H51" s="922"/>
      <c r="I51" s="922"/>
      <c r="J51" s="923"/>
    </row>
    <row r="52" spans="1:10" ht="19.5" thickBot="1" x14ac:dyDescent="0.35">
      <c r="A52" s="918"/>
      <c r="B52" s="919"/>
      <c r="C52" s="920"/>
      <c r="D52" s="921" t="s">
        <v>1131</v>
      </c>
      <c r="E52" s="922"/>
      <c r="F52" s="922"/>
      <c r="G52" s="922"/>
      <c r="H52" s="922"/>
      <c r="I52" s="922"/>
      <c r="J52" s="923"/>
    </row>
  </sheetData>
  <mergeCells count="19">
    <mergeCell ref="A2:J2"/>
    <mergeCell ref="A3:J3"/>
    <mergeCell ref="A4:J4"/>
    <mergeCell ref="C5:D5"/>
    <mergeCell ref="G5:H5"/>
    <mergeCell ref="I5:J5"/>
    <mergeCell ref="A52:C52"/>
    <mergeCell ref="D52:J52"/>
    <mergeCell ref="D6:D7"/>
    <mergeCell ref="E6:G6"/>
    <mergeCell ref="I6:I7"/>
    <mergeCell ref="J6:J7"/>
    <mergeCell ref="D47:I47"/>
    <mergeCell ref="D48:I48"/>
    <mergeCell ref="D49:I49"/>
    <mergeCell ref="A50:C50"/>
    <mergeCell ref="D50:J50"/>
    <mergeCell ref="A51:C51"/>
    <mergeCell ref="D51:J51"/>
  </mergeCells>
  <conditionalFormatting sqref="J8:J46">
    <cfRule type="cellIs" dxfId="5" priority="1" operator="equal">
      <formula>0</formula>
    </cfRule>
  </conditionalFormatting>
  <pageMargins left="0.7" right="0.7" top="0.75" bottom="0.75" header="0.3" footer="0.3"/>
  <pageSetup scale="49" orientation="landscape" r:id="rId1"/>
  <drawing r:id="rId2"/>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748A26-0520-4834-9760-24507DCA1933}">
  <sheetPr>
    <tabColor rgb="FF92D050"/>
    <pageSetUpPr fitToPage="1"/>
  </sheetPr>
  <dimension ref="A1:M52"/>
  <sheetViews>
    <sheetView showOutlineSymbols="0" view="pageBreakPreview" topLeftCell="A26" zoomScale="60" zoomScaleNormal="70" workbookViewId="0">
      <selection activeCell="I11" sqref="I11"/>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29.6" customHeight="1" thickBot="1" x14ac:dyDescent="0.35">
      <c r="A5" s="72" t="s">
        <v>5</v>
      </c>
      <c r="B5" s="73">
        <v>10.8</v>
      </c>
      <c r="C5" s="913" t="str">
        <f>+VLOOKUP(B5,PPTO!B8:G94,2,FALSE)</f>
        <v>Suministro e instalacion de barras de seguridad en acero inoxidable L=60cm, incluye accesorios y todos los elementos para su correcta instalacion</v>
      </c>
      <c r="D5" s="914"/>
      <c r="E5" s="72" t="s">
        <v>7</v>
      </c>
      <c r="F5" s="74" t="str">
        <f>+VLOOKUP(B5,PPTO!B8:G94,3,FALSE)</f>
        <v>UN</v>
      </c>
      <c r="G5" s="915" t="s">
        <v>1120</v>
      </c>
      <c r="H5" s="915"/>
      <c r="I5" s="916">
        <f>+VLOOKUP(B5,PPTO!B8:G94,5,FALSE)</f>
        <v>199301.31486633158</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8" x14ac:dyDescent="0.3">
      <c r="A8" s="78"/>
      <c r="B8" s="79"/>
      <c r="C8" s="79"/>
      <c r="D8" s="88" t="s">
        <v>1251</v>
      </c>
      <c r="E8" s="89"/>
      <c r="F8" s="89">
        <v>0.6</v>
      </c>
      <c r="G8" s="89"/>
      <c r="H8" s="89"/>
      <c r="I8" s="90">
        <v>3</v>
      </c>
      <c r="J8" s="91">
        <f>+I8</f>
        <v>3</v>
      </c>
    </row>
    <row r="9" spans="1:10" ht="18" x14ac:dyDescent="0.3">
      <c r="A9" s="78"/>
      <c r="B9" s="79"/>
      <c r="C9" s="79"/>
      <c r="D9" s="94" t="s">
        <v>1252</v>
      </c>
      <c r="E9" s="89"/>
      <c r="F9" s="89">
        <v>0.6</v>
      </c>
      <c r="G9" s="89"/>
      <c r="H9" s="89"/>
      <c r="I9" s="93">
        <v>4</v>
      </c>
      <c r="J9" s="91">
        <f t="shared" ref="J9:J11" si="0">+I9</f>
        <v>4</v>
      </c>
    </row>
    <row r="10" spans="1:10" ht="18" x14ac:dyDescent="0.3">
      <c r="A10" s="78"/>
      <c r="B10" s="79"/>
      <c r="C10" s="79"/>
      <c r="D10" s="94" t="s">
        <v>1253</v>
      </c>
      <c r="E10" s="89"/>
      <c r="F10" s="89">
        <v>0.6</v>
      </c>
      <c r="G10" s="89"/>
      <c r="H10" s="89"/>
      <c r="I10" s="93">
        <v>6</v>
      </c>
      <c r="J10" s="91">
        <f t="shared" si="0"/>
        <v>6</v>
      </c>
    </row>
    <row r="11" spans="1:10" ht="18" x14ac:dyDescent="0.3">
      <c r="A11" s="78"/>
      <c r="B11" s="79"/>
      <c r="C11" s="79"/>
      <c r="D11" s="94" t="s">
        <v>1254</v>
      </c>
      <c r="E11" s="89"/>
      <c r="F11" s="89">
        <v>0.6</v>
      </c>
      <c r="G11" s="89"/>
      <c r="H11" s="89"/>
      <c r="I11" s="93">
        <v>2</v>
      </c>
      <c r="J11" s="91">
        <f t="shared" si="0"/>
        <v>2</v>
      </c>
    </row>
    <row r="12" spans="1:10" ht="18" x14ac:dyDescent="0.3">
      <c r="A12" s="78"/>
      <c r="B12" s="79"/>
      <c r="C12" s="79"/>
      <c r="D12" s="94"/>
      <c r="E12" s="89"/>
      <c r="F12" s="89"/>
      <c r="G12" s="89"/>
      <c r="H12" s="89"/>
      <c r="I12" s="93"/>
      <c r="J12" s="91">
        <f t="shared" ref="J12:J46" si="1">+PRODUCT(E12:I12)</f>
        <v>0</v>
      </c>
    </row>
    <row r="13" spans="1:10" ht="18" x14ac:dyDescent="0.3">
      <c r="A13" s="78"/>
      <c r="B13" s="79"/>
      <c r="C13" s="79"/>
      <c r="D13" s="94"/>
      <c r="E13" s="89"/>
      <c r="F13" s="89"/>
      <c r="G13" s="89"/>
      <c r="H13" s="89"/>
      <c r="I13" s="93"/>
      <c r="J13" s="91">
        <f t="shared" si="1"/>
        <v>0</v>
      </c>
    </row>
    <row r="14" spans="1:10" ht="18" x14ac:dyDescent="0.3">
      <c r="A14" s="78"/>
      <c r="B14" s="79"/>
      <c r="C14" s="79"/>
      <c r="D14" s="94"/>
      <c r="E14" s="89"/>
      <c r="F14" s="89"/>
      <c r="G14" s="89"/>
      <c r="H14" s="89"/>
      <c r="I14" s="93"/>
      <c r="J14" s="91">
        <f t="shared" si="1"/>
        <v>0</v>
      </c>
    </row>
    <row r="15" spans="1:10" ht="18" x14ac:dyDescent="0.3">
      <c r="A15" s="78"/>
      <c r="B15" s="79"/>
      <c r="C15" s="79"/>
      <c r="D15" s="94"/>
      <c r="E15" s="89"/>
      <c r="F15" s="89"/>
      <c r="G15" s="89"/>
      <c r="H15" s="89"/>
      <c r="I15" s="93"/>
      <c r="J15" s="91">
        <f t="shared" si="1"/>
        <v>0</v>
      </c>
    </row>
    <row r="16" spans="1:10" ht="18" x14ac:dyDescent="0.3">
      <c r="A16" s="78"/>
      <c r="B16" s="79"/>
      <c r="C16" s="79"/>
      <c r="D16" s="94"/>
      <c r="E16" s="89"/>
      <c r="F16" s="89"/>
      <c r="G16" s="89"/>
      <c r="H16" s="89"/>
      <c r="I16" s="93"/>
      <c r="J16" s="91">
        <f t="shared" si="1"/>
        <v>0</v>
      </c>
    </row>
    <row r="17" spans="1:10" ht="18" x14ac:dyDescent="0.3">
      <c r="A17" s="78"/>
      <c r="B17" s="79"/>
      <c r="C17" s="79"/>
      <c r="D17" s="94"/>
      <c r="E17" s="89"/>
      <c r="F17" s="89"/>
      <c r="G17" s="89"/>
      <c r="H17" s="89"/>
      <c r="I17" s="93"/>
      <c r="J17" s="91">
        <f t="shared" si="1"/>
        <v>0</v>
      </c>
    </row>
    <row r="18" spans="1:10" ht="18" x14ac:dyDescent="0.3">
      <c r="A18" s="78"/>
      <c r="B18" s="79"/>
      <c r="C18" s="79"/>
      <c r="D18" s="94"/>
      <c r="E18" s="89"/>
      <c r="F18" s="89"/>
      <c r="G18" s="89"/>
      <c r="H18" s="89"/>
      <c r="I18" s="93"/>
      <c r="J18" s="91">
        <f t="shared" si="1"/>
        <v>0</v>
      </c>
    </row>
    <row r="19" spans="1:10" ht="18" x14ac:dyDescent="0.3">
      <c r="A19" s="78"/>
      <c r="B19" s="79"/>
      <c r="C19" s="79"/>
      <c r="D19" s="95"/>
      <c r="E19" s="89"/>
      <c r="F19" s="89"/>
      <c r="G19" s="89"/>
      <c r="H19" s="89"/>
      <c r="I19" s="93"/>
      <c r="J19" s="91">
        <f t="shared" si="1"/>
        <v>0</v>
      </c>
    </row>
    <row r="20" spans="1:10" ht="18" x14ac:dyDescent="0.3">
      <c r="A20" s="78"/>
      <c r="B20" s="79"/>
      <c r="C20" s="79"/>
      <c r="D20" s="88"/>
      <c r="E20" s="89"/>
      <c r="F20" s="89"/>
      <c r="G20" s="89"/>
      <c r="H20" s="89"/>
      <c r="I20" s="90"/>
      <c r="J20" s="91">
        <f t="shared" si="1"/>
        <v>0</v>
      </c>
    </row>
    <row r="21" spans="1:10" ht="18" x14ac:dyDescent="0.3">
      <c r="A21" s="78"/>
      <c r="B21" s="79"/>
      <c r="C21" s="79"/>
      <c r="D21" s="88"/>
      <c r="E21" s="89"/>
      <c r="F21" s="89"/>
      <c r="G21" s="89"/>
      <c r="H21" s="89"/>
      <c r="I21" s="90"/>
      <c r="J21" s="91">
        <f t="shared" si="1"/>
        <v>0</v>
      </c>
    </row>
    <row r="22" spans="1:10" ht="18" x14ac:dyDescent="0.3">
      <c r="A22" s="78"/>
      <c r="B22" s="79"/>
      <c r="C22" s="79"/>
      <c r="D22" s="88"/>
      <c r="E22" s="89"/>
      <c r="F22" s="89"/>
      <c r="G22" s="89"/>
      <c r="H22" s="89"/>
      <c r="I22" s="90"/>
      <c r="J22" s="91">
        <f t="shared" si="1"/>
        <v>0</v>
      </c>
    </row>
    <row r="23" spans="1:10" ht="18" x14ac:dyDescent="0.3">
      <c r="A23" s="78"/>
      <c r="B23" s="79"/>
      <c r="C23" s="79"/>
      <c r="D23" s="94"/>
      <c r="E23" s="89"/>
      <c r="F23" s="89"/>
      <c r="G23" s="89"/>
      <c r="H23" s="89"/>
      <c r="I23" s="93"/>
      <c r="J23" s="91">
        <f t="shared" si="1"/>
        <v>0</v>
      </c>
    </row>
    <row r="24" spans="1:10" ht="18" x14ac:dyDescent="0.3">
      <c r="A24" s="78"/>
      <c r="B24" s="79"/>
      <c r="C24" s="79"/>
      <c r="D24" s="94"/>
      <c r="E24" s="89"/>
      <c r="F24" s="89"/>
      <c r="G24" s="89"/>
      <c r="H24" s="89"/>
      <c r="I24" s="93"/>
      <c r="J24" s="91">
        <f t="shared" si="1"/>
        <v>0</v>
      </c>
    </row>
    <row r="25" spans="1:10" ht="18" x14ac:dyDescent="0.3">
      <c r="A25" s="78"/>
      <c r="B25" s="79"/>
      <c r="C25" s="79"/>
      <c r="D25" s="94"/>
      <c r="E25" s="89"/>
      <c r="F25" s="89"/>
      <c r="G25" s="89"/>
      <c r="H25" s="89"/>
      <c r="I25" s="93"/>
      <c r="J25" s="91">
        <f t="shared" si="1"/>
        <v>0</v>
      </c>
    </row>
    <row r="26" spans="1:10" ht="18" x14ac:dyDescent="0.3">
      <c r="A26" s="78"/>
      <c r="B26" s="79"/>
      <c r="C26" s="79"/>
      <c r="D26" s="94"/>
      <c r="E26" s="89"/>
      <c r="F26" s="89"/>
      <c r="G26" s="89"/>
      <c r="H26" s="89"/>
      <c r="I26" s="93"/>
      <c r="J26" s="91">
        <f t="shared" si="1"/>
        <v>0</v>
      </c>
    </row>
    <row r="27" spans="1:10" ht="18" x14ac:dyDescent="0.3">
      <c r="A27" s="78"/>
      <c r="B27" s="79"/>
      <c r="C27" s="79"/>
      <c r="D27" s="94"/>
      <c r="E27" s="89"/>
      <c r="F27" s="89"/>
      <c r="G27" s="89"/>
      <c r="H27" s="89"/>
      <c r="I27" s="93"/>
      <c r="J27" s="91">
        <f t="shared" si="1"/>
        <v>0</v>
      </c>
    </row>
    <row r="28" spans="1:10" ht="18" x14ac:dyDescent="0.3">
      <c r="A28" s="78"/>
      <c r="B28" s="79"/>
      <c r="C28" s="79"/>
      <c r="D28" s="94"/>
      <c r="E28" s="89"/>
      <c r="F28" s="89"/>
      <c r="G28" s="89"/>
      <c r="H28" s="89"/>
      <c r="I28" s="93"/>
      <c r="J28" s="91">
        <f t="shared" si="1"/>
        <v>0</v>
      </c>
    </row>
    <row r="29" spans="1:10" ht="18" x14ac:dyDescent="0.3">
      <c r="A29" s="78"/>
      <c r="B29" s="79"/>
      <c r="C29" s="79"/>
      <c r="D29" s="94"/>
      <c r="E29" s="89"/>
      <c r="F29" s="89"/>
      <c r="G29" s="89"/>
      <c r="H29" s="89"/>
      <c r="I29" s="93"/>
      <c r="J29" s="91">
        <f t="shared" si="1"/>
        <v>0</v>
      </c>
    </row>
    <row r="30" spans="1:10" ht="18" x14ac:dyDescent="0.3">
      <c r="A30" s="78"/>
      <c r="B30" s="79"/>
      <c r="C30" s="79"/>
      <c r="D30" s="94"/>
      <c r="E30" s="89"/>
      <c r="F30" s="89"/>
      <c r="G30" s="89"/>
      <c r="H30" s="89"/>
      <c r="I30" s="93"/>
      <c r="J30" s="91">
        <f t="shared" si="1"/>
        <v>0</v>
      </c>
    </row>
    <row r="31" spans="1:10" ht="18" x14ac:dyDescent="0.3">
      <c r="A31" s="78"/>
      <c r="B31" s="79"/>
      <c r="C31" s="79"/>
      <c r="D31" s="94"/>
      <c r="E31" s="89"/>
      <c r="F31" s="89"/>
      <c r="G31" s="89"/>
      <c r="H31" s="89"/>
      <c r="I31" s="93"/>
      <c r="J31" s="91">
        <f t="shared" si="1"/>
        <v>0</v>
      </c>
    </row>
    <row r="32" spans="1:10" ht="18" x14ac:dyDescent="0.3">
      <c r="A32" s="78"/>
      <c r="B32" s="79"/>
      <c r="C32" s="79"/>
      <c r="D32" s="94"/>
      <c r="E32" s="89"/>
      <c r="F32" s="89"/>
      <c r="G32" s="89"/>
      <c r="H32" s="89"/>
      <c r="I32" s="93"/>
      <c r="J32" s="91">
        <f t="shared" si="1"/>
        <v>0</v>
      </c>
    </row>
    <row r="33" spans="1:13" ht="18" x14ac:dyDescent="0.3">
      <c r="A33" s="78"/>
      <c r="B33" s="79"/>
      <c r="C33" s="79"/>
      <c r="D33" s="94"/>
      <c r="E33" s="89"/>
      <c r="F33" s="89"/>
      <c r="G33" s="89"/>
      <c r="H33" s="89"/>
      <c r="I33" s="93"/>
      <c r="J33" s="91">
        <f t="shared" si="1"/>
        <v>0</v>
      </c>
    </row>
    <row r="34" spans="1:13" ht="18" x14ac:dyDescent="0.3">
      <c r="A34" s="78"/>
      <c r="B34" s="79"/>
      <c r="C34" s="79"/>
      <c r="D34" s="94"/>
      <c r="E34" s="89"/>
      <c r="F34" s="89"/>
      <c r="G34" s="89"/>
      <c r="H34" s="89"/>
      <c r="I34" s="93"/>
      <c r="J34" s="91">
        <f t="shared" si="1"/>
        <v>0</v>
      </c>
    </row>
    <row r="35" spans="1:13" ht="18" x14ac:dyDescent="0.3">
      <c r="A35" s="78"/>
      <c r="B35" s="79"/>
      <c r="C35" s="79"/>
      <c r="D35" s="94"/>
      <c r="E35" s="89"/>
      <c r="F35" s="89"/>
      <c r="G35" s="89"/>
      <c r="H35" s="89"/>
      <c r="I35" s="93"/>
      <c r="J35" s="91">
        <f t="shared" si="1"/>
        <v>0</v>
      </c>
    </row>
    <row r="36" spans="1:13" ht="18" x14ac:dyDescent="0.3">
      <c r="A36" s="78"/>
      <c r="B36" s="79"/>
      <c r="C36" s="79"/>
      <c r="D36" s="94"/>
      <c r="E36" s="89"/>
      <c r="F36" s="89"/>
      <c r="G36" s="89"/>
      <c r="H36" s="89"/>
      <c r="I36" s="93"/>
      <c r="J36" s="91">
        <f t="shared" si="1"/>
        <v>0</v>
      </c>
    </row>
    <row r="37" spans="1:13" ht="18" x14ac:dyDescent="0.3">
      <c r="A37" s="78"/>
      <c r="B37" s="79"/>
      <c r="C37" s="79"/>
      <c r="D37" s="94"/>
      <c r="E37" s="89"/>
      <c r="F37" s="89"/>
      <c r="G37" s="89"/>
      <c r="H37" s="89"/>
      <c r="I37" s="93"/>
      <c r="J37" s="91">
        <f t="shared" si="1"/>
        <v>0</v>
      </c>
    </row>
    <row r="38" spans="1:13" ht="18" x14ac:dyDescent="0.3">
      <c r="A38" s="78"/>
      <c r="B38" s="79"/>
      <c r="C38" s="79"/>
      <c r="D38" s="94"/>
      <c r="E38" s="89"/>
      <c r="F38" s="89"/>
      <c r="G38" s="89"/>
      <c r="H38" s="89"/>
      <c r="I38" s="93"/>
      <c r="J38" s="91">
        <f t="shared" si="1"/>
        <v>0</v>
      </c>
    </row>
    <row r="39" spans="1:13" ht="18" x14ac:dyDescent="0.3">
      <c r="A39" s="78"/>
      <c r="B39" s="79"/>
      <c r="C39" s="79"/>
      <c r="D39" s="94"/>
      <c r="E39" s="89"/>
      <c r="F39" s="89"/>
      <c r="G39" s="89"/>
      <c r="H39" s="89"/>
      <c r="I39" s="93"/>
      <c r="J39" s="91">
        <f t="shared" si="1"/>
        <v>0</v>
      </c>
    </row>
    <row r="40" spans="1:13" ht="18" x14ac:dyDescent="0.3">
      <c r="A40" s="78"/>
      <c r="B40" s="79"/>
      <c r="C40" s="79"/>
      <c r="D40" s="94"/>
      <c r="E40" s="89"/>
      <c r="F40" s="89"/>
      <c r="G40" s="92"/>
      <c r="H40" s="89"/>
      <c r="I40" s="93"/>
      <c r="J40" s="91"/>
    </row>
    <row r="41" spans="1:13" ht="18" x14ac:dyDescent="0.3">
      <c r="A41" s="78"/>
      <c r="B41" s="79"/>
      <c r="C41" s="79"/>
      <c r="D41" s="94"/>
      <c r="E41" s="89"/>
      <c r="F41" s="89"/>
      <c r="G41" s="92"/>
      <c r="H41" s="89"/>
      <c r="I41" s="93"/>
      <c r="J41" s="91"/>
    </row>
    <row r="42" spans="1:13" ht="18" x14ac:dyDescent="0.3">
      <c r="A42" s="78"/>
      <c r="B42" s="79"/>
      <c r="C42" s="79"/>
      <c r="D42" s="94"/>
      <c r="E42" s="89"/>
      <c r="F42" s="89"/>
      <c r="G42" s="92"/>
      <c r="H42" s="89"/>
      <c r="I42" s="93"/>
      <c r="J42" s="91"/>
    </row>
    <row r="43" spans="1:13" ht="18" x14ac:dyDescent="0.3">
      <c r="A43" s="78"/>
      <c r="B43" s="79"/>
      <c r="C43" s="79"/>
      <c r="D43" s="94"/>
      <c r="E43" s="89"/>
      <c r="F43" s="89"/>
      <c r="G43" s="92"/>
      <c r="H43" s="89"/>
      <c r="I43" s="93"/>
      <c r="J43" s="91"/>
    </row>
    <row r="44" spans="1:13" ht="18" x14ac:dyDescent="0.3">
      <c r="A44" s="78"/>
      <c r="B44" s="79"/>
      <c r="C44" s="79"/>
      <c r="D44" s="94"/>
      <c r="E44" s="89"/>
      <c r="F44" s="89"/>
      <c r="G44" s="92"/>
      <c r="H44" s="89"/>
      <c r="I44" s="93"/>
      <c r="J44" s="91"/>
    </row>
    <row r="45" spans="1:13" ht="18" x14ac:dyDescent="0.3">
      <c r="A45" s="78"/>
      <c r="B45" s="79"/>
      <c r="C45" s="79"/>
      <c r="D45" s="95"/>
      <c r="E45" s="89"/>
      <c r="F45" s="89"/>
      <c r="G45" s="92"/>
      <c r="H45" s="89"/>
      <c r="I45" s="93"/>
      <c r="J45" s="91">
        <f t="shared" si="1"/>
        <v>0</v>
      </c>
    </row>
    <row r="46" spans="1:13" ht="18.75" thickBot="1" x14ac:dyDescent="0.35">
      <c r="A46" s="78"/>
      <c r="B46" s="79"/>
      <c r="C46" s="79"/>
      <c r="D46" s="96"/>
      <c r="E46" s="97"/>
      <c r="F46" s="97"/>
      <c r="G46" s="98"/>
      <c r="H46" s="97"/>
      <c r="I46" s="99"/>
      <c r="J46" s="100">
        <f t="shared" si="1"/>
        <v>0</v>
      </c>
      <c r="M46" s="105"/>
    </row>
    <row r="47" spans="1:13" ht="21" thickBot="1" x14ac:dyDescent="0.35">
      <c r="A47" s="78"/>
      <c r="B47" s="79"/>
      <c r="C47" s="79"/>
      <c r="D47" s="933" t="s">
        <v>10</v>
      </c>
      <c r="E47" s="934"/>
      <c r="F47" s="934"/>
      <c r="G47" s="934"/>
      <c r="H47" s="934"/>
      <c r="I47" s="935"/>
      <c r="J47" s="102">
        <f>ROUND(SUM(J8:J46),2)</f>
        <v>15</v>
      </c>
    </row>
    <row r="48" spans="1:13" ht="21" thickBot="1" x14ac:dyDescent="0.35">
      <c r="A48" s="78"/>
      <c r="B48" s="79"/>
      <c r="C48" s="79"/>
      <c r="D48" s="933" t="s">
        <v>1127</v>
      </c>
      <c r="E48" s="934"/>
      <c r="F48" s="934"/>
      <c r="G48" s="934"/>
      <c r="H48" s="934"/>
      <c r="I48" s="935"/>
      <c r="J48" s="103"/>
    </row>
    <row r="49" spans="1:10" ht="21" thickBot="1" x14ac:dyDescent="0.35">
      <c r="A49" s="78"/>
      <c r="B49" s="79"/>
      <c r="C49" s="101"/>
      <c r="D49" s="933" t="s">
        <v>1128</v>
      </c>
      <c r="E49" s="934"/>
      <c r="F49" s="934"/>
      <c r="G49" s="934"/>
      <c r="H49" s="934"/>
      <c r="I49" s="935"/>
      <c r="J49" s="104">
        <f>+J47-J48</f>
        <v>15</v>
      </c>
    </row>
    <row r="50" spans="1:10" ht="21" thickBot="1" x14ac:dyDescent="0.35">
      <c r="A50" s="936" t="s">
        <v>1129</v>
      </c>
      <c r="B50" s="937"/>
      <c r="C50" s="938"/>
      <c r="D50" s="939" t="s">
        <v>1130</v>
      </c>
      <c r="E50" s="940"/>
      <c r="F50" s="940"/>
      <c r="G50" s="940"/>
      <c r="H50" s="940"/>
      <c r="I50" s="940"/>
      <c r="J50" s="941"/>
    </row>
    <row r="51" spans="1:10" ht="38.25" customHeight="1" thickBot="1" x14ac:dyDescent="0.35">
      <c r="A51" s="942" t="str">
        <f>PPTO!G3</f>
        <v>JUNIO DE 2026</v>
      </c>
      <c r="B51" s="943"/>
      <c r="C51" s="944"/>
      <c r="D51" s="921"/>
      <c r="E51" s="922"/>
      <c r="F51" s="922"/>
      <c r="G51" s="922"/>
      <c r="H51" s="922"/>
      <c r="I51" s="922"/>
      <c r="J51" s="923"/>
    </row>
    <row r="52" spans="1:10" ht="19.5" thickBot="1" x14ac:dyDescent="0.35">
      <c r="A52" s="918"/>
      <c r="B52" s="919"/>
      <c r="C52" s="920"/>
      <c r="D52" s="921" t="s">
        <v>1131</v>
      </c>
      <c r="E52" s="922"/>
      <c r="F52" s="922"/>
      <c r="G52" s="922"/>
      <c r="H52" s="922"/>
      <c r="I52" s="922"/>
      <c r="J52" s="923"/>
    </row>
  </sheetData>
  <mergeCells count="19">
    <mergeCell ref="A2:J2"/>
    <mergeCell ref="A3:J3"/>
    <mergeCell ref="A4:J4"/>
    <mergeCell ref="C5:D5"/>
    <mergeCell ref="G5:H5"/>
    <mergeCell ref="I5:J5"/>
    <mergeCell ref="A52:C52"/>
    <mergeCell ref="D52:J52"/>
    <mergeCell ref="D6:D7"/>
    <mergeCell ref="E6:G6"/>
    <mergeCell ref="I6:I7"/>
    <mergeCell ref="J6:J7"/>
    <mergeCell ref="D47:I47"/>
    <mergeCell ref="D48:I48"/>
    <mergeCell ref="D49:I49"/>
    <mergeCell ref="A50:C50"/>
    <mergeCell ref="D50:J50"/>
    <mergeCell ref="A51:C51"/>
    <mergeCell ref="D51:J51"/>
  </mergeCells>
  <conditionalFormatting sqref="J8:J46">
    <cfRule type="cellIs" dxfId="4" priority="1" operator="equal">
      <formula>0</formula>
    </cfRule>
  </conditionalFormatting>
  <pageMargins left="0.7" right="0.7" top="0.75" bottom="0.75" header="0.3" footer="0.3"/>
  <pageSetup scale="49" orientation="landscape" r:id="rId1"/>
  <drawing r:id="rId2"/>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1FE444-E9EC-4A40-B4F0-E5ABD27FEE42}">
  <sheetPr>
    <tabColor rgb="FFD4ECBA"/>
    <pageSetUpPr fitToPage="1"/>
  </sheetPr>
  <dimension ref="A1:M52"/>
  <sheetViews>
    <sheetView showOutlineSymbols="0" view="pageBreakPreview" topLeftCell="A19" zoomScale="60" zoomScaleNormal="70" workbookViewId="0">
      <selection activeCell="O15" sqref="O15"/>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29.6" customHeight="1" thickBot="1" x14ac:dyDescent="0.35">
      <c r="A5" s="72" t="s">
        <v>5</v>
      </c>
      <c r="B5" s="73">
        <v>11.1</v>
      </c>
      <c r="C5" s="913" t="str">
        <f>+VLOOKUP(B5,PPTO!B8:G94,2,FALSE)</f>
        <v>Suministro transporte e instalacion de detector inteligente de humo con alarma sonora.</v>
      </c>
      <c r="D5" s="914"/>
      <c r="E5" s="72" t="s">
        <v>7</v>
      </c>
      <c r="F5" s="74" t="str">
        <f>+VLOOKUP(B5,PPTO!B8:G94,3,FALSE)</f>
        <v>UN</v>
      </c>
      <c r="G5" s="915" t="s">
        <v>1120</v>
      </c>
      <c r="H5" s="915"/>
      <c r="I5" s="916">
        <f>+VLOOKUP(B5,PPTO!B8:G94,5,FALSE)</f>
        <v>183148.12951359441</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8" x14ac:dyDescent="0.3">
      <c r="A8" s="78"/>
      <c r="B8" s="79"/>
      <c r="C8" s="79"/>
      <c r="D8" s="88" t="s">
        <v>1230</v>
      </c>
      <c r="E8" s="89"/>
      <c r="F8" s="89"/>
      <c r="G8" s="89"/>
      <c r="H8" s="89"/>
      <c r="I8" s="90">
        <v>11</v>
      </c>
      <c r="J8" s="91">
        <f>+I8</f>
        <v>11</v>
      </c>
    </row>
    <row r="9" spans="1:10" ht="18" x14ac:dyDescent="0.3">
      <c r="A9" s="78"/>
      <c r="B9" s="79"/>
      <c r="C9" s="79"/>
      <c r="D9" s="94" t="s">
        <v>1212</v>
      </c>
      <c r="E9" s="89"/>
      <c r="F9" s="89"/>
      <c r="G9" s="89"/>
      <c r="H9" s="89"/>
      <c r="I9" s="93">
        <v>4</v>
      </c>
      <c r="J9" s="91">
        <f t="shared" ref="J9:J11" si="0">+I9</f>
        <v>4</v>
      </c>
    </row>
    <row r="10" spans="1:10" ht="18" x14ac:dyDescent="0.3">
      <c r="A10" s="78"/>
      <c r="B10" s="79"/>
      <c r="C10" s="79"/>
      <c r="D10" s="94" t="s">
        <v>1217</v>
      </c>
      <c r="E10" s="89"/>
      <c r="F10" s="89"/>
      <c r="G10" s="89"/>
      <c r="H10" s="89"/>
      <c r="I10" s="93">
        <v>4</v>
      </c>
      <c r="J10" s="91">
        <f t="shared" si="0"/>
        <v>4</v>
      </c>
    </row>
    <row r="11" spans="1:10" ht="18" x14ac:dyDescent="0.3">
      <c r="A11" s="78"/>
      <c r="B11" s="79"/>
      <c r="C11" s="79"/>
      <c r="D11" s="94" t="s">
        <v>1206</v>
      </c>
      <c r="E11" s="89"/>
      <c r="F11" s="89"/>
      <c r="G11" s="89"/>
      <c r="H11" s="89"/>
      <c r="I11" s="93">
        <v>3</v>
      </c>
      <c r="J11" s="91">
        <f t="shared" si="0"/>
        <v>3</v>
      </c>
    </row>
    <row r="12" spans="1:10" ht="18" x14ac:dyDescent="0.3">
      <c r="A12" s="78"/>
      <c r="B12" s="79"/>
      <c r="C12" s="79"/>
      <c r="D12" s="94" t="s">
        <v>1202</v>
      </c>
      <c r="E12" s="89"/>
      <c r="F12" s="89"/>
      <c r="G12" s="89"/>
      <c r="H12" s="89"/>
      <c r="I12" s="93">
        <v>4</v>
      </c>
      <c r="J12" s="91">
        <f t="shared" ref="J12:J46" si="1">+PRODUCT(E12:I12)</f>
        <v>4</v>
      </c>
    </row>
    <row r="13" spans="1:10" ht="18" x14ac:dyDescent="0.3">
      <c r="A13" s="78"/>
      <c r="B13" s="79"/>
      <c r="C13" s="79"/>
      <c r="D13" s="94" t="s">
        <v>1207</v>
      </c>
      <c r="E13" s="89"/>
      <c r="F13" s="89"/>
      <c r="G13" s="89"/>
      <c r="H13" s="89"/>
      <c r="I13" s="93">
        <v>4</v>
      </c>
      <c r="J13" s="91">
        <f t="shared" si="1"/>
        <v>4</v>
      </c>
    </row>
    <row r="14" spans="1:10" ht="18" x14ac:dyDescent="0.3">
      <c r="A14" s="78"/>
      <c r="B14" s="79"/>
      <c r="C14" s="79"/>
      <c r="D14" s="94" t="s">
        <v>1213</v>
      </c>
      <c r="E14" s="89"/>
      <c r="F14" s="89"/>
      <c r="G14" s="89"/>
      <c r="H14" s="89"/>
      <c r="I14" s="93">
        <v>1</v>
      </c>
      <c r="J14" s="91">
        <f t="shared" si="1"/>
        <v>1</v>
      </c>
    </row>
    <row r="15" spans="1:10" ht="18" x14ac:dyDescent="0.3">
      <c r="A15" s="78"/>
      <c r="B15" s="79"/>
      <c r="C15" s="79"/>
      <c r="D15" s="94" t="s">
        <v>1203</v>
      </c>
      <c r="E15" s="89"/>
      <c r="F15" s="89"/>
      <c r="G15" s="89"/>
      <c r="H15" s="89"/>
      <c r="I15" s="93">
        <v>6</v>
      </c>
      <c r="J15" s="91">
        <f t="shared" si="1"/>
        <v>6</v>
      </c>
    </row>
    <row r="16" spans="1:10" ht="18" x14ac:dyDescent="0.3">
      <c r="A16" s="78"/>
      <c r="B16" s="79"/>
      <c r="C16" s="79"/>
      <c r="D16" s="94" t="s">
        <v>1255</v>
      </c>
      <c r="E16" s="89"/>
      <c r="F16" s="89"/>
      <c r="G16" s="89"/>
      <c r="H16" s="89"/>
      <c r="I16" s="93">
        <v>1</v>
      </c>
      <c r="J16" s="91">
        <f t="shared" si="1"/>
        <v>1</v>
      </c>
    </row>
    <row r="17" spans="1:10" ht="18" x14ac:dyDescent="0.3">
      <c r="A17" s="78"/>
      <c r="B17" s="79"/>
      <c r="C17" s="79"/>
      <c r="D17" s="94"/>
      <c r="E17" s="89"/>
      <c r="F17" s="89"/>
      <c r="G17" s="89"/>
      <c r="H17" s="89"/>
      <c r="I17" s="93"/>
      <c r="J17" s="91">
        <f t="shared" si="1"/>
        <v>0</v>
      </c>
    </row>
    <row r="18" spans="1:10" ht="18" x14ac:dyDescent="0.3">
      <c r="A18" s="78"/>
      <c r="B18" s="79"/>
      <c r="C18" s="79"/>
      <c r="D18" s="94"/>
      <c r="E18" s="89"/>
      <c r="F18" s="89"/>
      <c r="G18" s="89"/>
      <c r="H18" s="89"/>
      <c r="I18" s="93"/>
      <c r="J18" s="91">
        <f t="shared" si="1"/>
        <v>0</v>
      </c>
    </row>
    <row r="19" spans="1:10" ht="18" x14ac:dyDescent="0.3">
      <c r="A19" s="78"/>
      <c r="B19" s="79"/>
      <c r="C19" s="79"/>
      <c r="D19" s="95"/>
      <c r="E19" s="89"/>
      <c r="F19" s="89"/>
      <c r="G19" s="89"/>
      <c r="H19" s="89"/>
      <c r="I19" s="93"/>
      <c r="J19" s="91">
        <f t="shared" si="1"/>
        <v>0</v>
      </c>
    </row>
    <row r="20" spans="1:10" ht="18" x14ac:dyDescent="0.3">
      <c r="A20" s="78"/>
      <c r="B20" s="79"/>
      <c r="C20" s="79"/>
      <c r="D20" s="88"/>
      <c r="E20" s="89"/>
      <c r="F20" s="89"/>
      <c r="G20" s="89"/>
      <c r="H20" s="89"/>
      <c r="I20" s="90"/>
      <c r="J20" s="91">
        <f t="shared" si="1"/>
        <v>0</v>
      </c>
    </row>
    <row r="21" spans="1:10" ht="18" x14ac:dyDescent="0.3">
      <c r="A21" s="78"/>
      <c r="B21" s="79"/>
      <c r="C21" s="79"/>
      <c r="D21" s="88"/>
      <c r="E21" s="89"/>
      <c r="F21" s="89"/>
      <c r="G21" s="89"/>
      <c r="H21" s="89"/>
      <c r="I21" s="90"/>
      <c r="J21" s="91">
        <f t="shared" si="1"/>
        <v>0</v>
      </c>
    </row>
    <row r="22" spans="1:10" ht="18" x14ac:dyDescent="0.3">
      <c r="A22" s="78"/>
      <c r="B22" s="79"/>
      <c r="C22" s="79"/>
      <c r="D22" s="88"/>
      <c r="E22" s="89"/>
      <c r="F22" s="89"/>
      <c r="G22" s="89"/>
      <c r="H22" s="89"/>
      <c r="I22" s="90"/>
      <c r="J22" s="91">
        <f t="shared" si="1"/>
        <v>0</v>
      </c>
    </row>
    <row r="23" spans="1:10" ht="18" x14ac:dyDescent="0.3">
      <c r="A23" s="78"/>
      <c r="B23" s="79"/>
      <c r="C23" s="79"/>
      <c r="D23" s="94"/>
      <c r="E23" s="89"/>
      <c r="F23" s="89"/>
      <c r="G23" s="89"/>
      <c r="H23" s="89"/>
      <c r="I23" s="93"/>
      <c r="J23" s="91">
        <f t="shared" si="1"/>
        <v>0</v>
      </c>
    </row>
    <row r="24" spans="1:10" ht="18" x14ac:dyDescent="0.3">
      <c r="A24" s="78"/>
      <c r="B24" s="79"/>
      <c r="C24" s="79"/>
      <c r="D24" s="94"/>
      <c r="E24" s="89"/>
      <c r="F24" s="89"/>
      <c r="G24" s="89"/>
      <c r="H24" s="89"/>
      <c r="I24" s="93"/>
      <c r="J24" s="91">
        <f t="shared" si="1"/>
        <v>0</v>
      </c>
    </row>
    <row r="25" spans="1:10" ht="18" x14ac:dyDescent="0.3">
      <c r="A25" s="78"/>
      <c r="B25" s="79"/>
      <c r="C25" s="79"/>
      <c r="D25" s="94"/>
      <c r="E25" s="89"/>
      <c r="F25" s="89"/>
      <c r="G25" s="89"/>
      <c r="H25" s="89"/>
      <c r="I25" s="93"/>
      <c r="J25" s="91">
        <f t="shared" si="1"/>
        <v>0</v>
      </c>
    </row>
    <row r="26" spans="1:10" ht="18" x14ac:dyDescent="0.3">
      <c r="A26" s="78"/>
      <c r="B26" s="79"/>
      <c r="C26" s="79"/>
      <c r="D26" s="94"/>
      <c r="E26" s="89"/>
      <c r="F26" s="89"/>
      <c r="G26" s="89"/>
      <c r="H26" s="89"/>
      <c r="I26" s="93"/>
      <c r="J26" s="91">
        <f t="shared" si="1"/>
        <v>0</v>
      </c>
    </row>
    <row r="27" spans="1:10" ht="18" x14ac:dyDescent="0.3">
      <c r="A27" s="78"/>
      <c r="B27" s="79"/>
      <c r="C27" s="79"/>
      <c r="D27" s="94"/>
      <c r="E27" s="89"/>
      <c r="F27" s="89"/>
      <c r="G27" s="89"/>
      <c r="H27" s="89"/>
      <c r="I27" s="93"/>
      <c r="J27" s="91">
        <f t="shared" si="1"/>
        <v>0</v>
      </c>
    </row>
    <row r="28" spans="1:10" ht="18" x14ac:dyDescent="0.3">
      <c r="A28" s="78"/>
      <c r="B28" s="79"/>
      <c r="C28" s="79"/>
      <c r="D28" s="94"/>
      <c r="E28" s="89"/>
      <c r="F28" s="89"/>
      <c r="G28" s="89"/>
      <c r="H28" s="89"/>
      <c r="I28" s="93"/>
      <c r="J28" s="91">
        <f t="shared" si="1"/>
        <v>0</v>
      </c>
    </row>
    <row r="29" spans="1:10" ht="18" x14ac:dyDescent="0.3">
      <c r="A29" s="78"/>
      <c r="B29" s="79"/>
      <c r="C29" s="79"/>
      <c r="D29" s="94"/>
      <c r="E29" s="89"/>
      <c r="F29" s="89"/>
      <c r="G29" s="89"/>
      <c r="H29" s="89"/>
      <c r="I29" s="93"/>
      <c r="J29" s="91">
        <f t="shared" si="1"/>
        <v>0</v>
      </c>
    </row>
    <row r="30" spans="1:10" ht="18" x14ac:dyDescent="0.3">
      <c r="A30" s="78"/>
      <c r="B30" s="79"/>
      <c r="C30" s="79"/>
      <c r="D30" s="94"/>
      <c r="E30" s="89"/>
      <c r="F30" s="89"/>
      <c r="G30" s="89"/>
      <c r="H30" s="89"/>
      <c r="I30" s="93"/>
      <c r="J30" s="91">
        <f t="shared" si="1"/>
        <v>0</v>
      </c>
    </row>
    <row r="31" spans="1:10" ht="18" x14ac:dyDescent="0.3">
      <c r="A31" s="78"/>
      <c r="B31" s="79"/>
      <c r="C31" s="79"/>
      <c r="D31" s="94"/>
      <c r="E31" s="89"/>
      <c r="F31" s="89"/>
      <c r="G31" s="89"/>
      <c r="H31" s="89"/>
      <c r="I31" s="93"/>
      <c r="J31" s="91">
        <f t="shared" si="1"/>
        <v>0</v>
      </c>
    </row>
    <row r="32" spans="1:10" ht="18" x14ac:dyDescent="0.3">
      <c r="A32" s="78"/>
      <c r="B32" s="79"/>
      <c r="C32" s="79"/>
      <c r="D32" s="94"/>
      <c r="E32" s="89"/>
      <c r="F32" s="89"/>
      <c r="G32" s="89"/>
      <c r="H32" s="89"/>
      <c r="I32" s="93"/>
      <c r="J32" s="91">
        <f t="shared" si="1"/>
        <v>0</v>
      </c>
    </row>
    <row r="33" spans="1:13" ht="18" x14ac:dyDescent="0.3">
      <c r="A33" s="78"/>
      <c r="B33" s="79"/>
      <c r="C33" s="79"/>
      <c r="D33" s="94"/>
      <c r="E33" s="89"/>
      <c r="F33" s="89"/>
      <c r="G33" s="89"/>
      <c r="H33" s="89"/>
      <c r="I33" s="93"/>
      <c r="J33" s="91">
        <f t="shared" si="1"/>
        <v>0</v>
      </c>
    </row>
    <row r="34" spans="1:13" ht="18" x14ac:dyDescent="0.3">
      <c r="A34" s="78"/>
      <c r="B34" s="79"/>
      <c r="C34" s="79"/>
      <c r="D34" s="94"/>
      <c r="E34" s="89"/>
      <c r="F34" s="89"/>
      <c r="G34" s="89"/>
      <c r="H34" s="89"/>
      <c r="I34" s="93"/>
      <c r="J34" s="91">
        <f t="shared" si="1"/>
        <v>0</v>
      </c>
    </row>
    <row r="35" spans="1:13" ht="18" x14ac:dyDescent="0.3">
      <c r="A35" s="78"/>
      <c r="B35" s="79"/>
      <c r="C35" s="79"/>
      <c r="D35" s="94"/>
      <c r="E35" s="89"/>
      <c r="F35" s="89"/>
      <c r="G35" s="89"/>
      <c r="H35" s="89"/>
      <c r="I35" s="93"/>
      <c r="J35" s="91">
        <f t="shared" si="1"/>
        <v>0</v>
      </c>
    </row>
    <row r="36" spans="1:13" ht="18" x14ac:dyDescent="0.3">
      <c r="A36" s="78"/>
      <c r="B36" s="79"/>
      <c r="C36" s="79"/>
      <c r="D36" s="94"/>
      <c r="E36" s="89"/>
      <c r="F36" s="89"/>
      <c r="G36" s="89"/>
      <c r="H36" s="89"/>
      <c r="I36" s="93"/>
      <c r="J36" s="91">
        <f t="shared" si="1"/>
        <v>0</v>
      </c>
    </row>
    <row r="37" spans="1:13" ht="18" x14ac:dyDescent="0.3">
      <c r="A37" s="78"/>
      <c r="B37" s="79"/>
      <c r="C37" s="79"/>
      <c r="D37" s="94"/>
      <c r="E37" s="89"/>
      <c r="F37" s="89"/>
      <c r="G37" s="89"/>
      <c r="H37" s="89"/>
      <c r="I37" s="93"/>
      <c r="J37" s="91">
        <f t="shared" si="1"/>
        <v>0</v>
      </c>
    </row>
    <row r="38" spans="1:13" ht="18" x14ac:dyDescent="0.3">
      <c r="A38" s="78"/>
      <c r="B38" s="79"/>
      <c r="C38" s="79"/>
      <c r="D38" s="94"/>
      <c r="E38" s="89"/>
      <c r="F38" s="89"/>
      <c r="G38" s="89"/>
      <c r="H38" s="89"/>
      <c r="I38" s="93"/>
      <c r="J38" s="91">
        <f t="shared" si="1"/>
        <v>0</v>
      </c>
    </row>
    <row r="39" spans="1:13" ht="18" x14ac:dyDescent="0.3">
      <c r="A39" s="78"/>
      <c r="B39" s="79"/>
      <c r="C39" s="79"/>
      <c r="D39" s="94"/>
      <c r="E39" s="89"/>
      <c r="F39" s="89"/>
      <c r="G39" s="89"/>
      <c r="H39" s="89"/>
      <c r="I39" s="93"/>
      <c r="J39" s="91">
        <f t="shared" si="1"/>
        <v>0</v>
      </c>
    </row>
    <row r="40" spans="1:13" ht="18" x14ac:dyDescent="0.3">
      <c r="A40" s="78"/>
      <c r="B40" s="79"/>
      <c r="C40" s="79"/>
      <c r="D40" s="94"/>
      <c r="E40" s="89"/>
      <c r="F40" s="89"/>
      <c r="G40" s="92"/>
      <c r="H40" s="89"/>
      <c r="I40" s="93"/>
      <c r="J40" s="91"/>
    </row>
    <row r="41" spans="1:13" ht="18" x14ac:dyDescent="0.3">
      <c r="A41" s="78"/>
      <c r="B41" s="79"/>
      <c r="C41" s="79"/>
      <c r="D41" s="94"/>
      <c r="E41" s="89"/>
      <c r="F41" s="89"/>
      <c r="G41" s="92"/>
      <c r="H41" s="89"/>
      <c r="I41" s="93"/>
      <c r="J41" s="91"/>
    </row>
    <row r="42" spans="1:13" ht="18" x14ac:dyDescent="0.3">
      <c r="A42" s="78"/>
      <c r="B42" s="79"/>
      <c r="C42" s="79"/>
      <c r="D42" s="94"/>
      <c r="E42" s="89"/>
      <c r="F42" s="89"/>
      <c r="G42" s="92"/>
      <c r="H42" s="89"/>
      <c r="I42" s="93"/>
      <c r="J42" s="91"/>
    </row>
    <row r="43" spans="1:13" ht="18" x14ac:dyDescent="0.3">
      <c r="A43" s="78"/>
      <c r="B43" s="79"/>
      <c r="C43" s="79"/>
      <c r="D43" s="94"/>
      <c r="E43" s="89"/>
      <c r="F43" s="89"/>
      <c r="G43" s="92"/>
      <c r="H43" s="89"/>
      <c r="I43" s="93"/>
      <c r="J43" s="91"/>
    </row>
    <row r="44" spans="1:13" ht="18" x14ac:dyDescent="0.3">
      <c r="A44" s="78"/>
      <c r="B44" s="79"/>
      <c r="C44" s="79"/>
      <c r="D44" s="94"/>
      <c r="E44" s="89"/>
      <c r="F44" s="89"/>
      <c r="G44" s="92"/>
      <c r="H44" s="89"/>
      <c r="I44" s="93"/>
      <c r="J44" s="91"/>
    </row>
    <row r="45" spans="1:13" ht="18" x14ac:dyDescent="0.3">
      <c r="A45" s="78"/>
      <c r="B45" s="79"/>
      <c r="C45" s="79"/>
      <c r="D45" s="95"/>
      <c r="E45" s="89"/>
      <c r="F45" s="89"/>
      <c r="G45" s="92"/>
      <c r="H45" s="89"/>
      <c r="I45" s="93"/>
      <c r="J45" s="91">
        <f t="shared" si="1"/>
        <v>0</v>
      </c>
    </row>
    <row r="46" spans="1:13" ht="18.75" thickBot="1" x14ac:dyDescent="0.35">
      <c r="A46" s="78"/>
      <c r="B46" s="79"/>
      <c r="C46" s="79"/>
      <c r="D46" s="96"/>
      <c r="E46" s="97"/>
      <c r="F46" s="97"/>
      <c r="G46" s="98"/>
      <c r="H46" s="97"/>
      <c r="I46" s="99"/>
      <c r="J46" s="100">
        <f t="shared" si="1"/>
        <v>0</v>
      </c>
      <c r="M46" s="105"/>
    </row>
    <row r="47" spans="1:13" ht="21" thickBot="1" x14ac:dyDescent="0.35">
      <c r="A47" s="78"/>
      <c r="B47" s="79"/>
      <c r="C47" s="79"/>
      <c r="D47" s="933" t="s">
        <v>10</v>
      </c>
      <c r="E47" s="934"/>
      <c r="F47" s="934"/>
      <c r="G47" s="934"/>
      <c r="H47" s="934"/>
      <c r="I47" s="935"/>
      <c r="J47" s="102">
        <f>ROUND(SUM(J8:J46),2)</f>
        <v>38</v>
      </c>
    </row>
    <row r="48" spans="1:13" ht="21" thickBot="1" x14ac:dyDescent="0.35">
      <c r="A48" s="78"/>
      <c r="B48" s="79"/>
      <c r="C48" s="79"/>
      <c r="D48" s="933" t="s">
        <v>1127</v>
      </c>
      <c r="E48" s="934"/>
      <c r="F48" s="934"/>
      <c r="G48" s="934"/>
      <c r="H48" s="934"/>
      <c r="I48" s="935"/>
      <c r="J48" s="103"/>
    </row>
    <row r="49" spans="1:10" ht="21" thickBot="1" x14ac:dyDescent="0.35">
      <c r="A49" s="78"/>
      <c r="B49" s="79"/>
      <c r="C49" s="101"/>
      <c r="D49" s="933" t="s">
        <v>1128</v>
      </c>
      <c r="E49" s="934"/>
      <c r="F49" s="934"/>
      <c r="G49" s="934"/>
      <c r="H49" s="934"/>
      <c r="I49" s="935"/>
      <c r="J49" s="104">
        <f>+J47-J48</f>
        <v>38</v>
      </c>
    </row>
    <row r="50" spans="1:10" ht="21" thickBot="1" x14ac:dyDescent="0.35">
      <c r="A50" s="936" t="s">
        <v>1129</v>
      </c>
      <c r="B50" s="937"/>
      <c r="C50" s="938"/>
      <c r="D50" s="939" t="s">
        <v>1130</v>
      </c>
      <c r="E50" s="940"/>
      <c r="F50" s="940"/>
      <c r="G50" s="940"/>
      <c r="H50" s="940"/>
      <c r="I50" s="940"/>
      <c r="J50" s="941"/>
    </row>
    <row r="51" spans="1:10" ht="38.25" customHeight="1" thickBot="1" x14ac:dyDescent="0.35">
      <c r="A51" s="942" t="str">
        <f>PPTO!G3</f>
        <v>JUNIO DE 2026</v>
      </c>
      <c r="B51" s="943"/>
      <c r="C51" s="944"/>
      <c r="D51" s="921"/>
      <c r="E51" s="922"/>
      <c r="F51" s="922"/>
      <c r="G51" s="922"/>
      <c r="H51" s="922"/>
      <c r="I51" s="922"/>
      <c r="J51" s="923"/>
    </row>
    <row r="52" spans="1:10" ht="19.5" thickBot="1" x14ac:dyDescent="0.35">
      <c r="A52" s="918"/>
      <c r="B52" s="919"/>
      <c r="C52" s="920"/>
      <c r="D52" s="921" t="s">
        <v>1131</v>
      </c>
      <c r="E52" s="922"/>
      <c r="F52" s="922"/>
      <c r="G52" s="922"/>
      <c r="H52" s="922"/>
      <c r="I52" s="922"/>
      <c r="J52" s="923"/>
    </row>
  </sheetData>
  <mergeCells count="19">
    <mergeCell ref="A2:J2"/>
    <mergeCell ref="A3:J3"/>
    <mergeCell ref="A4:J4"/>
    <mergeCell ref="C5:D5"/>
    <mergeCell ref="G5:H5"/>
    <mergeCell ref="I5:J5"/>
    <mergeCell ref="A52:C52"/>
    <mergeCell ref="D52:J52"/>
    <mergeCell ref="D6:D7"/>
    <mergeCell ref="E6:G6"/>
    <mergeCell ref="I6:I7"/>
    <mergeCell ref="J6:J7"/>
    <mergeCell ref="D47:I47"/>
    <mergeCell ref="D48:I48"/>
    <mergeCell ref="D49:I49"/>
    <mergeCell ref="A50:C50"/>
    <mergeCell ref="D50:J50"/>
    <mergeCell ref="A51:C51"/>
    <mergeCell ref="D51:J51"/>
  </mergeCells>
  <conditionalFormatting sqref="J8:J46">
    <cfRule type="cellIs" dxfId="3" priority="1" operator="equal">
      <formula>0</formula>
    </cfRule>
  </conditionalFormatting>
  <pageMargins left="0.7" right="0.7" top="0.75" bottom="0.75" header="0.3" footer="0.3"/>
  <pageSetup scale="49" orientation="landscape" r:id="rId1"/>
  <drawing r:id="rId2"/>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FCCB05-9EB0-4C6A-A82A-2C13DBD936C4}">
  <sheetPr>
    <tabColor rgb="FFD4ECBA"/>
    <pageSetUpPr fitToPage="1"/>
  </sheetPr>
  <dimension ref="A1:M52"/>
  <sheetViews>
    <sheetView showOutlineSymbols="0" view="pageBreakPreview" topLeftCell="A24" zoomScale="60" zoomScaleNormal="70" workbookViewId="0">
      <selection activeCell="B6" sqref="B6"/>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29.6" customHeight="1" thickBot="1" x14ac:dyDescent="0.35">
      <c r="A5" s="72" t="s">
        <v>5</v>
      </c>
      <c r="B5" s="73">
        <v>11.2</v>
      </c>
      <c r="C5" s="913" t="str">
        <f>+VLOOKUP(B5,PPTO!B8:G94,2,FALSE)</f>
        <v>Suministro transporte e instalacion de Extintor multiproposito de polvo químico seco 10 Libras Con manguera</v>
      </c>
      <c r="D5" s="914"/>
      <c r="E5" s="72" t="s">
        <v>7</v>
      </c>
      <c r="F5" s="74" t="str">
        <f>+VLOOKUP(B5,PPTO!B8:G94,3,FALSE)</f>
        <v>UN</v>
      </c>
      <c r="G5" s="915" t="s">
        <v>1120</v>
      </c>
      <c r="H5" s="915"/>
      <c r="I5" s="916">
        <f>+VLOOKUP(B5,PPTO!B8:G94,5,FALSE)</f>
        <v>104801.31486633158</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8" x14ac:dyDescent="0.3">
      <c r="A8" s="78"/>
      <c r="B8" s="79"/>
      <c r="C8" s="79"/>
      <c r="D8" s="88" t="s">
        <v>1230</v>
      </c>
      <c r="E8" s="89"/>
      <c r="F8" s="89"/>
      <c r="G8" s="89"/>
      <c r="H8" s="89"/>
      <c r="I8" s="90">
        <v>1</v>
      </c>
      <c r="J8" s="91">
        <f>+I8</f>
        <v>1</v>
      </c>
    </row>
    <row r="9" spans="1:10" ht="18" x14ac:dyDescent="0.3">
      <c r="A9" s="78"/>
      <c r="B9" s="79"/>
      <c r="C9" s="79"/>
      <c r="D9" s="94" t="s">
        <v>1212</v>
      </c>
      <c r="E9" s="89"/>
      <c r="F9" s="89"/>
      <c r="G9" s="89"/>
      <c r="H9" s="89"/>
      <c r="I9" s="93">
        <v>1</v>
      </c>
      <c r="J9" s="91">
        <f t="shared" ref="J9:J11" si="0">+I9</f>
        <v>1</v>
      </c>
    </row>
    <row r="10" spans="1:10" ht="18" x14ac:dyDescent="0.3">
      <c r="A10" s="78"/>
      <c r="B10" s="79"/>
      <c r="C10" s="79"/>
      <c r="D10" s="94" t="s">
        <v>1217</v>
      </c>
      <c r="E10" s="89"/>
      <c r="F10" s="89"/>
      <c r="G10" s="89"/>
      <c r="H10" s="89"/>
      <c r="I10" s="93">
        <v>1</v>
      </c>
      <c r="J10" s="91">
        <f t="shared" si="0"/>
        <v>1</v>
      </c>
    </row>
    <row r="11" spans="1:10" ht="18" x14ac:dyDescent="0.3">
      <c r="A11" s="78"/>
      <c r="B11" s="79"/>
      <c r="C11" s="79"/>
      <c r="D11" s="94" t="s">
        <v>1206</v>
      </c>
      <c r="E11" s="89"/>
      <c r="F11" s="89"/>
      <c r="G11" s="89"/>
      <c r="H11" s="89"/>
      <c r="I11" s="93">
        <v>0</v>
      </c>
      <c r="J11" s="91">
        <f t="shared" si="0"/>
        <v>0</v>
      </c>
    </row>
    <row r="12" spans="1:10" ht="18" x14ac:dyDescent="0.3">
      <c r="A12" s="78"/>
      <c r="B12" s="79"/>
      <c r="C12" s="79"/>
      <c r="D12" s="94" t="s">
        <v>1202</v>
      </c>
      <c r="E12" s="89"/>
      <c r="F12" s="89"/>
      <c r="G12" s="89"/>
      <c r="H12" s="89"/>
      <c r="I12" s="93">
        <v>1</v>
      </c>
      <c r="J12" s="91">
        <f t="shared" ref="J12:J46" si="1">+PRODUCT(E12:I12)</f>
        <v>1</v>
      </c>
    </row>
    <row r="13" spans="1:10" ht="18" x14ac:dyDescent="0.3">
      <c r="A13" s="78"/>
      <c r="B13" s="79"/>
      <c r="C13" s="79"/>
      <c r="D13" s="94" t="s">
        <v>1207</v>
      </c>
      <c r="E13" s="89"/>
      <c r="F13" s="89"/>
      <c r="G13" s="89"/>
      <c r="H13" s="89"/>
      <c r="I13" s="93">
        <v>0</v>
      </c>
      <c r="J13" s="91">
        <f t="shared" si="1"/>
        <v>0</v>
      </c>
    </row>
    <row r="14" spans="1:10" ht="18" x14ac:dyDescent="0.3">
      <c r="A14" s="78"/>
      <c r="B14" s="79"/>
      <c r="C14" s="79"/>
      <c r="D14" s="94" t="s">
        <v>1213</v>
      </c>
      <c r="E14" s="89"/>
      <c r="F14" s="89"/>
      <c r="G14" s="89"/>
      <c r="H14" s="89"/>
      <c r="I14" s="93">
        <v>0</v>
      </c>
      <c r="J14" s="91">
        <f t="shared" si="1"/>
        <v>0</v>
      </c>
    </row>
    <row r="15" spans="1:10" ht="18" x14ac:dyDescent="0.3">
      <c r="A15" s="78"/>
      <c r="B15" s="79"/>
      <c r="C15" s="79"/>
      <c r="D15" s="94" t="s">
        <v>1203</v>
      </c>
      <c r="E15" s="89"/>
      <c r="F15" s="89"/>
      <c r="G15" s="89"/>
      <c r="H15" s="89"/>
      <c r="I15" s="93">
        <v>1</v>
      </c>
      <c r="J15" s="91">
        <f t="shared" si="1"/>
        <v>1</v>
      </c>
    </row>
    <row r="16" spans="1:10" ht="18" x14ac:dyDescent="0.3">
      <c r="A16" s="78"/>
      <c r="B16" s="79"/>
      <c r="C16" s="79"/>
      <c r="D16" s="94" t="s">
        <v>1255</v>
      </c>
      <c r="E16" s="89"/>
      <c r="F16" s="89"/>
      <c r="G16" s="89"/>
      <c r="H16" s="89"/>
      <c r="I16" s="93">
        <v>0</v>
      </c>
      <c r="J16" s="91">
        <f t="shared" si="1"/>
        <v>0</v>
      </c>
    </row>
    <row r="17" spans="1:10" ht="18" x14ac:dyDescent="0.3">
      <c r="A17" s="78"/>
      <c r="B17" s="79"/>
      <c r="C17" s="79"/>
      <c r="D17" s="94"/>
      <c r="E17" s="89"/>
      <c r="F17" s="89"/>
      <c r="G17" s="89"/>
      <c r="H17" s="89"/>
      <c r="I17" s="93"/>
      <c r="J17" s="91">
        <f t="shared" si="1"/>
        <v>0</v>
      </c>
    </row>
    <row r="18" spans="1:10" ht="18" x14ac:dyDescent="0.3">
      <c r="A18" s="78"/>
      <c r="B18" s="79"/>
      <c r="C18" s="79"/>
      <c r="D18" s="94"/>
      <c r="E18" s="89"/>
      <c r="F18" s="89"/>
      <c r="G18" s="89"/>
      <c r="H18" s="89"/>
      <c r="I18" s="93"/>
      <c r="J18" s="91">
        <f t="shared" si="1"/>
        <v>0</v>
      </c>
    </row>
    <row r="19" spans="1:10" ht="18" x14ac:dyDescent="0.3">
      <c r="A19" s="78"/>
      <c r="B19" s="79"/>
      <c r="C19" s="79"/>
      <c r="D19" s="95"/>
      <c r="E19" s="89"/>
      <c r="F19" s="89"/>
      <c r="G19" s="89"/>
      <c r="H19" s="89"/>
      <c r="I19" s="93"/>
      <c r="J19" s="91">
        <f t="shared" si="1"/>
        <v>0</v>
      </c>
    </row>
    <row r="20" spans="1:10" ht="18" x14ac:dyDescent="0.3">
      <c r="A20" s="78"/>
      <c r="B20" s="79"/>
      <c r="C20" s="79"/>
      <c r="D20" s="88"/>
      <c r="E20" s="89"/>
      <c r="F20" s="89"/>
      <c r="G20" s="89"/>
      <c r="H20" s="89"/>
      <c r="I20" s="90"/>
      <c r="J20" s="91">
        <f t="shared" si="1"/>
        <v>0</v>
      </c>
    </row>
    <row r="21" spans="1:10" ht="18" x14ac:dyDescent="0.3">
      <c r="A21" s="78"/>
      <c r="B21" s="79"/>
      <c r="C21" s="79"/>
      <c r="D21" s="88"/>
      <c r="E21" s="89"/>
      <c r="F21" s="89"/>
      <c r="G21" s="89"/>
      <c r="H21" s="89"/>
      <c r="I21" s="90"/>
      <c r="J21" s="91">
        <f t="shared" si="1"/>
        <v>0</v>
      </c>
    </row>
    <row r="22" spans="1:10" ht="18" x14ac:dyDescent="0.3">
      <c r="A22" s="78"/>
      <c r="B22" s="79"/>
      <c r="C22" s="79"/>
      <c r="D22" s="88"/>
      <c r="E22" s="89"/>
      <c r="F22" s="89"/>
      <c r="G22" s="89"/>
      <c r="H22" s="89"/>
      <c r="I22" s="90"/>
      <c r="J22" s="91">
        <f t="shared" si="1"/>
        <v>0</v>
      </c>
    </row>
    <row r="23" spans="1:10" ht="18" x14ac:dyDescent="0.3">
      <c r="A23" s="78"/>
      <c r="B23" s="79"/>
      <c r="C23" s="79"/>
      <c r="D23" s="94"/>
      <c r="E23" s="89"/>
      <c r="F23" s="89"/>
      <c r="G23" s="89"/>
      <c r="H23" s="89"/>
      <c r="I23" s="93"/>
      <c r="J23" s="91">
        <f t="shared" si="1"/>
        <v>0</v>
      </c>
    </row>
    <row r="24" spans="1:10" ht="18" x14ac:dyDescent="0.3">
      <c r="A24" s="78"/>
      <c r="B24" s="79"/>
      <c r="C24" s="79"/>
      <c r="D24" s="94"/>
      <c r="E24" s="89"/>
      <c r="F24" s="89"/>
      <c r="G24" s="89"/>
      <c r="H24" s="89"/>
      <c r="I24" s="93"/>
      <c r="J24" s="91">
        <f t="shared" si="1"/>
        <v>0</v>
      </c>
    </row>
    <row r="25" spans="1:10" ht="18" x14ac:dyDescent="0.3">
      <c r="A25" s="78"/>
      <c r="B25" s="79"/>
      <c r="C25" s="79"/>
      <c r="D25" s="94"/>
      <c r="E25" s="89"/>
      <c r="F25" s="89"/>
      <c r="G25" s="89"/>
      <c r="H25" s="89"/>
      <c r="I25" s="93"/>
      <c r="J25" s="91">
        <f t="shared" si="1"/>
        <v>0</v>
      </c>
    </row>
    <row r="26" spans="1:10" ht="18" x14ac:dyDescent="0.3">
      <c r="A26" s="78"/>
      <c r="B26" s="79"/>
      <c r="C26" s="79"/>
      <c r="D26" s="94"/>
      <c r="E26" s="89"/>
      <c r="F26" s="89"/>
      <c r="G26" s="89"/>
      <c r="H26" s="89"/>
      <c r="I26" s="93"/>
      <c r="J26" s="91">
        <f t="shared" si="1"/>
        <v>0</v>
      </c>
    </row>
    <row r="27" spans="1:10" ht="18" x14ac:dyDescent="0.3">
      <c r="A27" s="78"/>
      <c r="B27" s="79"/>
      <c r="C27" s="79"/>
      <c r="D27" s="94"/>
      <c r="E27" s="89"/>
      <c r="F27" s="89"/>
      <c r="G27" s="89"/>
      <c r="H27" s="89"/>
      <c r="I27" s="93"/>
      <c r="J27" s="91">
        <f t="shared" si="1"/>
        <v>0</v>
      </c>
    </row>
    <row r="28" spans="1:10" ht="18" x14ac:dyDescent="0.3">
      <c r="A28" s="78"/>
      <c r="B28" s="79"/>
      <c r="C28" s="79"/>
      <c r="D28" s="94"/>
      <c r="E28" s="89"/>
      <c r="F28" s="89"/>
      <c r="G28" s="89"/>
      <c r="H28" s="89"/>
      <c r="I28" s="93"/>
      <c r="J28" s="91">
        <f t="shared" si="1"/>
        <v>0</v>
      </c>
    </row>
    <row r="29" spans="1:10" ht="18" x14ac:dyDescent="0.3">
      <c r="A29" s="78"/>
      <c r="B29" s="79"/>
      <c r="C29" s="79"/>
      <c r="D29" s="94"/>
      <c r="E29" s="89"/>
      <c r="F29" s="89"/>
      <c r="G29" s="89"/>
      <c r="H29" s="89"/>
      <c r="I29" s="93"/>
      <c r="J29" s="91">
        <f t="shared" si="1"/>
        <v>0</v>
      </c>
    </row>
    <row r="30" spans="1:10" ht="18" x14ac:dyDescent="0.3">
      <c r="A30" s="78"/>
      <c r="B30" s="79"/>
      <c r="C30" s="79"/>
      <c r="D30" s="94"/>
      <c r="E30" s="89"/>
      <c r="F30" s="89"/>
      <c r="G30" s="89"/>
      <c r="H30" s="89"/>
      <c r="I30" s="93"/>
      <c r="J30" s="91">
        <f t="shared" si="1"/>
        <v>0</v>
      </c>
    </row>
    <row r="31" spans="1:10" ht="18" x14ac:dyDescent="0.3">
      <c r="A31" s="78"/>
      <c r="B31" s="79"/>
      <c r="C31" s="79"/>
      <c r="D31" s="94"/>
      <c r="E31" s="89"/>
      <c r="F31" s="89"/>
      <c r="G31" s="89"/>
      <c r="H31" s="89"/>
      <c r="I31" s="93"/>
      <c r="J31" s="91">
        <f t="shared" si="1"/>
        <v>0</v>
      </c>
    </row>
    <row r="32" spans="1:10" ht="18" x14ac:dyDescent="0.3">
      <c r="A32" s="78"/>
      <c r="B32" s="79"/>
      <c r="C32" s="79"/>
      <c r="D32" s="94"/>
      <c r="E32" s="89"/>
      <c r="F32" s="89"/>
      <c r="G32" s="89"/>
      <c r="H32" s="89"/>
      <c r="I32" s="93"/>
      <c r="J32" s="91">
        <f t="shared" si="1"/>
        <v>0</v>
      </c>
    </row>
    <row r="33" spans="1:13" ht="18" x14ac:dyDescent="0.3">
      <c r="A33" s="78"/>
      <c r="B33" s="79"/>
      <c r="C33" s="79"/>
      <c r="D33" s="94"/>
      <c r="E33" s="89"/>
      <c r="F33" s="89"/>
      <c r="G33" s="89"/>
      <c r="H33" s="89"/>
      <c r="I33" s="93"/>
      <c r="J33" s="91">
        <f t="shared" si="1"/>
        <v>0</v>
      </c>
    </row>
    <row r="34" spans="1:13" ht="18" x14ac:dyDescent="0.3">
      <c r="A34" s="78"/>
      <c r="B34" s="79"/>
      <c r="C34" s="79"/>
      <c r="D34" s="94"/>
      <c r="E34" s="89"/>
      <c r="F34" s="89"/>
      <c r="G34" s="89"/>
      <c r="H34" s="89"/>
      <c r="I34" s="93"/>
      <c r="J34" s="91">
        <f t="shared" si="1"/>
        <v>0</v>
      </c>
    </row>
    <row r="35" spans="1:13" ht="18" x14ac:dyDescent="0.3">
      <c r="A35" s="78"/>
      <c r="B35" s="79"/>
      <c r="C35" s="79"/>
      <c r="D35" s="94"/>
      <c r="E35" s="89"/>
      <c r="F35" s="89"/>
      <c r="G35" s="89"/>
      <c r="H35" s="89"/>
      <c r="I35" s="93"/>
      <c r="J35" s="91">
        <f t="shared" si="1"/>
        <v>0</v>
      </c>
    </row>
    <row r="36" spans="1:13" ht="18" x14ac:dyDescent="0.3">
      <c r="A36" s="78"/>
      <c r="B36" s="79"/>
      <c r="C36" s="79"/>
      <c r="D36" s="94"/>
      <c r="E36" s="89"/>
      <c r="F36" s="89"/>
      <c r="G36" s="89"/>
      <c r="H36" s="89"/>
      <c r="I36" s="93"/>
      <c r="J36" s="91">
        <f t="shared" si="1"/>
        <v>0</v>
      </c>
    </row>
    <row r="37" spans="1:13" ht="18" x14ac:dyDescent="0.3">
      <c r="A37" s="78"/>
      <c r="B37" s="79"/>
      <c r="C37" s="79"/>
      <c r="D37" s="94"/>
      <c r="E37" s="89"/>
      <c r="F37" s="89"/>
      <c r="G37" s="89"/>
      <c r="H37" s="89"/>
      <c r="I37" s="93"/>
      <c r="J37" s="91">
        <f t="shared" si="1"/>
        <v>0</v>
      </c>
    </row>
    <row r="38" spans="1:13" ht="18" x14ac:dyDescent="0.3">
      <c r="A38" s="78"/>
      <c r="B38" s="79"/>
      <c r="C38" s="79"/>
      <c r="D38" s="94"/>
      <c r="E38" s="89"/>
      <c r="F38" s="89"/>
      <c r="G38" s="89"/>
      <c r="H38" s="89"/>
      <c r="I38" s="93"/>
      <c r="J38" s="91">
        <f t="shared" si="1"/>
        <v>0</v>
      </c>
    </row>
    <row r="39" spans="1:13" ht="18" x14ac:dyDescent="0.3">
      <c r="A39" s="78"/>
      <c r="B39" s="79"/>
      <c r="C39" s="79"/>
      <c r="D39" s="94"/>
      <c r="E39" s="89"/>
      <c r="F39" s="89"/>
      <c r="G39" s="89"/>
      <c r="H39" s="89"/>
      <c r="I39" s="93"/>
      <c r="J39" s="91">
        <f t="shared" si="1"/>
        <v>0</v>
      </c>
    </row>
    <row r="40" spans="1:13" ht="18" x14ac:dyDescent="0.3">
      <c r="A40" s="78"/>
      <c r="B40" s="79"/>
      <c r="C40" s="79"/>
      <c r="D40" s="94"/>
      <c r="E40" s="89"/>
      <c r="F40" s="89"/>
      <c r="G40" s="92"/>
      <c r="H40" s="89"/>
      <c r="I40" s="93"/>
      <c r="J40" s="91"/>
    </row>
    <row r="41" spans="1:13" ht="18" x14ac:dyDescent="0.3">
      <c r="A41" s="78"/>
      <c r="B41" s="79"/>
      <c r="C41" s="79"/>
      <c r="D41" s="94"/>
      <c r="E41" s="89"/>
      <c r="F41" s="89"/>
      <c r="G41" s="92"/>
      <c r="H41" s="89"/>
      <c r="I41" s="93"/>
      <c r="J41" s="91"/>
    </row>
    <row r="42" spans="1:13" ht="18" x14ac:dyDescent="0.3">
      <c r="A42" s="78"/>
      <c r="B42" s="79"/>
      <c r="C42" s="79"/>
      <c r="D42" s="94"/>
      <c r="E42" s="89"/>
      <c r="F42" s="89"/>
      <c r="G42" s="92"/>
      <c r="H42" s="89"/>
      <c r="I42" s="93"/>
      <c r="J42" s="91"/>
    </row>
    <row r="43" spans="1:13" ht="18" x14ac:dyDescent="0.3">
      <c r="A43" s="78"/>
      <c r="B43" s="79"/>
      <c r="C43" s="79"/>
      <c r="D43" s="94"/>
      <c r="E43" s="89"/>
      <c r="F43" s="89"/>
      <c r="G43" s="92"/>
      <c r="H43" s="89"/>
      <c r="I43" s="93"/>
      <c r="J43" s="91"/>
    </row>
    <row r="44" spans="1:13" ht="18" x14ac:dyDescent="0.3">
      <c r="A44" s="78"/>
      <c r="B44" s="79"/>
      <c r="C44" s="79"/>
      <c r="D44" s="94"/>
      <c r="E44" s="89"/>
      <c r="F44" s="89"/>
      <c r="G44" s="92"/>
      <c r="H44" s="89"/>
      <c r="I44" s="93"/>
      <c r="J44" s="91"/>
    </row>
    <row r="45" spans="1:13" ht="18" x14ac:dyDescent="0.3">
      <c r="A45" s="78"/>
      <c r="B45" s="79"/>
      <c r="C45" s="79"/>
      <c r="D45" s="95"/>
      <c r="E45" s="89"/>
      <c r="F45" s="89"/>
      <c r="G45" s="92"/>
      <c r="H45" s="89"/>
      <c r="I45" s="93"/>
      <c r="J45" s="91">
        <f t="shared" si="1"/>
        <v>0</v>
      </c>
    </row>
    <row r="46" spans="1:13" ht="18.75" thickBot="1" x14ac:dyDescent="0.35">
      <c r="A46" s="78"/>
      <c r="B46" s="79"/>
      <c r="C46" s="79"/>
      <c r="D46" s="96"/>
      <c r="E46" s="97"/>
      <c r="F46" s="97"/>
      <c r="G46" s="98"/>
      <c r="H46" s="97"/>
      <c r="I46" s="99"/>
      <c r="J46" s="100">
        <f t="shared" si="1"/>
        <v>0</v>
      </c>
      <c r="M46" s="105"/>
    </row>
    <row r="47" spans="1:13" ht="21" thickBot="1" x14ac:dyDescent="0.35">
      <c r="A47" s="78"/>
      <c r="B47" s="79"/>
      <c r="C47" s="79"/>
      <c r="D47" s="933" t="s">
        <v>10</v>
      </c>
      <c r="E47" s="934"/>
      <c r="F47" s="934"/>
      <c r="G47" s="934"/>
      <c r="H47" s="934"/>
      <c r="I47" s="935"/>
      <c r="J47" s="102">
        <f>ROUND(SUM(J8:J46),2)</f>
        <v>5</v>
      </c>
    </row>
    <row r="48" spans="1:13" ht="21" thickBot="1" x14ac:dyDescent="0.35">
      <c r="A48" s="78"/>
      <c r="B48" s="79"/>
      <c r="C48" s="79"/>
      <c r="D48" s="933" t="s">
        <v>1127</v>
      </c>
      <c r="E48" s="934"/>
      <c r="F48" s="934"/>
      <c r="G48" s="934"/>
      <c r="H48" s="934"/>
      <c r="I48" s="935"/>
      <c r="J48" s="103"/>
    </row>
    <row r="49" spans="1:10" ht="21" thickBot="1" x14ac:dyDescent="0.35">
      <c r="A49" s="78"/>
      <c r="B49" s="79"/>
      <c r="C49" s="101"/>
      <c r="D49" s="933" t="s">
        <v>1128</v>
      </c>
      <c r="E49" s="934"/>
      <c r="F49" s="934"/>
      <c r="G49" s="934"/>
      <c r="H49" s="934"/>
      <c r="I49" s="935"/>
      <c r="J49" s="104">
        <f>+J47-J48</f>
        <v>5</v>
      </c>
    </row>
    <row r="50" spans="1:10" ht="21" thickBot="1" x14ac:dyDescent="0.35">
      <c r="A50" s="936" t="s">
        <v>1129</v>
      </c>
      <c r="B50" s="937"/>
      <c r="C50" s="938"/>
      <c r="D50" s="939" t="s">
        <v>1130</v>
      </c>
      <c r="E50" s="940"/>
      <c r="F50" s="940"/>
      <c r="G50" s="940"/>
      <c r="H50" s="940"/>
      <c r="I50" s="940"/>
      <c r="J50" s="941"/>
    </row>
    <row r="51" spans="1:10" ht="38.25" customHeight="1" thickBot="1" x14ac:dyDescent="0.35">
      <c r="A51" s="942" t="str">
        <f>PPTO!G3</f>
        <v>JUNIO DE 2026</v>
      </c>
      <c r="B51" s="943"/>
      <c r="C51" s="944"/>
      <c r="D51" s="921"/>
      <c r="E51" s="922"/>
      <c r="F51" s="922"/>
      <c r="G51" s="922"/>
      <c r="H51" s="922"/>
      <c r="I51" s="922"/>
      <c r="J51" s="923"/>
    </row>
    <row r="52" spans="1:10" ht="19.5" thickBot="1" x14ac:dyDescent="0.35">
      <c r="A52" s="918"/>
      <c r="B52" s="919"/>
      <c r="C52" s="920"/>
      <c r="D52" s="921" t="s">
        <v>1131</v>
      </c>
      <c r="E52" s="922"/>
      <c r="F52" s="922"/>
      <c r="G52" s="922"/>
      <c r="H52" s="922"/>
      <c r="I52" s="922"/>
      <c r="J52" s="923"/>
    </row>
  </sheetData>
  <mergeCells count="19">
    <mergeCell ref="A2:J2"/>
    <mergeCell ref="A3:J3"/>
    <mergeCell ref="A4:J4"/>
    <mergeCell ref="C5:D5"/>
    <mergeCell ref="G5:H5"/>
    <mergeCell ref="I5:J5"/>
    <mergeCell ref="A52:C52"/>
    <mergeCell ref="D52:J52"/>
    <mergeCell ref="D6:D7"/>
    <mergeCell ref="E6:G6"/>
    <mergeCell ref="I6:I7"/>
    <mergeCell ref="J6:J7"/>
    <mergeCell ref="D47:I47"/>
    <mergeCell ref="D48:I48"/>
    <mergeCell ref="D49:I49"/>
    <mergeCell ref="A50:C50"/>
    <mergeCell ref="D50:J50"/>
    <mergeCell ref="A51:C51"/>
    <mergeCell ref="D51:J51"/>
  </mergeCells>
  <conditionalFormatting sqref="J8:J46">
    <cfRule type="cellIs" dxfId="2" priority="1" operator="equal">
      <formula>0</formula>
    </cfRule>
  </conditionalFormatting>
  <pageMargins left="0.7" right="0.7" top="0.75" bottom="0.75" header="0.3" footer="0.3"/>
  <pageSetup scale="49" orientation="landscape" r:id="rId1"/>
  <drawing r:id="rId2"/>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5F4B1B-FCC9-4021-8547-615BC12403E9}">
  <sheetPr>
    <tabColor rgb="FFD4ECBA"/>
    <pageSetUpPr fitToPage="1"/>
  </sheetPr>
  <dimension ref="A1:M52"/>
  <sheetViews>
    <sheetView showOutlineSymbols="0" view="pageBreakPreview" topLeftCell="A19" zoomScale="60" zoomScaleNormal="70" workbookViewId="0">
      <selection activeCell="B6" sqref="B6"/>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29.6" customHeight="1" thickBot="1" x14ac:dyDescent="0.35">
      <c r="A5" s="72" t="s">
        <v>5</v>
      </c>
      <c r="B5" s="73">
        <v>11.3</v>
      </c>
      <c r="C5" s="913" t="str">
        <f>+VLOOKUP(B5,PPTO!B8:G94,2,FALSE)</f>
        <v>Suministro transporte e instalacion de Extintor TIPO K 10 Libras Con manguera</v>
      </c>
      <c r="D5" s="914"/>
      <c r="E5" s="72" t="s">
        <v>7</v>
      </c>
      <c r="F5" s="74" t="str">
        <f>+VLOOKUP(B5,PPTO!B8:G94,3,FALSE)</f>
        <v>UN</v>
      </c>
      <c r="G5" s="915" t="s">
        <v>1120</v>
      </c>
      <c r="H5" s="915"/>
      <c r="I5" s="916">
        <f>+VLOOKUP(B5,PPTO!B8:G94,5,FALSE)</f>
        <v>113701.31486633158</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8" x14ac:dyDescent="0.3">
      <c r="A8" s="78"/>
      <c r="B8" s="79"/>
      <c r="C8" s="79"/>
      <c r="D8" s="88" t="s">
        <v>1207</v>
      </c>
      <c r="E8" s="89"/>
      <c r="F8" s="89"/>
      <c r="G8" s="89"/>
      <c r="H8" s="89"/>
      <c r="I8" s="90">
        <v>1</v>
      </c>
      <c r="J8" s="91">
        <f>+I8</f>
        <v>1</v>
      </c>
    </row>
    <row r="9" spans="1:10" ht="18" x14ac:dyDescent="0.3">
      <c r="A9" s="78"/>
      <c r="B9" s="79"/>
      <c r="C9" s="79"/>
      <c r="D9" s="94"/>
      <c r="E9" s="89"/>
      <c r="F9" s="89"/>
      <c r="G9" s="89"/>
      <c r="H9" s="89"/>
      <c r="I9" s="93"/>
      <c r="J9" s="91">
        <f t="shared" ref="J9:J11" si="0">+I9</f>
        <v>0</v>
      </c>
    </row>
    <row r="10" spans="1:10" ht="18" x14ac:dyDescent="0.3">
      <c r="A10" s="78"/>
      <c r="B10" s="79"/>
      <c r="C10" s="79"/>
      <c r="D10" s="94"/>
      <c r="E10" s="89"/>
      <c r="F10" s="89"/>
      <c r="G10" s="89"/>
      <c r="H10" s="89"/>
      <c r="I10" s="93"/>
      <c r="J10" s="91">
        <f t="shared" si="0"/>
        <v>0</v>
      </c>
    </row>
    <row r="11" spans="1:10" ht="18" x14ac:dyDescent="0.3">
      <c r="A11" s="78"/>
      <c r="B11" s="79"/>
      <c r="C11" s="79"/>
      <c r="D11" s="94"/>
      <c r="E11" s="89"/>
      <c r="F11" s="89"/>
      <c r="G11" s="89"/>
      <c r="H11" s="89"/>
      <c r="I11" s="93"/>
      <c r="J11" s="91">
        <f t="shared" si="0"/>
        <v>0</v>
      </c>
    </row>
    <row r="12" spans="1:10" ht="18" x14ac:dyDescent="0.3">
      <c r="A12" s="78"/>
      <c r="B12" s="79"/>
      <c r="C12" s="79"/>
      <c r="D12" s="94"/>
      <c r="E12" s="89"/>
      <c r="F12" s="89"/>
      <c r="G12" s="89"/>
      <c r="H12" s="89"/>
      <c r="I12" s="93"/>
      <c r="J12" s="91">
        <f t="shared" ref="J12:J46" si="1">+PRODUCT(E12:I12)</f>
        <v>0</v>
      </c>
    </row>
    <row r="13" spans="1:10" ht="18" x14ac:dyDescent="0.3">
      <c r="A13" s="78"/>
      <c r="B13" s="79"/>
      <c r="C13" s="79"/>
      <c r="D13" s="94"/>
      <c r="E13" s="89"/>
      <c r="F13" s="89"/>
      <c r="G13" s="89"/>
      <c r="H13" s="89"/>
      <c r="I13" s="93"/>
      <c r="J13" s="91">
        <f t="shared" si="1"/>
        <v>0</v>
      </c>
    </row>
    <row r="14" spans="1:10" ht="18" x14ac:dyDescent="0.3">
      <c r="A14" s="78"/>
      <c r="B14" s="79"/>
      <c r="C14" s="79"/>
      <c r="D14" s="94"/>
      <c r="E14" s="89"/>
      <c r="F14" s="89"/>
      <c r="G14" s="89"/>
      <c r="H14" s="89"/>
      <c r="I14" s="93"/>
      <c r="J14" s="91">
        <f t="shared" si="1"/>
        <v>0</v>
      </c>
    </row>
    <row r="15" spans="1:10" ht="18" x14ac:dyDescent="0.3">
      <c r="A15" s="78"/>
      <c r="B15" s="79"/>
      <c r="C15" s="79"/>
      <c r="D15" s="94"/>
      <c r="E15" s="89"/>
      <c r="F15" s="89"/>
      <c r="G15" s="89"/>
      <c r="H15" s="89"/>
      <c r="I15" s="93"/>
      <c r="J15" s="91">
        <f t="shared" si="1"/>
        <v>0</v>
      </c>
    </row>
    <row r="16" spans="1:10" ht="18" x14ac:dyDescent="0.3">
      <c r="A16" s="78"/>
      <c r="B16" s="79"/>
      <c r="C16" s="79"/>
      <c r="D16" s="94"/>
      <c r="E16" s="89"/>
      <c r="F16" s="89"/>
      <c r="G16" s="89"/>
      <c r="H16" s="89"/>
      <c r="I16" s="93"/>
      <c r="J16" s="91">
        <f t="shared" si="1"/>
        <v>0</v>
      </c>
    </row>
    <row r="17" spans="1:10" ht="18" x14ac:dyDescent="0.3">
      <c r="A17" s="78"/>
      <c r="B17" s="79"/>
      <c r="C17" s="79"/>
      <c r="D17" s="94"/>
      <c r="E17" s="89"/>
      <c r="F17" s="89"/>
      <c r="G17" s="89"/>
      <c r="H17" s="89"/>
      <c r="I17" s="93"/>
      <c r="J17" s="91">
        <f t="shared" si="1"/>
        <v>0</v>
      </c>
    </row>
    <row r="18" spans="1:10" ht="18" x14ac:dyDescent="0.3">
      <c r="A18" s="78"/>
      <c r="B18" s="79"/>
      <c r="C18" s="79"/>
      <c r="D18" s="94"/>
      <c r="E18" s="89"/>
      <c r="F18" s="89"/>
      <c r="G18" s="89"/>
      <c r="H18" s="89"/>
      <c r="I18" s="93"/>
      <c r="J18" s="91">
        <f t="shared" si="1"/>
        <v>0</v>
      </c>
    </row>
    <row r="19" spans="1:10" ht="18" x14ac:dyDescent="0.3">
      <c r="A19" s="78"/>
      <c r="B19" s="79"/>
      <c r="C19" s="79"/>
      <c r="D19" s="95"/>
      <c r="E19" s="89"/>
      <c r="F19" s="89"/>
      <c r="G19" s="89"/>
      <c r="H19" s="89"/>
      <c r="I19" s="93"/>
      <c r="J19" s="91">
        <f t="shared" si="1"/>
        <v>0</v>
      </c>
    </row>
    <row r="20" spans="1:10" ht="18" x14ac:dyDescent="0.3">
      <c r="A20" s="78"/>
      <c r="B20" s="79"/>
      <c r="C20" s="79"/>
      <c r="D20" s="88"/>
      <c r="E20" s="89"/>
      <c r="F20" s="89"/>
      <c r="G20" s="89"/>
      <c r="H20" s="89"/>
      <c r="I20" s="90"/>
      <c r="J20" s="91">
        <f t="shared" si="1"/>
        <v>0</v>
      </c>
    </row>
    <row r="21" spans="1:10" ht="18" x14ac:dyDescent="0.3">
      <c r="A21" s="78"/>
      <c r="B21" s="79"/>
      <c r="C21" s="79"/>
      <c r="D21" s="88"/>
      <c r="E21" s="89"/>
      <c r="F21" s="89"/>
      <c r="G21" s="89"/>
      <c r="H21" s="89"/>
      <c r="I21" s="90"/>
      <c r="J21" s="91">
        <f t="shared" si="1"/>
        <v>0</v>
      </c>
    </row>
    <row r="22" spans="1:10" ht="18" x14ac:dyDescent="0.3">
      <c r="A22" s="78"/>
      <c r="B22" s="79"/>
      <c r="C22" s="79"/>
      <c r="D22" s="88"/>
      <c r="E22" s="89"/>
      <c r="F22" s="89"/>
      <c r="G22" s="89"/>
      <c r="H22" s="89"/>
      <c r="I22" s="90"/>
      <c r="J22" s="91">
        <f t="shared" si="1"/>
        <v>0</v>
      </c>
    </row>
    <row r="23" spans="1:10" ht="18" x14ac:dyDescent="0.3">
      <c r="A23" s="78"/>
      <c r="B23" s="79"/>
      <c r="C23" s="79"/>
      <c r="D23" s="94"/>
      <c r="E23" s="89"/>
      <c r="F23" s="89"/>
      <c r="G23" s="89"/>
      <c r="H23" s="89"/>
      <c r="I23" s="93"/>
      <c r="J23" s="91">
        <f t="shared" si="1"/>
        <v>0</v>
      </c>
    </row>
    <row r="24" spans="1:10" ht="18" x14ac:dyDescent="0.3">
      <c r="A24" s="78"/>
      <c r="B24" s="79"/>
      <c r="C24" s="79"/>
      <c r="D24" s="94"/>
      <c r="E24" s="89"/>
      <c r="F24" s="89"/>
      <c r="G24" s="89"/>
      <c r="H24" s="89"/>
      <c r="I24" s="93"/>
      <c r="J24" s="91">
        <f t="shared" si="1"/>
        <v>0</v>
      </c>
    </row>
    <row r="25" spans="1:10" ht="18" x14ac:dyDescent="0.3">
      <c r="A25" s="78"/>
      <c r="B25" s="79"/>
      <c r="C25" s="79"/>
      <c r="D25" s="94"/>
      <c r="E25" s="89"/>
      <c r="F25" s="89"/>
      <c r="G25" s="89"/>
      <c r="H25" s="89"/>
      <c r="I25" s="93"/>
      <c r="J25" s="91">
        <f t="shared" si="1"/>
        <v>0</v>
      </c>
    </row>
    <row r="26" spans="1:10" ht="18" x14ac:dyDescent="0.3">
      <c r="A26" s="78"/>
      <c r="B26" s="79"/>
      <c r="C26" s="79"/>
      <c r="D26" s="94"/>
      <c r="E26" s="89"/>
      <c r="F26" s="89"/>
      <c r="G26" s="89"/>
      <c r="H26" s="89"/>
      <c r="I26" s="93"/>
      <c r="J26" s="91">
        <f t="shared" si="1"/>
        <v>0</v>
      </c>
    </row>
    <row r="27" spans="1:10" ht="18" x14ac:dyDescent="0.3">
      <c r="A27" s="78"/>
      <c r="B27" s="79"/>
      <c r="C27" s="79"/>
      <c r="D27" s="94"/>
      <c r="E27" s="89"/>
      <c r="F27" s="89"/>
      <c r="G27" s="89"/>
      <c r="H27" s="89"/>
      <c r="I27" s="93"/>
      <c r="J27" s="91">
        <f t="shared" si="1"/>
        <v>0</v>
      </c>
    </row>
    <row r="28" spans="1:10" ht="18" x14ac:dyDescent="0.3">
      <c r="A28" s="78"/>
      <c r="B28" s="79"/>
      <c r="C28" s="79"/>
      <c r="D28" s="94"/>
      <c r="E28" s="89"/>
      <c r="F28" s="89"/>
      <c r="G28" s="89"/>
      <c r="H28" s="89"/>
      <c r="I28" s="93"/>
      <c r="J28" s="91">
        <f t="shared" si="1"/>
        <v>0</v>
      </c>
    </row>
    <row r="29" spans="1:10" ht="18" x14ac:dyDescent="0.3">
      <c r="A29" s="78"/>
      <c r="B29" s="79"/>
      <c r="C29" s="79"/>
      <c r="D29" s="94"/>
      <c r="E29" s="89"/>
      <c r="F29" s="89"/>
      <c r="G29" s="89"/>
      <c r="H29" s="89"/>
      <c r="I29" s="93"/>
      <c r="J29" s="91">
        <f t="shared" si="1"/>
        <v>0</v>
      </c>
    </row>
    <row r="30" spans="1:10" ht="18" x14ac:dyDescent="0.3">
      <c r="A30" s="78"/>
      <c r="B30" s="79"/>
      <c r="C30" s="79"/>
      <c r="D30" s="94"/>
      <c r="E30" s="89"/>
      <c r="F30" s="89"/>
      <c r="G30" s="89"/>
      <c r="H30" s="89"/>
      <c r="I30" s="93"/>
      <c r="J30" s="91">
        <f t="shared" si="1"/>
        <v>0</v>
      </c>
    </row>
    <row r="31" spans="1:10" ht="18" x14ac:dyDescent="0.3">
      <c r="A31" s="78"/>
      <c r="B31" s="79"/>
      <c r="C31" s="79"/>
      <c r="D31" s="94"/>
      <c r="E31" s="89"/>
      <c r="F31" s="89"/>
      <c r="G31" s="89"/>
      <c r="H31" s="89"/>
      <c r="I31" s="93"/>
      <c r="J31" s="91">
        <f t="shared" si="1"/>
        <v>0</v>
      </c>
    </row>
    <row r="32" spans="1:10" ht="18" x14ac:dyDescent="0.3">
      <c r="A32" s="78"/>
      <c r="B32" s="79"/>
      <c r="C32" s="79"/>
      <c r="D32" s="94"/>
      <c r="E32" s="89"/>
      <c r="F32" s="89"/>
      <c r="G32" s="89"/>
      <c r="H32" s="89"/>
      <c r="I32" s="93"/>
      <c r="J32" s="91">
        <f t="shared" si="1"/>
        <v>0</v>
      </c>
    </row>
    <row r="33" spans="1:13" ht="18" x14ac:dyDescent="0.3">
      <c r="A33" s="78"/>
      <c r="B33" s="79"/>
      <c r="C33" s="79"/>
      <c r="D33" s="94"/>
      <c r="E33" s="89"/>
      <c r="F33" s="89"/>
      <c r="G33" s="89"/>
      <c r="H33" s="89"/>
      <c r="I33" s="93"/>
      <c r="J33" s="91">
        <f t="shared" si="1"/>
        <v>0</v>
      </c>
    </row>
    <row r="34" spans="1:13" ht="18" x14ac:dyDescent="0.3">
      <c r="A34" s="78"/>
      <c r="B34" s="79"/>
      <c r="C34" s="79"/>
      <c r="D34" s="94"/>
      <c r="E34" s="89"/>
      <c r="F34" s="89"/>
      <c r="G34" s="89"/>
      <c r="H34" s="89"/>
      <c r="I34" s="93"/>
      <c r="J34" s="91">
        <f t="shared" si="1"/>
        <v>0</v>
      </c>
    </row>
    <row r="35" spans="1:13" ht="18" x14ac:dyDescent="0.3">
      <c r="A35" s="78"/>
      <c r="B35" s="79"/>
      <c r="C35" s="79"/>
      <c r="D35" s="94"/>
      <c r="E35" s="89"/>
      <c r="F35" s="89"/>
      <c r="G35" s="89"/>
      <c r="H35" s="89"/>
      <c r="I35" s="93"/>
      <c r="J35" s="91">
        <f t="shared" si="1"/>
        <v>0</v>
      </c>
    </row>
    <row r="36" spans="1:13" ht="18" x14ac:dyDescent="0.3">
      <c r="A36" s="78"/>
      <c r="B36" s="79"/>
      <c r="C36" s="79"/>
      <c r="D36" s="94"/>
      <c r="E36" s="89"/>
      <c r="F36" s="89"/>
      <c r="G36" s="89"/>
      <c r="H36" s="89"/>
      <c r="I36" s="93"/>
      <c r="J36" s="91">
        <f t="shared" si="1"/>
        <v>0</v>
      </c>
    </row>
    <row r="37" spans="1:13" ht="18" x14ac:dyDescent="0.3">
      <c r="A37" s="78"/>
      <c r="B37" s="79"/>
      <c r="C37" s="79"/>
      <c r="D37" s="94"/>
      <c r="E37" s="89"/>
      <c r="F37" s="89"/>
      <c r="G37" s="89"/>
      <c r="H37" s="89"/>
      <c r="I37" s="93"/>
      <c r="J37" s="91">
        <f t="shared" si="1"/>
        <v>0</v>
      </c>
    </row>
    <row r="38" spans="1:13" ht="18" x14ac:dyDescent="0.3">
      <c r="A38" s="78"/>
      <c r="B38" s="79"/>
      <c r="C38" s="79"/>
      <c r="D38" s="94"/>
      <c r="E38" s="89"/>
      <c r="F38" s="89"/>
      <c r="G38" s="89"/>
      <c r="H38" s="89"/>
      <c r="I38" s="93"/>
      <c r="J38" s="91">
        <f t="shared" si="1"/>
        <v>0</v>
      </c>
    </row>
    <row r="39" spans="1:13" ht="18" x14ac:dyDescent="0.3">
      <c r="A39" s="78"/>
      <c r="B39" s="79"/>
      <c r="C39" s="79"/>
      <c r="D39" s="94"/>
      <c r="E39" s="89"/>
      <c r="F39" s="89"/>
      <c r="G39" s="89"/>
      <c r="H39" s="89"/>
      <c r="I39" s="93"/>
      <c r="J39" s="91">
        <f t="shared" si="1"/>
        <v>0</v>
      </c>
    </row>
    <row r="40" spans="1:13" ht="18" x14ac:dyDescent="0.3">
      <c r="A40" s="78"/>
      <c r="B40" s="79"/>
      <c r="C40" s="79"/>
      <c r="D40" s="94"/>
      <c r="E40" s="89"/>
      <c r="F40" s="89"/>
      <c r="G40" s="92"/>
      <c r="H40" s="89"/>
      <c r="I40" s="93"/>
      <c r="J40" s="91"/>
    </row>
    <row r="41" spans="1:13" ht="18" x14ac:dyDescent="0.3">
      <c r="A41" s="78"/>
      <c r="B41" s="79"/>
      <c r="C41" s="79"/>
      <c r="D41" s="94"/>
      <c r="E41" s="89"/>
      <c r="F41" s="89"/>
      <c r="G41" s="92"/>
      <c r="H41" s="89"/>
      <c r="I41" s="93"/>
      <c r="J41" s="91"/>
    </row>
    <row r="42" spans="1:13" ht="18" x14ac:dyDescent="0.3">
      <c r="A42" s="78"/>
      <c r="B42" s="79"/>
      <c r="C42" s="79"/>
      <c r="D42" s="94"/>
      <c r="E42" s="89"/>
      <c r="F42" s="89"/>
      <c r="G42" s="92"/>
      <c r="H42" s="89"/>
      <c r="I42" s="93"/>
      <c r="J42" s="91"/>
    </row>
    <row r="43" spans="1:13" ht="18" x14ac:dyDescent="0.3">
      <c r="A43" s="78"/>
      <c r="B43" s="79"/>
      <c r="C43" s="79"/>
      <c r="D43" s="94"/>
      <c r="E43" s="89"/>
      <c r="F43" s="89"/>
      <c r="G43" s="92"/>
      <c r="H43" s="89"/>
      <c r="I43" s="93"/>
      <c r="J43" s="91"/>
    </row>
    <row r="44" spans="1:13" ht="18" x14ac:dyDescent="0.3">
      <c r="A44" s="78"/>
      <c r="B44" s="79"/>
      <c r="C44" s="79"/>
      <c r="D44" s="94"/>
      <c r="E44" s="89"/>
      <c r="F44" s="89"/>
      <c r="G44" s="92"/>
      <c r="H44" s="89"/>
      <c r="I44" s="93"/>
      <c r="J44" s="91"/>
    </row>
    <row r="45" spans="1:13" ht="18" x14ac:dyDescent="0.3">
      <c r="A45" s="78"/>
      <c r="B45" s="79"/>
      <c r="C45" s="79"/>
      <c r="D45" s="95"/>
      <c r="E45" s="89"/>
      <c r="F45" s="89"/>
      <c r="G45" s="92"/>
      <c r="H45" s="89"/>
      <c r="I45" s="93"/>
      <c r="J45" s="91">
        <f t="shared" si="1"/>
        <v>0</v>
      </c>
    </row>
    <row r="46" spans="1:13" ht="18.75" thickBot="1" x14ac:dyDescent="0.35">
      <c r="A46" s="78"/>
      <c r="B46" s="79"/>
      <c r="C46" s="79"/>
      <c r="D46" s="96"/>
      <c r="E46" s="97"/>
      <c r="F46" s="97"/>
      <c r="G46" s="98"/>
      <c r="H46" s="97"/>
      <c r="I46" s="99"/>
      <c r="J46" s="100">
        <f t="shared" si="1"/>
        <v>0</v>
      </c>
      <c r="M46" s="105"/>
    </row>
    <row r="47" spans="1:13" ht="21" thickBot="1" x14ac:dyDescent="0.35">
      <c r="A47" s="78"/>
      <c r="B47" s="79"/>
      <c r="C47" s="79"/>
      <c r="D47" s="933" t="s">
        <v>10</v>
      </c>
      <c r="E47" s="934"/>
      <c r="F47" s="934"/>
      <c r="G47" s="934"/>
      <c r="H47" s="934"/>
      <c r="I47" s="935"/>
      <c r="J47" s="102">
        <f>ROUND(SUM(J8:J46),2)</f>
        <v>1</v>
      </c>
    </row>
    <row r="48" spans="1:13" ht="21" thickBot="1" x14ac:dyDescent="0.35">
      <c r="A48" s="78"/>
      <c r="B48" s="79"/>
      <c r="C48" s="79"/>
      <c r="D48" s="933" t="s">
        <v>1127</v>
      </c>
      <c r="E48" s="934"/>
      <c r="F48" s="934"/>
      <c r="G48" s="934"/>
      <c r="H48" s="934"/>
      <c r="I48" s="935"/>
      <c r="J48" s="103"/>
    </row>
    <row r="49" spans="1:10" ht="21" thickBot="1" x14ac:dyDescent="0.35">
      <c r="A49" s="78"/>
      <c r="B49" s="79"/>
      <c r="C49" s="101"/>
      <c r="D49" s="933" t="s">
        <v>1128</v>
      </c>
      <c r="E49" s="934"/>
      <c r="F49" s="934"/>
      <c r="G49" s="934"/>
      <c r="H49" s="934"/>
      <c r="I49" s="935"/>
      <c r="J49" s="104">
        <f>+J47-J48</f>
        <v>1</v>
      </c>
    </row>
    <row r="50" spans="1:10" ht="21" thickBot="1" x14ac:dyDescent="0.35">
      <c r="A50" s="936" t="s">
        <v>1129</v>
      </c>
      <c r="B50" s="937"/>
      <c r="C50" s="938"/>
      <c r="D50" s="939" t="s">
        <v>1130</v>
      </c>
      <c r="E50" s="940"/>
      <c r="F50" s="940"/>
      <c r="G50" s="940"/>
      <c r="H50" s="940"/>
      <c r="I50" s="940"/>
      <c r="J50" s="941"/>
    </row>
    <row r="51" spans="1:10" ht="38.25" customHeight="1" thickBot="1" x14ac:dyDescent="0.35">
      <c r="A51" s="942" t="str">
        <f>PPTO!G3</f>
        <v>JUNIO DE 2026</v>
      </c>
      <c r="B51" s="943"/>
      <c r="C51" s="944"/>
      <c r="D51" s="921"/>
      <c r="E51" s="922"/>
      <c r="F51" s="922"/>
      <c r="G51" s="922"/>
      <c r="H51" s="922"/>
      <c r="I51" s="922"/>
      <c r="J51" s="923"/>
    </row>
    <row r="52" spans="1:10" ht="19.5" thickBot="1" x14ac:dyDescent="0.35">
      <c r="A52" s="918"/>
      <c r="B52" s="919"/>
      <c r="C52" s="920"/>
      <c r="D52" s="921" t="s">
        <v>1131</v>
      </c>
      <c r="E52" s="922"/>
      <c r="F52" s="922"/>
      <c r="G52" s="922"/>
      <c r="H52" s="922"/>
      <c r="I52" s="922"/>
      <c r="J52" s="923"/>
    </row>
  </sheetData>
  <mergeCells count="19">
    <mergeCell ref="A2:J2"/>
    <mergeCell ref="A3:J3"/>
    <mergeCell ref="A4:J4"/>
    <mergeCell ref="C5:D5"/>
    <mergeCell ref="G5:H5"/>
    <mergeCell ref="I5:J5"/>
    <mergeCell ref="A52:C52"/>
    <mergeCell ref="D52:J52"/>
    <mergeCell ref="D6:D7"/>
    <mergeCell ref="E6:G6"/>
    <mergeCell ref="I6:I7"/>
    <mergeCell ref="J6:J7"/>
    <mergeCell ref="D47:I47"/>
    <mergeCell ref="D48:I48"/>
    <mergeCell ref="D49:I49"/>
    <mergeCell ref="A50:C50"/>
    <mergeCell ref="D50:J50"/>
    <mergeCell ref="A51:C51"/>
    <mergeCell ref="D51:J51"/>
  </mergeCells>
  <conditionalFormatting sqref="J8:J46">
    <cfRule type="cellIs" dxfId="1" priority="1" operator="equal">
      <formula>0</formula>
    </cfRule>
  </conditionalFormatting>
  <pageMargins left="0.7" right="0.7" top="0.75" bottom="0.75" header="0.3" footer="0.3"/>
  <pageSetup scale="49" orientation="landscape" r:id="rId1"/>
  <drawing r:id="rId2"/>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83FFA0-52CB-4C8D-B847-1A075FE030D6}">
  <sheetPr>
    <tabColor rgb="FF92D050"/>
    <pageSetUpPr fitToPage="1"/>
  </sheetPr>
  <dimension ref="A1:M52"/>
  <sheetViews>
    <sheetView showOutlineSymbols="0" view="pageBreakPreview" topLeftCell="A17" zoomScale="60" zoomScaleNormal="70" workbookViewId="0">
      <selection activeCell="J47" sqref="J47"/>
    </sheetView>
  </sheetViews>
  <sheetFormatPr baseColWidth="10" defaultColWidth="11" defaultRowHeight="16.5" x14ac:dyDescent="0.3"/>
  <cols>
    <col min="3" max="3" width="58.25" customWidth="1"/>
    <col min="4" max="4" width="56.625" customWidth="1"/>
    <col min="5" max="10" width="14.375" customWidth="1"/>
  </cols>
  <sheetData>
    <row r="1" spans="1:10" ht="17.25" thickBot="1" x14ac:dyDescent="0.35"/>
    <row r="2" spans="1:10" ht="41.45" customHeight="1" thickBot="1" x14ac:dyDescent="0.35">
      <c r="A2" s="907" t="s">
        <v>8</v>
      </c>
      <c r="B2" s="908"/>
      <c r="C2" s="908"/>
      <c r="D2" s="908"/>
      <c r="E2" s="908"/>
      <c r="F2" s="908"/>
      <c r="G2" s="908"/>
      <c r="H2" s="908"/>
      <c r="I2" s="908"/>
      <c r="J2" s="909"/>
    </row>
    <row r="3" spans="1:10" ht="38.25" customHeight="1" thickBot="1" x14ac:dyDescent="0.35">
      <c r="A3" s="910" t="str">
        <f>PPTO!C3</f>
        <v xml:space="preserve">MUNICIPIO DE SAN ROQUE - ANTIOQUIA, CORREGIMIENTO DE SAN JOSÉ DEL NÚS. </v>
      </c>
      <c r="B3" s="911"/>
      <c r="C3" s="911"/>
      <c r="D3" s="911"/>
      <c r="E3" s="911"/>
      <c r="F3" s="911"/>
      <c r="G3" s="911"/>
      <c r="H3" s="911"/>
      <c r="I3" s="911"/>
      <c r="J3" s="912"/>
    </row>
    <row r="4" spans="1:10" ht="38.25" customHeight="1" thickBot="1" x14ac:dyDescent="0.35">
      <c r="A4" s="910" t="str">
        <f>PPTO!C4</f>
        <v xml:space="preserve">CONSTRUCCIÓN DE CENTRO DIA - MUNICIPIO DE SAN ROQUE </v>
      </c>
      <c r="B4" s="911"/>
      <c r="C4" s="911"/>
      <c r="D4" s="911"/>
      <c r="E4" s="911"/>
      <c r="F4" s="911"/>
      <c r="G4" s="911"/>
      <c r="H4" s="911"/>
      <c r="I4" s="911"/>
      <c r="J4" s="912"/>
    </row>
    <row r="5" spans="1:10" ht="129.6" customHeight="1" thickBot="1" x14ac:dyDescent="0.35">
      <c r="A5" s="72" t="s">
        <v>5</v>
      </c>
      <c r="B5" s="73">
        <v>12.2</v>
      </c>
      <c r="C5" s="913" t="str">
        <f>+VLOOKUP(B5,PPTO!B8:G188,2,FALSE)</f>
        <v xml:space="preserve">Suministro, transporte e instalación de adoquín </v>
      </c>
      <c r="D5" s="914"/>
      <c r="E5" s="72" t="s">
        <v>7</v>
      </c>
      <c r="F5" s="74" t="str">
        <f>+VLOOKUP(B5,PPTO!B8:G188,3,FALSE)</f>
        <v>M2</v>
      </c>
      <c r="G5" s="915" t="s">
        <v>1120</v>
      </c>
      <c r="H5" s="915"/>
      <c r="I5" s="916">
        <f>+VLOOKUP(B5,PPTO!B8:G188,5,FALSE)</f>
        <v>146659.52477721931</v>
      </c>
      <c r="J5" s="917"/>
    </row>
    <row r="6" spans="1:10" ht="18" x14ac:dyDescent="0.3">
      <c r="A6" s="75"/>
      <c r="B6" s="76"/>
      <c r="C6" s="76"/>
      <c r="D6" s="924" t="s">
        <v>958</v>
      </c>
      <c r="E6" s="926" t="s">
        <v>1121</v>
      </c>
      <c r="F6" s="927"/>
      <c r="G6" s="928"/>
      <c r="H6" s="77" t="s">
        <v>1122</v>
      </c>
      <c r="I6" s="929" t="s">
        <v>959</v>
      </c>
      <c r="J6" s="931" t="s">
        <v>287</v>
      </c>
    </row>
    <row r="7" spans="1:10" ht="18.75" thickBot="1" x14ac:dyDescent="0.35">
      <c r="A7" s="78"/>
      <c r="B7" s="79"/>
      <c r="C7" s="79"/>
      <c r="D7" s="925"/>
      <c r="E7" s="80" t="s">
        <v>1123</v>
      </c>
      <c r="F7" s="81" t="s">
        <v>1124</v>
      </c>
      <c r="G7" s="82" t="s">
        <v>1125</v>
      </c>
      <c r="H7" s="83"/>
      <c r="I7" s="930"/>
      <c r="J7" s="932"/>
    </row>
    <row r="8" spans="1:10" ht="18" x14ac:dyDescent="0.3">
      <c r="A8" s="78"/>
      <c r="B8" s="79"/>
      <c r="C8" s="79"/>
      <c r="D8" s="88" t="s">
        <v>1256</v>
      </c>
      <c r="E8" s="89">
        <v>2.2000000000000002</v>
      </c>
      <c r="F8" s="89">
        <v>6.61</v>
      </c>
      <c r="G8" s="89"/>
      <c r="H8" s="89"/>
      <c r="I8" s="90"/>
      <c r="J8" s="91">
        <f>+E8*F8</f>
        <v>14.542000000000002</v>
      </c>
    </row>
    <row r="9" spans="1:10" ht="18" x14ac:dyDescent="0.3">
      <c r="A9" s="78"/>
      <c r="B9" s="79"/>
      <c r="C9" s="79"/>
      <c r="D9" s="94" t="s">
        <v>1257</v>
      </c>
      <c r="E9" s="89">
        <v>2.11</v>
      </c>
      <c r="F9" s="89">
        <v>37.159999999999997</v>
      </c>
      <c r="G9" s="89"/>
      <c r="H9" s="89"/>
      <c r="I9" s="93"/>
      <c r="J9" s="91">
        <f t="shared" ref="J9:J15" si="0">+E9*F9</f>
        <v>78.407599999999988</v>
      </c>
    </row>
    <row r="10" spans="1:10" ht="18" x14ac:dyDescent="0.3">
      <c r="A10" s="78"/>
      <c r="B10" s="79"/>
      <c r="C10" s="79"/>
      <c r="D10" s="94" t="s">
        <v>1258</v>
      </c>
      <c r="E10" s="89">
        <v>1.25</v>
      </c>
      <c r="F10" s="89">
        <v>12.75</v>
      </c>
      <c r="G10" s="89"/>
      <c r="H10" s="89"/>
      <c r="I10" s="93"/>
      <c r="J10" s="91">
        <f t="shared" si="0"/>
        <v>15.9375</v>
      </c>
    </row>
    <row r="11" spans="1:10" ht="18" x14ac:dyDescent="0.3">
      <c r="A11" s="78"/>
      <c r="B11" s="79"/>
      <c r="C11" s="79"/>
      <c r="D11" s="94" t="s">
        <v>1259</v>
      </c>
      <c r="E11" s="89">
        <v>1.1000000000000001</v>
      </c>
      <c r="F11" s="89">
        <v>38.869999999999997</v>
      </c>
      <c r="G11" s="89"/>
      <c r="H11" s="89"/>
      <c r="I11" s="93"/>
      <c r="J11" s="91">
        <f t="shared" si="0"/>
        <v>42.756999999999998</v>
      </c>
    </row>
    <row r="12" spans="1:10" ht="18" x14ac:dyDescent="0.3">
      <c r="A12" s="78"/>
      <c r="B12" s="79"/>
      <c r="C12" s="79"/>
      <c r="D12" s="94" t="s">
        <v>1260</v>
      </c>
      <c r="E12" s="89">
        <v>163.04</v>
      </c>
      <c r="F12" s="89">
        <v>42.67</v>
      </c>
      <c r="G12" s="89"/>
      <c r="H12" s="89"/>
      <c r="I12" s="93"/>
      <c r="J12" s="91">
        <f>+E12-F12</f>
        <v>120.36999999999999</v>
      </c>
    </row>
    <row r="13" spans="1:10" ht="18" x14ac:dyDescent="0.3">
      <c r="A13" s="78"/>
      <c r="B13" s="79"/>
      <c r="C13" s="79"/>
      <c r="D13" s="94"/>
      <c r="E13" s="89"/>
      <c r="F13" s="89"/>
      <c r="G13" s="89"/>
      <c r="H13" s="89"/>
      <c r="I13" s="93"/>
      <c r="J13" s="91">
        <f t="shared" si="0"/>
        <v>0</v>
      </c>
    </row>
    <row r="14" spans="1:10" ht="18" x14ac:dyDescent="0.3">
      <c r="A14" s="78"/>
      <c r="B14" s="79"/>
      <c r="C14" s="79"/>
      <c r="D14" s="94"/>
      <c r="E14" s="89"/>
      <c r="F14" s="89"/>
      <c r="G14" s="89"/>
      <c r="H14" s="89"/>
      <c r="I14" s="93"/>
      <c r="J14" s="91">
        <f t="shared" si="0"/>
        <v>0</v>
      </c>
    </row>
    <row r="15" spans="1:10" ht="18" x14ac:dyDescent="0.3">
      <c r="A15" s="78"/>
      <c r="B15" s="79"/>
      <c r="C15" s="79"/>
      <c r="D15" s="94"/>
      <c r="E15" s="89"/>
      <c r="F15" s="89"/>
      <c r="G15" s="89"/>
      <c r="H15" s="89"/>
      <c r="I15" s="93"/>
      <c r="J15" s="91">
        <f t="shared" si="0"/>
        <v>0</v>
      </c>
    </row>
    <row r="16" spans="1:10" ht="18" x14ac:dyDescent="0.3">
      <c r="A16" s="78"/>
      <c r="B16" s="79"/>
      <c r="C16" s="79"/>
      <c r="D16" s="94"/>
      <c r="E16" s="89"/>
      <c r="F16" s="89"/>
      <c r="G16" s="89"/>
      <c r="H16" s="89"/>
      <c r="I16" s="93"/>
      <c r="J16" s="91">
        <f t="shared" ref="J16:J46" si="1">+PRODUCT(E16:I16)</f>
        <v>0</v>
      </c>
    </row>
    <row r="17" spans="1:10" ht="18" x14ac:dyDescent="0.3">
      <c r="A17" s="78"/>
      <c r="B17" s="79"/>
      <c r="C17" s="79"/>
      <c r="D17" s="94"/>
      <c r="E17" s="89"/>
      <c r="F17" s="89"/>
      <c r="G17" s="89"/>
      <c r="H17" s="89"/>
      <c r="I17" s="93"/>
      <c r="J17" s="91">
        <f t="shared" si="1"/>
        <v>0</v>
      </c>
    </row>
    <row r="18" spans="1:10" ht="18" x14ac:dyDescent="0.3">
      <c r="A18" s="78"/>
      <c r="B18" s="79"/>
      <c r="C18" s="79"/>
      <c r="D18" s="94"/>
      <c r="E18" s="89"/>
      <c r="F18" s="89"/>
      <c r="G18" s="89"/>
      <c r="H18" s="89"/>
      <c r="I18" s="93"/>
      <c r="J18" s="91">
        <f t="shared" si="1"/>
        <v>0</v>
      </c>
    </row>
    <row r="19" spans="1:10" ht="18" x14ac:dyDescent="0.3">
      <c r="A19" s="78"/>
      <c r="B19" s="79"/>
      <c r="C19" s="79"/>
      <c r="D19" s="95"/>
      <c r="E19" s="89"/>
      <c r="F19" s="89"/>
      <c r="G19" s="89"/>
      <c r="H19" s="89"/>
      <c r="I19" s="93"/>
      <c r="J19" s="91">
        <f t="shared" si="1"/>
        <v>0</v>
      </c>
    </row>
    <row r="20" spans="1:10" ht="18" x14ac:dyDescent="0.3">
      <c r="A20" s="78"/>
      <c r="B20" s="79"/>
      <c r="C20" s="79"/>
      <c r="D20" s="88"/>
      <c r="E20" s="89"/>
      <c r="F20" s="89"/>
      <c r="G20" s="89"/>
      <c r="H20" s="89"/>
      <c r="I20" s="90"/>
      <c r="J20" s="91">
        <f t="shared" si="1"/>
        <v>0</v>
      </c>
    </row>
    <row r="21" spans="1:10" ht="18" x14ac:dyDescent="0.3">
      <c r="A21" s="78"/>
      <c r="B21" s="79"/>
      <c r="C21" s="79"/>
      <c r="D21" s="88"/>
      <c r="E21" s="89"/>
      <c r="F21" s="89"/>
      <c r="G21" s="89"/>
      <c r="H21" s="89"/>
      <c r="I21" s="90"/>
      <c r="J21" s="91">
        <f t="shared" si="1"/>
        <v>0</v>
      </c>
    </row>
    <row r="22" spans="1:10" ht="18" x14ac:dyDescent="0.3">
      <c r="A22" s="78"/>
      <c r="B22" s="79"/>
      <c r="C22" s="79"/>
      <c r="D22" s="88"/>
      <c r="E22" s="89"/>
      <c r="F22" s="89"/>
      <c r="G22" s="89"/>
      <c r="H22" s="89"/>
      <c r="I22" s="90"/>
      <c r="J22" s="91">
        <f t="shared" si="1"/>
        <v>0</v>
      </c>
    </row>
    <row r="23" spans="1:10" ht="18" x14ac:dyDescent="0.3">
      <c r="A23" s="78"/>
      <c r="B23" s="79"/>
      <c r="C23" s="79"/>
      <c r="D23" s="94"/>
      <c r="E23" s="89"/>
      <c r="F23" s="89"/>
      <c r="G23" s="89"/>
      <c r="H23" s="89"/>
      <c r="I23" s="93"/>
      <c r="J23" s="91">
        <f t="shared" si="1"/>
        <v>0</v>
      </c>
    </row>
    <row r="24" spans="1:10" ht="18" x14ac:dyDescent="0.3">
      <c r="A24" s="78"/>
      <c r="B24" s="79"/>
      <c r="C24" s="79"/>
      <c r="D24" s="94"/>
      <c r="E24" s="89"/>
      <c r="F24" s="89"/>
      <c r="G24" s="89"/>
      <c r="H24" s="89"/>
      <c r="I24" s="93"/>
      <c r="J24" s="91">
        <f t="shared" si="1"/>
        <v>0</v>
      </c>
    </row>
    <row r="25" spans="1:10" ht="18" x14ac:dyDescent="0.3">
      <c r="A25" s="78"/>
      <c r="B25" s="79"/>
      <c r="C25" s="79"/>
      <c r="D25" s="94"/>
      <c r="E25" s="89"/>
      <c r="F25" s="89"/>
      <c r="G25" s="89"/>
      <c r="H25" s="89"/>
      <c r="I25" s="93"/>
      <c r="J25" s="91">
        <f t="shared" si="1"/>
        <v>0</v>
      </c>
    </row>
    <row r="26" spans="1:10" ht="18" x14ac:dyDescent="0.3">
      <c r="A26" s="78"/>
      <c r="B26" s="79"/>
      <c r="C26" s="79"/>
      <c r="D26" s="94"/>
      <c r="E26" s="89"/>
      <c r="F26" s="89"/>
      <c r="G26" s="89"/>
      <c r="H26" s="89"/>
      <c r="I26" s="93"/>
      <c r="J26" s="91">
        <f t="shared" si="1"/>
        <v>0</v>
      </c>
    </row>
    <row r="27" spans="1:10" ht="18" x14ac:dyDescent="0.3">
      <c r="A27" s="78"/>
      <c r="B27" s="79"/>
      <c r="C27" s="79"/>
      <c r="D27" s="94"/>
      <c r="E27" s="89"/>
      <c r="F27" s="89"/>
      <c r="G27" s="89"/>
      <c r="H27" s="89"/>
      <c r="I27" s="93"/>
      <c r="J27" s="91">
        <f t="shared" si="1"/>
        <v>0</v>
      </c>
    </row>
    <row r="28" spans="1:10" ht="18" x14ac:dyDescent="0.3">
      <c r="A28" s="78"/>
      <c r="B28" s="79"/>
      <c r="C28" s="79"/>
      <c r="D28" s="94"/>
      <c r="E28" s="89"/>
      <c r="F28" s="89"/>
      <c r="G28" s="89"/>
      <c r="H28" s="89"/>
      <c r="I28" s="93"/>
      <c r="J28" s="91">
        <f t="shared" si="1"/>
        <v>0</v>
      </c>
    </row>
    <row r="29" spans="1:10" ht="18" x14ac:dyDescent="0.3">
      <c r="A29" s="78"/>
      <c r="B29" s="79"/>
      <c r="C29" s="79"/>
      <c r="D29" s="94"/>
      <c r="E29" s="89"/>
      <c r="F29" s="89"/>
      <c r="G29" s="89"/>
      <c r="H29" s="89"/>
      <c r="I29" s="93"/>
      <c r="J29" s="91">
        <f t="shared" si="1"/>
        <v>0</v>
      </c>
    </row>
    <row r="30" spans="1:10" ht="18" x14ac:dyDescent="0.3">
      <c r="A30" s="78"/>
      <c r="B30" s="79"/>
      <c r="C30" s="79"/>
      <c r="D30" s="94"/>
      <c r="E30" s="89"/>
      <c r="F30" s="89"/>
      <c r="G30" s="89"/>
      <c r="H30" s="89"/>
      <c r="I30" s="93"/>
      <c r="J30" s="91">
        <f t="shared" si="1"/>
        <v>0</v>
      </c>
    </row>
    <row r="31" spans="1:10" ht="18" x14ac:dyDescent="0.3">
      <c r="A31" s="78"/>
      <c r="B31" s="79"/>
      <c r="C31" s="79"/>
      <c r="D31" s="94"/>
      <c r="E31" s="89"/>
      <c r="F31" s="89"/>
      <c r="G31" s="89"/>
      <c r="H31" s="89"/>
      <c r="I31" s="93"/>
      <c r="J31" s="91">
        <f t="shared" si="1"/>
        <v>0</v>
      </c>
    </row>
    <row r="32" spans="1:10" ht="18" x14ac:dyDescent="0.3">
      <c r="A32" s="78"/>
      <c r="B32" s="79"/>
      <c r="C32" s="79"/>
      <c r="D32" s="94"/>
      <c r="E32" s="89"/>
      <c r="F32" s="89"/>
      <c r="G32" s="89"/>
      <c r="H32" s="89"/>
      <c r="I32" s="93"/>
      <c r="J32" s="91">
        <f t="shared" si="1"/>
        <v>0</v>
      </c>
    </row>
    <row r="33" spans="1:13" ht="18" x14ac:dyDescent="0.3">
      <c r="A33" s="78"/>
      <c r="B33" s="79"/>
      <c r="C33" s="79"/>
      <c r="D33" s="94"/>
      <c r="E33" s="89"/>
      <c r="F33" s="89"/>
      <c r="G33" s="89"/>
      <c r="H33" s="89"/>
      <c r="I33" s="93"/>
      <c r="J33" s="91">
        <f t="shared" si="1"/>
        <v>0</v>
      </c>
    </row>
    <row r="34" spans="1:13" ht="18" x14ac:dyDescent="0.3">
      <c r="A34" s="78"/>
      <c r="B34" s="79"/>
      <c r="C34" s="79"/>
      <c r="D34" s="94"/>
      <c r="E34" s="89"/>
      <c r="F34" s="89"/>
      <c r="G34" s="89"/>
      <c r="H34" s="89"/>
      <c r="I34" s="93"/>
      <c r="J34" s="91">
        <f t="shared" si="1"/>
        <v>0</v>
      </c>
    </row>
    <row r="35" spans="1:13" ht="18" x14ac:dyDescent="0.3">
      <c r="A35" s="78"/>
      <c r="B35" s="79"/>
      <c r="C35" s="79"/>
      <c r="D35" s="94"/>
      <c r="E35" s="89"/>
      <c r="F35" s="89"/>
      <c r="G35" s="89"/>
      <c r="H35" s="89"/>
      <c r="I35" s="93"/>
      <c r="J35" s="91">
        <f t="shared" si="1"/>
        <v>0</v>
      </c>
    </row>
    <row r="36" spans="1:13" ht="18" x14ac:dyDescent="0.3">
      <c r="A36" s="78"/>
      <c r="B36" s="79"/>
      <c r="C36" s="79"/>
      <c r="D36" s="94"/>
      <c r="E36" s="89"/>
      <c r="F36" s="89"/>
      <c r="G36" s="89"/>
      <c r="H36" s="89"/>
      <c r="I36" s="93"/>
      <c r="J36" s="91">
        <f t="shared" si="1"/>
        <v>0</v>
      </c>
    </row>
    <row r="37" spans="1:13" ht="18" x14ac:dyDescent="0.3">
      <c r="A37" s="78"/>
      <c r="B37" s="79"/>
      <c r="C37" s="79"/>
      <c r="D37" s="94"/>
      <c r="E37" s="89"/>
      <c r="F37" s="89"/>
      <c r="G37" s="89"/>
      <c r="H37" s="89"/>
      <c r="I37" s="93"/>
      <c r="J37" s="91">
        <f t="shared" si="1"/>
        <v>0</v>
      </c>
    </row>
    <row r="38" spans="1:13" ht="18" x14ac:dyDescent="0.3">
      <c r="A38" s="78"/>
      <c r="B38" s="79"/>
      <c r="C38" s="79"/>
      <c r="D38" s="94"/>
      <c r="E38" s="89"/>
      <c r="F38" s="89"/>
      <c r="G38" s="89"/>
      <c r="H38" s="89"/>
      <c r="I38" s="93"/>
      <c r="J38" s="91">
        <f t="shared" si="1"/>
        <v>0</v>
      </c>
    </row>
    <row r="39" spans="1:13" ht="18" x14ac:dyDescent="0.3">
      <c r="A39" s="78"/>
      <c r="B39" s="79"/>
      <c r="C39" s="79"/>
      <c r="D39" s="94"/>
      <c r="E39" s="89"/>
      <c r="F39" s="89"/>
      <c r="G39" s="89"/>
      <c r="H39" s="89"/>
      <c r="I39" s="93"/>
      <c r="J39" s="91">
        <f t="shared" si="1"/>
        <v>0</v>
      </c>
    </row>
    <row r="40" spans="1:13" ht="18" x14ac:dyDescent="0.3">
      <c r="A40" s="78"/>
      <c r="B40" s="79"/>
      <c r="C40" s="79"/>
      <c r="D40" s="94"/>
      <c r="E40" s="89"/>
      <c r="F40" s="89"/>
      <c r="G40" s="92"/>
      <c r="H40" s="89"/>
      <c r="I40" s="93"/>
      <c r="J40" s="91"/>
    </row>
    <row r="41" spans="1:13" ht="18" x14ac:dyDescent="0.3">
      <c r="A41" s="78"/>
      <c r="B41" s="79"/>
      <c r="C41" s="79"/>
      <c r="D41" s="94"/>
      <c r="E41" s="89"/>
      <c r="F41" s="89"/>
      <c r="G41" s="92"/>
      <c r="H41" s="89"/>
      <c r="I41" s="93"/>
      <c r="J41" s="91"/>
    </row>
    <row r="42" spans="1:13" ht="18" x14ac:dyDescent="0.3">
      <c r="A42" s="78"/>
      <c r="B42" s="79"/>
      <c r="C42" s="79"/>
      <c r="D42" s="94"/>
      <c r="E42" s="89"/>
      <c r="F42" s="89"/>
      <c r="G42" s="92"/>
      <c r="H42" s="89"/>
      <c r="I42" s="93"/>
      <c r="J42" s="91"/>
    </row>
    <row r="43" spans="1:13" ht="18" x14ac:dyDescent="0.3">
      <c r="A43" s="78"/>
      <c r="B43" s="79"/>
      <c r="C43" s="79"/>
      <c r="D43" s="94"/>
      <c r="E43" s="89"/>
      <c r="F43" s="89"/>
      <c r="G43" s="92"/>
      <c r="H43" s="89"/>
      <c r="I43" s="93"/>
      <c r="J43" s="91"/>
    </row>
    <row r="44" spans="1:13" ht="18" x14ac:dyDescent="0.3">
      <c r="A44" s="78"/>
      <c r="B44" s="79"/>
      <c r="C44" s="79"/>
      <c r="D44" s="94"/>
      <c r="E44" s="89"/>
      <c r="F44" s="89"/>
      <c r="G44" s="92"/>
      <c r="H44" s="89"/>
      <c r="I44" s="93"/>
      <c r="J44" s="91"/>
    </row>
    <row r="45" spans="1:13" ht="18" x14ac:dyDescent="0.3">
      <c r="A45" s="78"/>
      <c r="B45" s="79"/>
      <c r="C45" s="79"/>
      <c r="D45" s="95"/>
      <c r="E45" s="89"/>
      <c r="F45" s="89"/>
      <c r="G45" s="92"/>
      <c r="H45" s="89"/>
      <c r="I45" s="93"/>
      <c r="J45" s="91">
        <f t="shared" si="1"/>
        <v>0</v>
      </c>
    </row>
    <row r="46" spans="1:13" ht="18.75" thickBot="1" x14ac:dyDescent="0.35">
      <c r="A46" s="78"/>
      <c r="B46" s="79"/>
      <c r="C46" s="79"/>
      <c r="D46" s="96"/>
      <c r="E46" s="97"/>
      <c r="F46" s="97"/>
      <c r="G46" s="98"/>
      <c r="H46" s="97"/>
      <c r="I46" s="99"/>
      <c r="J46" s="100">
        <f t="shared" si="1"/>
        <v>0</v>
      </c>
      <c r="M46" s="105"/>
    </row>
    <row r="47" spans="1:13" ht="21" thickBot="1" x14ac:dyDescent="0.35">
      <c r="A47" s="78"/>
      <c r="B47" s="79"/>
      <c r="C47" s="79"/>
      <c r="D47" s="933" t="s">
        <v>10</v>
      </c>
      <c r="E47" s="934"/>
      <c r="F47" s="934"/>
      <c r="G47" s="934"/>
      <c r="H47" s="934"/>
      <c r="I47" s="935"/>
      <c r="J47" s="102">
        <f>ROUND(SUM(J8:J46),2)</f>
        <v>272.01</v>
      </c>
    </row>
    <row r="48" spans="1:13" ht="21" thickBot="1" x14ac:dyDescent="0.35">
      <c r="A48" s="78"/>
      <c r="B48" s="79"/>
      <c r="C48" s="79"/>
      <c r="D48" s="933" t="s">
        <v>1127</v>
      </c>
      <c r="E48" s="934"/>
      <c r="F48" s="934"/>
      <c r="G48" s="934"/>
      <c r="H48" s="934"/>
      <c r="I48" s="935"/>
      <c r="J48" s="103"/>
    </row>
    <row r="49" spans="1:10" ht="21" thickBot="1" x14ac:dyDescent="0.35">
      <c r="A49" s="78"/>
      <c r="B49" s="79"/>
      <c r="C49" s="101"/>
      <c r="D49" s="933" t="s">
        <v>1128</v>
      </c>
      <c r="E49" s="934"/>
      <c r="F49" s="934"/>
      <c r="G49" s="934"/>
      <c r="H49" s="934"/>
      <c r="I49" s="935"/>
      <c r="J49" s="104">
        <f>+J47-J48</f>
        <v>272.01</v>
      </c>
    </row>
    <row r="50" spans="1:10" ht="21" thickBot="1" x14ac:dyDescent="0.35">
      <c r="A50" s="936" t="s">
        <v>1129</v>
      </c>
      <c r="B50" s="937"/>
      <c r="C50" s="938"/>
      <c r="D50" s="939" t="s">
        <v>1130</v>
      </c>
      <c r="E50" s="940"/>
      <c r="F50" s="940"/>
      <c r="G50" s="940"/>
      <c r="H50" s="940"/>
      <c r="I50" s="940"/>
      <c r="J50" s="941"/>
    </row>
    <row r="51" spans="1:10" ht="38.25" customHeight="1" thickBot="1" x14ac:dyDescent="0.35">
      <c r="A51" s="942" t="str">
        <f>PPTO!G3</f>
        <v>JUNIO DE 2026</v>
      </c>
      <c r="B51" s="943"/>
      <c r="C51" s="944"/>
      <c r="D51" s="921"/>
      <c r="E51" s="922"/>
      <c r="F51" s="922"/>
      <c r="G51" s="922"/>
      <c r="H51" s="922"/>
      <c r="I51" s="922"/>
      <c r="J51" s="923"/>
    </row>
    <row r="52" spans="1:10" ht="19.5" thickBot="1" x14ac:dyDescent="0.35">
      <c r="A52" s="918"/>
      <c r="B52" s="919"/>
      <c r="C52" s="920"/>
      <c r="D52" s="921" t="s">
        <v>1131</v>
      </c>
      <c r="E52" s="922"/>
      <c r="F52" s="922"/>
      <c r="G52" s="922"/>
      <c r="H52" s="922"/>
      <c r="I52" s="922"/>
      <c r="J52" s="923"/>
    </row>
  </sheetData>
  <mergeCells count="19">
    <mergeCell ref="A2:J2"/>
    <mergeCell ref="A3:J3"/>
    <mergeCell ref="A4:J4"/>
    <mergeCell ref="C5:D5"/>
    <mergeCell ref="G5:H5"/>
    <mergeCell ref="I5:J5"/>
    <mergeCell ref="A52:C52"/>
    <mergeCell ref="D52:J52"/>
    <mergeCell ref="D6:D7"/>
    <mergeCell ref="E6:G6"/>
    <mergeCell ref="I6:I7"/>
    <mergeCell ref="J6:J7"/>
    <mergeCell ref="D47:I47"/>
    <mergeCell ref="D48:I48"/>
    <mergeCell ref="D49:I49"/>
    <mergeCell ref="A50:C50"/>
    <mergeCell ref="D50:J50"/>
    <mergeCell ref="A51:C51"/>
    <mergeCell ref="D51:J51"/>
  </mergeCells>
  <conditionalFormatting sqref="J8:J46">
    <cfRule type="cellIs" dxfId="0" priority="1" operator="equal">
      <formula>0</formula>
    </cfRule>
  </conditionalFormatting>
  <pageMargins left="0.7" right="0.7" top="0.75" bottom="0.75" header="0.3" footer="0.3"/>
  <pageSetup scale="49"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 xmlns="d5fbfd73-b5c6-4a22-bb82-a842d334ea30"/>
    <lcf76f155ced4ddcb4097134ff3c332f xmlns="d5fbfd73-b5c6-4a22-bb82-a842d334ea30">
      <Terms xmlns="http://schemas.microsoft.com/office/infopath/2007/PartnerControls"/>
    </lcf76f155ced4ddcb4097134ff3c332f>
    <TaxCatchAll xmlns="aea22f7c-3c92-4d30-a408-7c938d8364ab"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953E14D429E06E488A636262E829B263" ma:contentTypeVersion="15" ma:contentTypeDescription="Crear nuevo documento." ma:contentTypeScope="" ma:versionID="26e366e03ae31784ac6e1c0a9098c358">
  <xsd:schema xmlns:xsd="http://www.w3.org/2001/XMLSchema" xmlns:xs="http://www.w3.org/2001/XMLSchema" xmlns:p="http://schemas.microsoft.com/office/2006/metadata/properties" xmlns:ns2="d5fbfd73-b5c6-4a22-bb82-a842d334ea30" xmlns:ns3="aea22f7c-3c92-4d30-a408-7c938d8364ab" targetNamespace="http://schemas.microsoft.com/office/2006/metadata/properties" ma:root="true" ma:fieldsID="92251901e1ddd63db4ce89a6658f8baa" ns2:_="" ns3:_="">
    <xsd:import namespace="d5fbfd73-b5c6-4a22-bb82-a842d334ea30"/>
    <xsd:import namespace="aea22f7c-3c92-4d30-a408-7c938d8364a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n"/>
                <xsd:element ref="ns2:MediaServiceBillingMetadata"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5fbfd73-b5c6-4a22-bb82-a842d334ea3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19e75205-e2fd-45d0-980f-970092228fbf"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n" ma:index="20" ma:displayName="n" ma:format="Dropdown" ma:internalName="n" ma:percentage="FALSE">
      <xsd:simpleType>
        <xsd:restriction base="dms:Number"/>
      </xsd:simpleType>
    </xsd:element>
    <xsd:element name="MediaServiceBillingMetadata" ma:index="21" nillable="true" ma:displayName="MediaServiceBillingMetadata" ma:hidden="true" ma:internalName="MediaServiceBillingMetadata" ma:readOnly="true">
      <xsd:simpleType>
        <xsd:restriction base="dms:Note"/>
      </xsd:simpleType>
    </xsd:element>
    <xsd:element name="MediaServiceLocation" ma:index="22"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ea22f7c-3c92-4d30-a408-7c938d8364ab"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6686c874-0fed-41da-8b6a-cfabba3476fc}" ma:internalName="TaxCatchAll" ma:showField="CatchAllData" ma:web="aea22f7c-3c92-4d30-a408-7c938d8364a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CCA53AF-C66F-403E-BC0A-67E2213A40B8}">
  <ds:schemaRefs>
    <ds:schemaRef ds:uri="http://schemas.microsoft.com/office/2006/metadata/properties"/>
    <ds:schemaRef ds:uri="http://schemas.microsoft.com/office/infopath/2007/PartnerControls"/>
    <ds:schemaRef ds:uri="d5fbfd73-b5c6-4a22-bb82-a842d334ea30"/>
    <ds:schemaRef ds:uri="aea22f7c-3c92-4d30-a408-7c938d8364ab"/>
  </ds:schemaRefs>
</ds:datastoreItem>
</file>

<file path=customXml/itemProps2.xml><?xml version="1.0" encoding="utf-8"?>
<ds:datastoreItem xmlns:ds="http://schemas.openxmlformats.org/officeDocument/2006/customXml" ds:itemID="{347108A4-A37E-4972-BB03-C9D6A1FD12D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5fbfd73-b5c6-4a22-bb82-a842d334ea30"/>
    <ds:schemaRef ds:uri="aea22f7c-3c92-4d30-a408-7c938d8364a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DF0EE42-C87D-4A66-BFBB-C37B6C26CD4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83</vt:i4>
      </vt:variant>
      <vt:variant>
        <vt:lpstr>Rangos con nombre</vt:lpstr>
      </vt:variant>
      <vt:variant>
        <vt:i4>79</vt:i4>
      </vt:variant>
    </vt:vector>
  </HeadingPairs>
  <TitlesOfParts>
    <vt:vector size="162" baseType="lpstr">
      <vt:lpstr>PPTO</vt:lpstr>
      <vt:lpstr>AU</vt:lpstr>
      <vt:lpstr>PÓLIZAS OBRA</vt:lpstr>
      <vt:lpstr>APU'S</vt:lpstr>
      <vt:lpstr>Hoja1</vt:lpstr>
      <vt:lpstr>INSUMOS</vt:lpstr>
      <vt:lpstr>FACTOR PRESTACIONAL</vt:lpstr>
      <vt:lpstr>PMA</vt:lpstr>
      <vt:lpstr>INT</vt:lpstr>
      <vt:lpstr>FM INT</vt:lpstr>
      <vt:lpstr>PÓLIZAS INT</vt:lpstr>
      <vt:lpstr>Cronograma</vt:lpstr>
      <vt:lpstr>APU GIMNASIO</vt:lpstr>
      <vt:lpstr>M-C</vt:lpstr>
      <vt:lpstr>1.1</vt:lpstr>
      <vt:lpstr>1.2</vt:lpstr>
      <vt:lpstr>1.3</vt:lpstr>
      <vt:lpstr>2.1</vt:lpstr>
      <vt:lpstr>2.2</vt:lpstr>
      <vt:lpstr>3.1.1</vt:lpstr>
      <vt:lpstr>3.1.2</vt:lpstr>
      <vt:lpstr>3.1.3</vt:lpstr>
      <vt:lpstr>3.1.4</vt:lpstr>
      <vt:lpstr>3.2.1</vt:lpstr>
      <vt:lpstr>3.2.2</vt:lpstr>
      <vt:lpstr>3.2.3</vt:lpstr>
      <vt:lpstr>3.3.1</vt:lpstr>
      <vt:lpstr>3.3.2</vt:lpstr>
      <vt:lpstr>3.4.1</vt:lpstr>
      <vt:lpstr>4.1</vt:lpstr>
      <vt:lpstr>4.2</vt:lpstr>
      <vt:lpstr>4.3</vt:lpstr>
      <vt:lpstr>4.4</vt:lpstr>
      <vt:lpstr>4.5</vt:lpstr>
      <vt:lpstr>4.6</vt:lpstr>
      <vt:lpstr>5.1</vt:lpstr>
      <vt:lpstr>5.2</vt:lpstr>
      <vt:lpstr>5.3</vt:lpstr>
      <vt:lpstr>5.4</vt:lpstr>
      <vt:lpstr>6.1</vt:lpstr>
      <vt:lpstr>6.2</vt:lpstr>
      <vt:lpstr>6.3</vt:lpstr>
      <vt:lpstr>6.4</vt:lpstr>
      <vt:lpstr>6.5</vt:lpstr>
      <vt:lpstr>6.6</vt:lpstr>
      <vt:lpstr>6.7</vt:lpstr>
      <vt:lpstr>6.8</vt:lpstr>
      <vt:lpstr>6.9</vt:lpstr>
      <vt:lpstr>6.10</vt:lpstr>
      <vt:lpstr>6.11</vt:lpstr>
      <vt:lpstr>6.12</vt:lpstr>
      <vt:lpstr>6.13</vt:lpstr>
      <vt:lpstr>6.14</vt:lpstr>
      <vt:lpstr>6.15</vt:lpstr>
      <vt:lpstr>6.17</vt:lpstr>
      <vt:lpstr>7.1</vt:lpstr>
      <vt:lpstr>7.2</vt:lpstr>
      <vt:lpstr>7.3</vt:lpstr>
      <vt:lpstr>7.4</vt:lpstr>
      <vt:lpstr>7.5</vt:lpstr>
      <vt:lpstr>7.6</vt:lpstr>
      <vt:lpstr>7.7</vt:lpstr>
      <vt:lpstr>7.8</vt:lpstr>
      <vt:lpstr>7.9</vt:lpstr>
      <vt:lpstr>7.10</vt:lpstr>
      <vt:lpstr>8.1</vt:lpstr>
      <vt:lpstr>8.2</vt:lpstr>
      <vt:lpstr>8.3</vt:lpstr>
      <vt:lpstr>8.4</vt:lpstr>
      <vt:lpstr>8.5</vt:lpstr>
      <vt:lpstr>9.1</vt:lpstr>
      <vt:lpstr>10.1</vt:lpstr>
      <vt:lpstr>10.2</vt:lpstr>
      <vt:lpstr>10.3</vt:lpstr>
      <vt:lpstr>10.4</vt:lpstr>
      <vt:lpstr>10.5</vt:lpstr>
      <vt:lpstr>10.6</vt:lpstr>
      <vt:lpstr>10.7</vt:lpstr>
      <vt:lpstr>10.8</vt:lpstr>
      <vt:lpstr>11.1</vt:lpstr>
      <vt:lpstr>11.2</vt:lpstr>
      <vt:lpstr>11.3</vt:lpstr>
      <vt:lpstr>12.2</vt:lpstr>
      <vt:lpstr>'1.1'!Área_de_impresión</vt:lpstr>
      <vt:lpstr>'1.2'!Área_de_impresión</vt:lpstr>
      <vt:lpstr>'1.3'!Área_de_impresión</vt:lpstr>
      <vt:lpstr>'10.1'!Área_de_impresión</vt:lpstr>
      <vt:lpstr>'10.2'!Área_de_impresión</vt:lpstr>
      <vt:lpstr>'10.3'!Área_de_impresión</vt:lpstr>
      <vt:lpstr>'10.4'!Área_de_impresión</vt:lpstr>
      <vt:lpstr>'10.5'!Área_de_impresión</vt:lpstr>
      <vt:lpstr>'10.6'!Área_de_impresión</vt:lpstr>
      <vt:lpstr>'10.7'!Área_de_impresión</vt:lpstr>
      <vt:lpstr>'10.8'!Área_de_impresión</vt:lpstr>
      <vt:lpstr>'11.1'!Área_de_impresión</vt:lpstr>
      <vt:lpstr>'11.2'!Área_de_impresión</vt:lpstr>
      <vt:lpstr>'11.3'!Área_de_impresión</vt:lpstr>
      <vt:lpstr>'12.2'!Área_de_impresión</vt:lpstr>
      <vt:lpstr>'2.1'!Área_de_impresión</vt:lpstr>
      <vt:lpstr>'2.2'!Área_de_impresión</vt:lpstr>
      <vt:lpstr>'3.1.1'!Área_de_impresión</vt:lpstr>
      <vt:lpstr>'3.1.2'!Área_de_impresión</vt:lpstr>
      <vt:lpstr>'3.1.3'!Área_de_impresión</vt:lpstr>
      <vt:lpstr>'3.1.4'!Área_de_impresión</vt:lpstr>
      <vt:lpstr>'3.2.1'!Área_de_impresión</vt:lpstr>
      <vt:lpstr>'3.2.2'!Área_de_impresión</vt:lpstr>
      <vt:lpstr>'3.2.3'!Área_de_impresión</vt:lpstr>
      <vt:lpstr>'3.3.1'!Área_de_impresión</vt:lpstr>
      <vt:lpstr>'3.3.2'!Área_de_impresión</vt:lpstr>
      <vt:lpstr>'3.4.1'!Área_de_impresión</vt:lpstr>
      <vt:lpstr>'4.1'!Área_de_impresión</vt:lpstr>
      <vt:lpstr>'4.2'!Área_de_impresión</vt:lpstr>
      <vt:lpstr>'4.3'!Área_de_impresión</vt:lpstr>
      <vt:lpstr>'4.4'!Área_de_impresión</vt:lpstr>
      <vt:lpstr>'4.5'!Área_de_impresión</vt:lpstr>
      <vt:lpstr>'4.6'!Área_de_impresión</vt:lpstr>
      <vt:lpstr>'5.1'!Área_de_impresión</vt:lpstr>
      <vt:lpstr>'5.2'!Área_de_impresión</vt:lpstr>
      <vt:lpstr>'5.3'!Área_de_impresión</vt:lpstr>
      <vt:lpstr>'5.4'!Área_de_impresión</vt:lpstr>
      <vt:lpstr>'6.1'!Área_de_impresión</vt:lpstr>
      <vt:lpstr>'6.10'!Área_de_impresión</vt:lpstr>
      <vt:lpstr>'6.11'!Área_de_impresión</vt:lpstr>
      <vt:lpstr>'6.12'!Área_de_impresión</vt:lpstr>
      <vt:lpstr>'6.13'!Área_de_impresión</vt:lpstr>
      <vt:lpstr>'6.14'!Área_de_impresión</vt:lpstr>
      <vt:lpstr>'6.15'!Área_de_impresión</vt:lpstr>
      <vt:lpstr>'6.17'!Área_de_impresión</vt:lpstr>
      <vt:lpstr>'6.2'!Área_de_impresión</vt:lpstr>
      <vt:lpstr>'6.3'!Área_de_impresión</vt:lpstr>
      <vt:lpstr>'6.4'!Área_de_impresión</vt:lpstr>
      <vt:lpstr>'6.5'!Área_de_impresión</vt:lpstr>
      <vt:lpstr>'6.6'!Área_de_impresión</vt:lpstr>
      <vt:lpstr>'6.7'!Área_de_impresión</vt:lpstr>
      <vt:lpstr>'6.8'!Área_de_impresión</vt:lpstr>
      <vt:lpstr>'6.9'!Área_de_impresión</vt:lpstr>
      <vt:lpstr>'7.1'!Área_de_impresión</vt:lpstr>
      <vt:lpstr>'7.10'!Área_de_impresión</vt:lpstr>
      <vt:lpstr>'7.2'!Área_de_impresión</vt:lpstr>
      <vt:lpstr>'7.3'!Área_de_impresión</vt:lpstr>
      <vt:lpstr>'7.4'!Área_de_impresión</vt:lpstr>
      <vt:lpstr>'7.5'!Área_de_impresión</vt:lpstr>
      <vt:lpstr>'7.6'!Área_de_impresión</vt:lpstr>
      <vt:lpstr>'7.7'!Área_de_impresión</vt:lpstr>
      <vt:lpstr>'7.8'!Área_de_impresión</vt:lpstr>
      <vt:lpstr>'7.9'!Área_de_impresión</vt:lpstr>
      <vt:lpstr>'8.1'!Área_de_impresión</vt:lpstr>
      <vt:lpstr>'8.2'!Área_de_impresión</vt:lpstr>
      <vt:lpstr>'8.3'!Área_de_impresión</vt:lpstr>
      <vt:lpstr>'8.4'!Área_de_impresión</vt:lpstr>
      <vt:lpstr>'8.5'!Área_de_impresión</vt:lpstr>
      <vt:lpstr>'9.1'!Área_de_impresión</vt:lpstr>
      <vt:lpstr>'APU''S'!Área_de_impresión</vt:lpstr>
      <vt:lpstr>AU!Área_de_impresión</vt:lpstr>
      <vt:lpstr>Cronograma!Área_de_impresión</vt:lpstr>
      <vt:lpstr>'FACTOR PRESTACIONAL'!Área_de_impresión</vt:lpstr>
      <vt:lpstr>'FM INT'!Área_de_impresión</vt:lpstr>
      <vt:lpstr>INSUMOS!Área_de_impresión</vt:lpstr>
      <vt:lpstr>INT!Área_de_impresión</vt:lpstr>
      <vt:lpstr>'M-C'!Área_de_impresión</vt:lpstr>
      <vt:lpstr>PMA!Área_de_impresión</vt:lpstr>
      <vt:lpstr>PPTO!Área_de_impresión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Santiago Elejalde</dc:creator>
  <cp:keywords/>
  <dc:description/>
  <cp:lastModifiedBy>Andrés Felipe Múnera Taborda</cp:lastModifiedBy>
  <cp:revision/>
  <dcterms:created xsi:type="dcterms:W3CDTF">2021-06-08T18:35:55Z</dcterms:created>
  <dcterms:modified xsi:type="dcterms:W3CDTF">2026-10-22T21:03:11Z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0x010100953E14D429E06E488A636262E829B263</vt:lpwstr>
  </property>
  <property fmtid="{D5CDD505-2E9C-101B-9397-08002B2CF9AE}" pid="3" name="MediaServiceImageTags">
    <vt:lpwstr/>
  </property>
</Properties>
</file>