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dpyba-my.sharepoint.com/personal/t_rojas_animalesbog_gov_co/Documents/2026/BIENES Y SERVICIOS/caracterizacion de agua/"/>
    </mc:Choice>
  </mc:AlternateContent>
  <xr:revisionPtr revIDLastSave="1014" documentId="8_{D6977EF5-7ACA-4CF5-961A-F33825FDF331}" xr6:coauthVersionLast="47" xr6:coauthVersionMax="47" xr10:uidLastSave="{525DFD36-0ADA-7245-A388-DE973D820A4B}"/>
  <bookViews>
    <workbookView xWindow="0" yWindow="660" windowWidth="29400" windowHeight="17420" xr2:uid="{0D5397F7-9C15-434F-BB2F-B7D017B0A72D}"/>
  </bookViews>
  <sheets>
    <sheet name="Hoja1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0" l="1"/>
  <c r="H11" i="10" s="1"/>
  <c r="X7" i="10"/>
  <c r="Q8" i="10"/>
  <c r="R8" i="10"/>
  <c r="Q9" i="10"/>
  <c r="R9" i="10"/>
  <c r="S9" i="10"/>
  <c r="T9" i="10"/>
  <c r="Q10" i="10"/>
  <c r="S10" i="10" s="1"/>
  <c r="R10" i="10"/>
  <c r="T10" i="10" s="1"/>
  <c r="Q11" i="10"/>
  <c r="R11" i="10"/>
  <c r="Q12" i="10"/>
  <c r="R12" i="10"/>
  <c r="T12" i="10" s="1"/>
  <c r="Q13" i="10"/>
  <c r="R13" i="10"/>
  <c r="Q14" i="10"/>
  <c r="R14" i="10"/>
  <c r="R7" i="10"/>
  <c r="Q7" i="10"/>
  <c r="O14" i="10"/>
  <c r="P14" i="10" s="1"/>
  <c r="K14" i="10"/>
  <c r="L14" i="10" s="1"/>
  <c r="O13" i="10"/>
  <c r="P13" i="10" s="1"/>
  <c r="K13" i="10"/>
  <c r="L13" i="10" s="1"/>
  <c r="O12" i="10"/>
  <c r="P12" i="10" s="1"/>
  <c r="K12" i="10"/>
  <c r="L12" i="10" s="1"/>
  <c r="O11" i="10"/>
  <c r="P11" i="10" s="1"/>
  <c r="K11" i="10"/>
  <c r="L11" i="10" s="1"/>
  <c r="O10" i="10"/>
  <c r="P10" i="10" s="1"/>
  <c r="K10" i="10"/>
  <c r="L10" i="10" s="1"/>
  <c r="O9" i="10"/>
  <c r="P9" i="10" s="1"/>
  <c r="K9" i="10"/>
  <c r="L9" i="10" s="1"/>
  <c r="O8" i="10"/>
  <c r="P8" i="10" s="1"/>
  <c r="K8" i="10"/>
  <c r="L8" i="10" s="1"/>
  <c r="O7" i="10"/>
  <c r="P7" i="10" s="1"/>
  <c r="K7" i="10"/>
  <c r="L7" i="10" s="1"/>
  <c r="G14" i="10"/>
  <c r="H14" i="10" s="1"/>
  <c r="G13" i="10"/>
  <c r="H13" i="10" s="1"/>
  <c r="G12" i="10"/>
  <c r="H12" i="10" s="1"/>
  <c r="G10" i="10"/>
  <c r="H10" i="10" s="1"/>
  <c r="G9" i="10"/>
  <c r="H9" i="10" s="1"/>
  <c r="G8" i="10"/>
  <c r="H8" i="10" s="1"/>
  <c r="G7" i="10"/>
  <c r="H7" i="10" s="1"/>
  <c r="S12" i="10" l="1"/>
  <c r="W9" i="10"/>
  <c r="U9" i="10"/>
  <c r="V9" i="10"/>
  <c r="V10" i="10"/>
  <c r="W10" i="10"/>
  <c r="U10" i="10"/>
  <c r="S8" i="10"/>
  <c r="T8" i="10"/>
  <c r="S11" i="10"/>
  <c r="T11" i="10"/>
  <c r="T13" i="10"/>
  <c r="S13" i="10"/>
  <c r="S14" i="10"/>
  <c r="T14" i="10"/>
  <c r="L15" i="10"/>
  <c r="H15" i="10"/>
  <c r="T7" i="10"/>
  <c r="S7" i="10"/>
  <c r="P15" i="10"/>
  <c r="U12" i="10" l="1"/>
  <c r="W12" i="10"/>
  <c r="V12" i="10"/>
  <c r="U8" i="10"/>
  <c r="W8" i="10"/>
  <c r="V8" i="10"/>
  <c r="U11" i="10"/>
  <c r="W11" i="10"/>
  <c r="V11" i="10"/>
  <c r="W13" i="10"/>
  <c r="U13" i="10"/>
  <c r="V13" i="10"/>
  <c r="U14" i="10"/>
  <c r="V14" i="10"/>
  <c r="W14" i="10"/>
  <c r="U7" i="10"/>
  <c r="W7" i="10"/>
  <c r="V7" i="10"/>
  <c r="X10" i="10" l="1"/>
  <c r="Y10" i="10" s="1"/>
  <c r="Z10" i="10" s="1"/>
  <c r="AA10" i="10" s="1"/>
  <c r="X14" i="10"/>
  <c r="X13" i="10"/>
  <c r="X12" i="10"/>
  <c r="X11" i="10"/>
  <c r="X9" i="10"/>
  <c r="X8" i="10"/>
  <c r="Y7" i="10" l="1"/>
  <c r="Z7" i="10" s="1"/>
  <c r="Y14" i="10"/>
  <c r="Z14" i="10" s="1"/>
  <c r="AA14" i="10" s="1"/>
  <c r="Y13" i="10"/>
  <c r="Z13" i="10" s="1"/>
  <c r="AA13" i="10" s="1"/>
  <c r="Y12" i="10"/>
  <c r="Z12" i="10"/>
  <c r="AA12" i="10" s="1"/>
  <c r="Y11" i="10"/>
  <c r="Z11" i="10" s="1"/>
  <c r="AA11" i="10" s="1"/>
  <c r="Y9" i="10"/>
  <c r="Z9" i="10" s="1"/>
  <c r="AA9" i="10" s="1"/>
  <c r="Y8" i="10"/>
  <c r="Z8" i="10" s="1"/>
  <c r="AA8" i="10" s="1"/>
  <c r="AA7" i="10" l="1"/>
  <c r="AA15" i="10" s="1"/>
</calcChain>
</file>

<file path=xl/sharedStrings.xml><?xml version="1.0" encoding="utf-8"?>
<sst xmlns="http://schemas.openxmlformats.org/spreadsheetml/2006/main" count="50" uniqueCount="35">
  <si>
    <t>ITEM</t>
  </si>
  <si>
    <t>VALOR TOTAL COTIZACIÓN</t>
  </si>
  <si>
    <t>ESTUDIO DE MERCADO</t>
  </si>
  <si>
    <t>PROMEDIO ACOTADO POR LA DESVIACIÓN ESTÁNDAR</t>
  </si>
  <si>
    <t>VALORES  TOTALES</t>
  </si>
  <si>
    <t xml:space="preserve"> 1
PROMEDIO PRECIO DE REFERENCIA</t>
  </si>
  <si>
    <t>2
DESVIACION ESTANDAR</t>
  </si>
  <si>
    <t xml:space="preserve">1+2
TUNEL ALTO </t>
  </si>
  <si>
    <t xml:space="preserve">1-2
TUNEL BAJO </t>
  </si>
  <si>
    <t>PRECIO DE REFERENCIA DESPUES DE IVA</t>
  </si>
  <si>
    <t>ACTIVIDAD</t>
  </si>
  <si>
    <t>Cantidad</t>
  </si>
  <si>
    <t>PRECIO
REFERENCIA ANTES DE IVA $</t>
  </si>
  <si>
    <t>IVA</t>
  </si>
  <si>
    <t>Jornada de toma de muestras, aforo de caudal y medición de parámetros in situ para vertimientos líquidos ARnD (Jornada diurna representativa de 8 a 12 horas, muestra compuesta).</t>
  </si>
  <si>
    <t>Paquete analítico de caracterización de Vertimientos Líquidos (ARnD) según Res. 0631/15 y Res. SDA 3957/09 (Incluye: DBO₅, DQO, SST, SSed, Grasas y Aceites, Sustancias Activas al Azul de Metileno - SAAM, Hidrocarburos Totales, Coliformes Fecales/Totales, pH, T).</t>
  </si>
  <si>
    <t>Análisis analítico individual o complementario de Metales Pesados en Vertimientos (Plomo, Cadmio, Cromo Total, Mercurio, Níquel, Cinc, Cobre).</t>
  </si>
  <si>
    <t>Elaboración de Informe Técnico Integral de Caracterización de Vertimientos con Balance Hídrico y cálculo de Cargas Contaminantes para reporte oficial a la SDA / EAAB-ESP.</t>
  </si>
  <si>
    <t>Servicio de toma de muestra y medición in situ de Cloro Residual Libre y pH en puntos de red de Agua Potable y/o Tanques.</t>
  </si>
  <si>
    <t>Paquete analítico de Calidad de Agua para Consumo Humano según Res. 2115 de 2007 (Físico-químico y microbiológico completo para cálculo de IRCA: Turbiedad, Color Aparente, pH, Cloro Residual, Conductividad, Dureza Total, Alcalinidad, Hierro Total, Sulfatos, Nitritos, Nitratos, Coliformes Totales y E. coli).</t>
  </si>
  <si>
    <t>Paquete microbiológico básico de verificación rápida de Agua Potable (Escherichia coli, Coliformes Totales, Mesófilos aerobios).</t>
  </si>
  <si>
    <t>Elaboración de Informe Técnico de Calidad de Agua Potable e IRCA con recomendaciones operativas para sistemas de almacenamiento.</t>
  </si>
  <si>
    <t>Unidad de Medida</t>
  </si>
  <si>
    <t>Unidad</t>
  </si>
  <si>
    <t>Valor Unitario antes de IVA</t>
  </si>
  <si>
    <t>Tarifa de IVA APLICABLE</t>
  </si>
  <si>
    <t>Valor IVA</t>
  </si>
  <si>
    <t>Valor Unitario total</t>
  </si>
  <si>
    <t>ANALQUIM LTDA.
NIT 830.055.841-5</t>
  </si>
  <si>
    <t>ECOMAS INGENIEROS SAS
NIT 901.451.955-1</t>
  </si>
  <si>
    <t>ASSA CONSULTORIA SAS
NIT 901,119,447-1</t>
  </si>
  <si>
    <t>(1)_ ECOMAS INGENIEROS SAS</t>
  </si>
  <si>
    <t>(2)_ ECOMAS INGENIEROS SAS</t>
  </si>
  <si>
    <t>(3)_ ASSA CONSULTORIA SAS</t>
  </si>
  <si>
    <t>VALOR TECHO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</si>
</sst>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([$$-240A]\ * #,##0.00_);_([$$-240A]\ * \(#,##0.00\);_([$$-240A]\ * &quot;-&quot;??_);_(@_)"/>
    <numFmt numFmtId="167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Arial"/>
      <family val="2"/>
    </font>
    <font>
      <sz val="10"/>
      <color theme="1"/>
      <name val="Aptos Narrow"/>
      <family val="2"/>
      <scheme val="minor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4"/>
      <color indexed="8"/>
      <name val="Arial"/>
      <family val="2"/>
    </font>
    <font>
      <sz val="10"/>
      <color theme="1" tint="0.249977111117893"/>
      <name val="Arial"/>
      <family val="2"/>
    </font>
    <font>
      <b/>
      <sz val="10"/>
      <color theme="1" tint="0.24997711111789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0D0D0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C280F8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1" tint="0.49998474074526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/>
    <xf numFmtId="164" fontId="8" fillId="3" borderId="6" xfId="0" applyNumberFormat="1" applyFont="1" applyFill="1" applyBorder="1" applyAlignment="1">
      <alignment horizontal="right" vertical="center"/>
    </xf>
    <xf numFmtId="164" fontId="8" fillId="4" borderId="6" xfId="0" applyNumberFormat="1" applyFont="1" applyFill="1" applyBorder="1" applyAlignment="1">
      <alignment horizontal="right" vertical="center"/>
    </xf>
    <xf numFmtId="166" fontId="5" fillId="6" borderId="2" xfId="0" applyNumberFormat="1" applyFont="1" applyFill="1" applyBorder="1" applyAlignment="1">
      <alignment horizontal="center" vertical="center" wrapText="1"/>
    </xf>
    <xf numFmtId="1" fontId="5" fillId="6" borderId="2" xfId="0" applyNumberFormat="1" applyFont="1" applyFill="1" applyBorder="1" applyAlignment="1">
      <alignment horizontal="center" vertical="center" wrapText="1"/>
    </xf>
    <xf numFmtId="167" fontId="0" fillId="0" borderId="0" xfId="4" applyNumberFormat="1" applyFont="1"/>
    <xf numFmtId="0" fontId="9" fillId="0" borderId="0" xfId="0" applyFont="1" applyAlignment="1">
      <alignment vertical="center"/>
    </xf>
    <xf numFmtId="167" fontId="7" fillId="0" borderId="2" xfId="2" applyNumberFormat="1" applyFont="1" applyBorder="1" applyAlignment="1">
      <alignment horizontal="center" vertical="center"/>
    </xf>
    <xf numFmtId="44" fontId="7" fillId="0" borderId="2" xfId="2" applyFont="1" applyBorder="1" applyAlignment="1">
      <alignment horizontal="center" vertical="center"/>
    </xf>
    <xf numFmtId="164" fontId="2" fillId="0" borderId="0" xfId="0" applyNumberFormat="1" applyFont="1"/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9" fontId="10" fillId="0" borderId="2" xfId="5" applyFont="1" applyFill="1" applyBorder="1" applyAlignment="1">
      <alignment horizontal="center" vertical="center" wrapText="1"/>
    </xf>
    <xf numFmtId="167" fontId="10" fillId="8" borderId="2" xfId="4" applyNumberFormat="1" applyFont="1" applyFill="1" applyBorder="1" applyAlignment="1">
      <alignment horizontal="center" vertical="center" wrapText="1"/>
    </xf>
    <xf numFmtId="167" fontId="10" fillId="0" borderId="2" xfId="4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164" fontId="8" fillId="11" borderId="5" xfId="0" applyNumberFormat="1" applyFont="1" applyFill="1" applyBorder="1" applyAlignment="1">
      <alignment horizontal="right" vertical="center"/>
    </xf>
    <xf numFmtId="164" fontId="8" fillId="12" borderId="5" xfId="0" applyNumberFormat="1" applyFont="1" applyFill="1" applyBorder="1" applyAlignment="1">
      <alignment horizontal="right" vertical="center"/>
    </xf>
    <xf numFmtId="164" fontId="8" fillId="13" borderId="5" xfId="0" applyNumberFormat="1" applyFont="1" applyFill="1" applyBorder="1" applyAlignment="1">
      <alignment horizontal="right" vertical="center"/>
    </xf>
    <xf numFmtId="0" fontId="5" fillId="14" borderId="4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1" fontId="5" fillId="14" borderId="2" xfId="0" applyNumberFormat="1" applyFont="1" applyFill="1" applyBorder="1" applyAlignment="1">
      <alignment horizontal="center" vertical="center" wrapText="1"/>
    </xf>
    <xf numFmtId="1" fontId="5" fillId="15" borderId="2" xfId="0" applyNumberFormat="1" applyFont="1" applyFill="1" applyBorder="1" applyAlignment="1">
      <alignment horizontal="center" vertical="center" wrapText="1"/>
    </xf>
    <xf numFmtId="164" fontId="8" fillId="7" borderId="6" xfId="0" applyNumberFormat="1" applyFont="1" applyFill="1" applyBorder="1" applyAlignment="1">
      <alignment horizontal="right" vertical="center"/>
    </xf>
  </cellXfs>
  <cellStyles count="6">
    <cellStyle name="Moneda" xfId="4" builtinId="4"/>
    <cellStyle name="Moneda [0] 2 2" xfId="3" xr:uid="{DC24D384-DC37-4ED0-8D52-375C4C7962A5}"/>
    <cellStyle name="Moneda 2 11" xfId="2" xr:uid="{03521491-43A3-4AC5-ADD0-F68CB110127D}"/>
    <cellStyle name="Moneda 2 3 9" xfId="1" xr:uid="{98032220-CB7E-4411-AECB-F7CE05025360}"/>
    <cellStyle name="Normal" xfId="0" builtinId="0"/>
    <cellStyle name="Porcentaje" xfId="5" builtinId="5"/>
  </cellStyles>
  <dxfs count="0"/>
  <tableStyles count="0" defaultTableStyle="TableStyleMedium2" defaultPivotStyle="PivotStyleLight16"/>
  <colors>
    <mruColors>
      <color rgb="FFC280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558A-5E5F-2747-B6A2-59E57C73B016}">
  <dimension ref="A2:AC15"/>
  <sheetViews>
    <sheetView tabSelected="1" topLeftCell="O1" workbookViewId="0">
      <selection activeCell="AA6" sqref="AA6"/>
    </sheetView>
  </sheetViews>
  <sheetFormatPr baseColWidth="10" defaultRowHeight="15" x14ac:dyDescent="0.2"/>
  <cols>
    <col min="1" max="1" width="4.6640625" bestFit="1" customWidth="1"/>
    <col min="2" max="2" width="32" bestFit="1" customWidth="1"/>
    <col min="3" max="3" width="6.5" bestFit="1" customWidth="1"/>
    <col min="4" max="4" width="10" bestFit="1" customWidth="1"/>
    <col min="5" max="5" width="13.6640625" bestFit="1" customWidth="1"/>
    <col min="6" max="6" width="11.33203125" bestFit="1" customWidth="1"/>
    <col min="7" max="8" width="12.83203125" bestFit="1" customWidth="1"/>
    <col min="9" max="9" width="11.6640625" bestFit="1" customWidth="1"/>
    <col min="10" max="10" width="11.33203125" bestFit="1" customWidth="1"/>
    <col min="11" max="11" width="11.6640625" bestFit="1" customWidth="1"/>
    <col min="12" max="12" width="12" bestFit="1" customWidth="1"/>
    <col min="13" max="13" width="11.6640625" bestFit="1" customWidth="1"/>
    <col min="14" max="14" width="11.33203125" bestFit="1" customWidth="1"/>
    <col min="15" max="15" width="11.6640625" bestFit="1" customWidth="1"/>
    <col min="16" max="16" width="12" bestFit="1" customWidth="1"/>
    <col min="17" max="17" width="17.5" customWidth="1"/>
    <col min="18" max="18" width="11.83203125" customWidth="1"/>
    <col min="19" max="19" width="12.33203125" customWidth="1"/>
    <col min="20" max="21" width="12" customWidth="1"/>
    <col min="22" max="22" width="11.83203125" customWidth="1"/>
    <col min="23" max="23" width="16.1640625" customWidth="1"/>
    <col min="24" max="26" width="15.1640625" customWidth="1"/>
    <col min="27" max="27" width="13.6640625" bestFit="1" customWidth="1"/>
    <col min="28" max="28" width="11.5" bestFit="1" customWidth="1"/>
    <col min="29" max="29" width="16" bestFit="1" customWidth="1"/>
    <col min="30" max="33" width="11.5" bestFit="1" customWidth="1"/>
  </cols>
  <sheetData>
    <row r="2" spans="1:29" ht="18" x14ac:dyDescent="0.2">
      <c r="B2" s="9" t="s">
        <v>2</v>
      </c>
    </row>
    <row r="4" spans="1:29" ht="18" x14ac:dyDescent="0.2">
      <c r="A4" s="2"/>
      <c r="B4" s="2"/>
      <c r="C4" s="2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9" ht="46" customHeight="1" x14ac:dyDescent="0.2">
      <c r="A5" s="2"/>
      <c r="B5" s="2"/>
      <c r="C5" s="2"/>
      <c r="E5" s="21" t="s">
        <v>28</v>
      </c>
      <c r="F5" s="21"/>
      <c r="G5" s="21"/>
      <c r="H5" s="21"/>
      <c r="I5" s="22" t="s">
        <v>29</v>
      </c>
      <c r="J5" s="22"/>
      <c r="K5" s="22"/>
      <c r="L5" s="22"/>
      <c r="M5" s="23" t="s">
        <v>30</v>
      </c>
      <c r="N5" s="23"/>
      <c r="O5" s="23"/>
      <c r="P5" s="23"/>
      <c r="Q5" s="24" t="s">
        <v>3</v>
      </c>
      <c r="R5" s="25"/>
      <c r="S5" s="25"/>
      <c r="T5" s="25"/>
      <c r="U5" s="25"/>
      <c r="V5" s="25"/>
      <c r="W5" s="25"/>
      <c r="X5" s="29" t="s">
        <v>4</v>
      </c>
      <c r="Y5" s="30"/>
      <c r="Z5" s="30"/>
      <c r="AA5" s="30"/>
    </row>
    <row r="6" spans="1:29" ht="56" x14ac:dyDescent="0.2">
      <c r="A6" s="1" t="s">
        <v>0</v>
      </c>
      <c r="B6" s="1" t="s">
        <v>10</v>
      </c>
      <c r="C6" s="15" t="s">
        <v>22</v>
      </c>
      <c r="D6" s="15" t="s">
        <v>11</v>
      </c>
      <c r="E6" s="15" t="s">
        <v>24</v>
      </c>
      <c r="F6" s="15" t="s">
        <v>25</v>
      </c>
      <c r="G6" s="15" t="s">
        <v>26</v>
      </c>
      <c r="H6" s="15" t="s">
        <v>27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24</v>
      </c>
      <c r="N6" s="15" t="s">
        <v>25</v>
      </c>
      <c r="O6" s="15" t="s">
        <v>26</v>
      </c>
      <c r="P6" s="15" t="s">
        <v>27</v>
      </c>
      <c r="Q6" s="6" t="s">
        <v>5</v>
      </c>
      <c r="R6" s="7" t="s">
        <v>6</v>
      </c>
      <c r="S6" s="6" t="s">
        <v>7</v>
      </c>
      <c r="T6" s="7" t="s">
        <v>8</v>
      </c>
      <c r="U6" s="7" t="s">
        <v>31</v>
      </c>
      <c r="V6" s="7" t="s">
        <v>32</v>
      </c>
      <c r="W6" s="7" t="s">
        <v>33</v>
      </c>
      <c r="X6" s="31" t="s">
        <v>12</v>
      </c>
      <c r="Y6" s="31" t="s">
        <v>13</v>
      </c>
      <c r="Z6" s="31" t="s">
        <v>9</v>
      </c>
      <c r="AA6" s="32" t="s">
        <v>34</v>
      </c>
    </row>
    <row r="7" spans="1:29" ht="70" x14ac:dyDescent="0.2">
      <c r="A7" s="13">
        <v>1</v>
      </c>
      <c r="B7" s="13" t="s">
        <v>14</v>
      </c>
      <c r="C7" s="13" t="s">
        <v>23</v>
      </c>
      <c r="D7" s="13">
        <v>1</v>
      </c>
      <c r="E7" s="17">
        <v>554400</v>
      </c>
      <c r="F7" s="16">
        <v>0.19</v>
      </c>
      <c r="G7" s="18">
        <f>+E7*F7</f>
        <v>105336</v>
      </c>
      <c r="H7" s="18">
        <f>+G7+E7</f>
        <v>659736</v>
      </c>
      <c r="I7" s="17">
        <v>631080</v>
      </c>
      <c r="J7" s="16">
        <v>0.19</v>
      </c>
      <c r="K7" s="18">
        <f>+I7*J7</f>
        <v>119905.2</v>
      </c>
      <c r="L7" s="18">
        <f>+K7+I7</f>
        <v>750985.2</v>
      </c>
      <c r="M7" s="17">
        <v>711288</v>
      </c>
      <c r="N7" s="16">
        <v>0.19</v>
      </c>
      <c r="O7" s="18">
        <f>+M7*N7</f>
        <v>135144.72</v>
      </c>
      <c r="P7" s="18">
        <f>+O7+M7</f>
        <v>846432.72</v>
      </c>
      <c r="Q7" s="10">
        <f>AVERAGE(E7,I7,M7)</f>
        <v>632256</v>
      </c>
      <c r="R7" s="10">
        <f>STDEV(E7,I7,M7)</f>
        <v>78450.611011004876</v>
      </c>
      <c r="S7" s="10">
        <f t="shared" ref="S7" si="0">+Q7+R7</f>
        <v>710706.61101100489</v>
      </c>
      <c r="T7" s="10">
        <f t="shared" ref="T7" si="1">+Q7-R7</f>
        <v>553805.38898899511</v>
      </c>
      <c r="U7" s="10">
        <f>IF(AND(E7&lt;=$S7,E7&gt;=$T7),E7,"")</f>
        <v>554400</v>
      </c>
      <c r="V7" s="10">
        <f>IF(AND(I7&lt;=$S7,I7&gt;=$T7),I7,"")</f>
        <v>631080</v>
      </c>
      <c r="W7" s="10" t="str">
        <f>IF(AND(M7&lt;=$S7,M7&gt;=$T7),M7,"")</f>
        <v/>
      </c>
      <c r="X7" s="11">
        <f t="shared" ref="X7:X14" si="2">ROUND(IF(IFERROR((AVERAGEIF(U7:W7,"&lt;&gt;0")),0)&lt;Q7,IFERROR((AVERAGEIF(U7:W7,"&lt;&gt;0")),0),Q7),0)</f>
        <v>592740</v>
      </c>
      <c r="Y7" s="11">
        <f>+X7*19%</f>
        <v>112620.6</v>
      </c>
      <c r="Z7" s="11">
        <f>+X7+Y7</f>
        <v>705360.6</v>
      </c>
      <c r="AA7" s="10">
        <f>+Z7</f>
        <v>705360.6</v>
      </c>
      <c r="AC7" s="8"/>
    </row>
    <row r="8" spans="1:29" ht="112" x14ac:dyDescent="0.2">
      <c r="A8" s="13">
        <v>2</v>
      </c>
      <c r="B8" s="13" t="s">
        <v>15</v>
      </c>
      <c r="C8" s="13" t="s">
        <v>23</v>
      </c>
      <c r="D8" s="13">
        <v>1</v>
      </c>
      <c r="E8" s="17">
        <v>450985</v>
      </c>
      <c r="F8" s="16">
        <v>0.19</v>
      </c>
      <c r="G8" s="18">
        <f>+E8*F8</f>
        <v>85687.15</v>
      </c>
      <c r="H8" s="18">
        <f t="shared" ref="H8:H14" si="3">+G8+E8</f>
        <v>536672.15</v>
      </c>
      <c r="I8" s="17">
        <v>386880</v>
      </c>
      <c r="J8" s="16">
        <v>0.19</v>
      </c>
      <c r="K8" s="18">
        <f t="shared" ref="K8:K14" si="4">+I8*J8</f>
        <v>73507.199999999997</v>
      </c>
      <c r="L8" s="18">
        <f t="shared" ref="L8:L14" si="5">+K8+I8</f>
        <v>460387.2</v>
      </c>
      <c r="M8" s="17">
        <v>502719</v>
      </c>
      <c r="N8" s="16">
        <v>0.19</v>
      </c>
      <c r="O8" s="18">
        <f t="shared" ref="O8:O14" si="6">+M8*N8</f>
        <v>95516.61</v>
      </c>
      <c r="P8" s="18">
        <f t="shared" ref="P8:P14" si="7">+O8+M8</f>
        <v>598235.61</v>
      </c>
      <c r="Q8" s="10">
        <f t="shared" ref="Q8:Q14" si="8">AVERAGE(E8,I8,M8)</f>
        <v>446861.33333333331</v>
      </c>
      <c r="R8" s="10">
        <f t="shared" ref="R8:R14" si="9">STDEV(E8,I8,M8)</f>
        <v>58029.49207371466</v>
      </c>
      <c r="S8" s="10">
        <f t="shared" ref="S8:S14" si="10">+Q8+R8</f>
        <v>504890.82540704799</v>
      </c>
      <c r="T8" s="10">
        <f t="shared" ref="T8:T14" si="11">+Q8-R8</f>
        <v>388831.84125961864</v>
      </c>
      <c r="U8" s="10">
        <f t="shared" ref="U8:U14" si="12">IF(AND(E8&lt;=$S8,E8&gt;=$T8),E8,"")</f>
        <v>450985</v>
      </c>
      <c r="V8" s="10" t="str">
        <f t="shared" ref="V8:V14" si="13">IF(AND(I8&lt;=$S8,I8&gt;=$T8),I8,"")</f>
        <v/>
      </c>
      <c r="W8" s="10">
        <f t="shared" ref="W8:W14" si="14">IF(AND(M8&lt;=$S8,M8&gt;=$T8),M8,"")</f>
        <v>502719</v>
      </c>
      <c r="X8" s="11">
        <f t="shared" si="2"/>
        <v>446861</v>
      </c>
      <c r="Y8" s="11">
        <f t="shared" ref="Y8:Y14" si="15">+X8*19%</f>
        <v>84903.59</v>
      </c>
      <c r="Z8" s="11">
        <f t="shared" ref="Z8:Z14" si="16">+X8+Y8</f>
        <v>531764.59</v>
      </c>
      <c r="AA8" s="10">
        <f t="shared" ref="AA8:AA14" si="17">+Z8</f>
        <v>531764.59</v>
      </c>
      <c r="AC8" s="8"/>
    </row>
    <row r="9" spans="1:29" ht="70" x14ac:dyDescent="0.2">
      <c r="A9" s="14">
        <v>3</v>
      </c>
      <c r="B9" s="14" t="s">
        <v>16</v>
      </c>
      <c r="C9" s="14" t="s">
        <v>23</v>
      </c>
      <c r="D9" s="13">
        <v>1</v>
      </c>
      <c r="E9" s="17">
        <v>352050</v>
      </c>
      <c r="F9" s="16">
        <v>0.19</v>
      </c>
      <c r="G9" s="18">
        <f t="shared" ref="G9:G14" si="18">+E9*F9</f>
        <v>66889.5</v>
      </c>
      <c r="H9" s="18">
        <f t="shared" si="3"/>
        <v>418939.5</v>
      </c>
      <c r="I9" s="17">
        <v>436800</v>
      </c>
      <c r="J9" s="16">
        <v>0.19</v>
      </c>
      <c r="K9" s="18">
        <f t="shared" si="4"/>
        <v>82992</v>
      </c>
      <c r="L9" s="18">
        <f t="shared" si="5"/>
        <v>519792</v>
      </c>
      <c r="M9" s="17">
        <v>473310</v>
      </c>
      <c r="N9" s="16">
        <v>0.19</v>
      </c>
      <c r="O9" s="18">
        <f t="shared" si="6"/>
        <v>89928.9</v>
      </c>
      <c r="P9" s="18">
        <f t="shared" si="7"/>
        <v>563238.9</v>
      </c>
      <c r="Q9" s="10">
        <f t="shared" si="8"/>
        <v>420720</v>
      </c>
      <c r="R9" s="10">
        <f t="shared" si="9"/>
        <v>62208.694729916977</v>
      </c>
      <c r="S9" s="10">
        <f t="shared" si="10"/>
        <v>482928.69472991698</v>
      </c>
      <c r="T9" s="10">
        <f t="shared" si="11"/>
        <v>358511.30527008302</v>
      </c>
      <c r="U9" s="10" t="str">
        <f t="shared" si="12"/>
        <v/>
      </c>
      <c r="V9" s="10">
        <f t="shared" si="13"/>
        <v>436800</v>
      </c>
      <c r="W9" s="10">
        <f t="shared" si="14"/>
        <v>473310</v>
      </c>
      <c r="X9" s="11">
        <f t="shared" si="2"/>
        <v>420720</v>
      </c>
      <c r="Y9" s="11">
        <f t="shared" si="15"/>
        <v>79936.800000000003</v>
      </c>
      <c r="Z9" s="11">
        <f t="shared" si="16"/>
        <v>500656.8</v>
      </c>
      <c r="AA9" s="10">
        <f t="shared" si="17"/>
        <v>500656.8</v>
      </c>
      <c r="AC9" s="8"/>
    </row>
    <row r="10" spans="1:29" ht="70" x14ac:dyDescent="0.2">
      <c r="A10" s="13">
        <v>4</v>
      </c>
      <c r="B10" s="13" t="s">
        <v>17</v>
      </c>
      <c r="C10" s="13" t="s">
        <v>23</v>
      </c>
      <c r="D10" s="13">
        <v>1</v>
      </c>
      <c r="E10" s="17">
        <v>101200</v>
      </c>
      <c r="F10" s="16">
        <v>0.19</v>
      </c>
      <c r="G10" s="18">
        <f t="shared" si="18"/>
        <v>19228</v>
      </c>
      <c r="H10" s="18">
        <f t="shared" si="3"/>
        <v>120428</v>
      </c>
      <c r="I10" s="17">
        <v>325000</v>
      </c>
      <c r="J10" s="16">
        <v>0.19</v>
      </c>
      <c r="K10" s="18">
        <f t="shared" si="4"/>
        <v>61750</v>
      </c>
      <c r="L10" s="18">
        <f t="shared" si="5"/>
        <v>386750</v>
      </c>
      <c r="M10" s="17">
        <v>350000</v>
      </c>
      <c r="N10" s="16">
        <v>0.19</v>
      </c>
      <c r="O10" s="18">
        <f t="shared" si="6"/>
        <v>66500</v>
      </c>
      <c r="P10" s="18">
        <f t="shared" si="7"/>
        <v>416500</v>
      </c>
      <c r="Q10" s="10">
        <f t="shared" si="8"/>
        <v>258733.33333333334</v>
      </c>
      <c r="R10" s="10">
        <f t="shared" si="9"/>
        <v>136999.3187330993</v>
      </c>
      <c r="S10" s="10">
        <f t="shared" si="10"/>
        <v>395732.65206643264</v>
      </c>
      <c r="T10" s="10">
        <f t="shared" si="11"/>
        <v>121734.01460023405</v>
      </c>
      <c r="U10" s="10" t="str">
        <f t="shared" si="12"/>
        <v/>
      </c>
      <c r="V10" s="10">
        <f t="shared" si="13"/>
        <v>325000</v>
      </c>
      <c r="W10" s="10">
        <f t="shared" si="14"/>
        <v>350000</v>
      </c>
      <c r="X10" s="11">
        <f t="shared" si="2"/>
        <v>258733</v>
      </c>
      <c r="Y10" s="11">
        <f t="shared" si="15"/>
        <v>49159.270000000004</v>
      </c>
      <c r="Z10" s="11">
        <f t="shared" si="16"/>
        <v>307892.27</v>
      </c>
      <c r="AA10" s="10">
        <f t="shared" si="17"/>
        <v>307892.27</v>
      </c>
      <c r="AC10" s="8"/>
    </row>
    <row r="11" spans="1:29" ht="56" x14ac:dyDescent="0.2">
      <c r="A11" s="13">
        <v>5</v>
      </c>
      <c r="B11" s="13" t="s">
        <v>18</v>
      </c>
      <c r="C11" s="13" t="s">
        <v>23</v>
      </c>
      <c r="D11" s="13">
        <v>1</v>
      </c>
      <c r="E11" s="17">
        <v>16002</v>
      </c>
      <c r="F11" s="16">
        <v>0.19</v>
      </c>
      <c r="G11" s="18">
        <f t="shared" ref="G11" si="19">+E11*F11</f>
        <v>3040.38</v>
      </c>
      <c r="H11" s="18">
        <f t="shared" ref="H11" si="20">+G11+E11</f>
        <v>19042.38</v>
      </c>
      <c r="I11" s="17">
        <v>620640</v>
      </c>
      <c r="J11" s="16">
        <v>0.19</v>
      </c>
      <c r="K11" s="18">
        <f t="shared" si="4"/>
        <v>117921.60000000001</v>
      </c>
      <c r="L11" s="18">
        <f t="shared" si="5"/>
        <v>738561.6</v>
      </c>
      <c r="M11" s="17">
        <v>713736</v>
      </c>
      <c r="N11" s="16">
        <v>0.19</v>
      </c>
      <c r="O11" s="18">
        <f t="shared" si="6"/>
        <v>135609.84</v>
      </c>
      <c r="P11" s="18">
        <f t="shared" si="7"/>
        <v>849345.84</v>
      </c>
      <c r="Q11" s="10">
        <f t="shared" si="8"/>
        <v>450126</v>
      </c>
      <c r="R11" s="10">
        <f t="shared" si="9"/>
        <v>378833.01312847593</v>
      </c>
      <c r="S11" s="10">
        <f t="shared" si="10"/>
        <v>828959.01312847598</v>
      </c>
      <c r="T11" s="10">
        <f t="shared" si="11"/>
        <v>71292.986871524074</v>
      </c>
      <c r="U11" s="10" t="str">
        <f t="shared" si="12"/>
        <v/>
      </c>
      <c r="V11" s="10">
        <f t="shared" si="13"/>
        <v>620640</v>
      </c>
      <c r="W11" s="10">
        <f t="shared" si="14"/>
        <v>713736</v>
      </c>
      <c r="X11" s="11">
        <f t="shared" si="2"/>
        <v>450126</v>
      </c>
      <c r="Y11" s="11">
        <f t="shared" si="15"/>
        <v>85523.94</v>
      </c>
      <c r="Z11" s="11">
        <f t="shared" si="16"/>
        <v>535649.93999999994</v>
      </c>
      <c r="AA11" s="10">
        <f t="shared" si="17"/>
        <v>535649.93999999994</v>
      </c>
      <c r="AC11" s="8"/>
    </row>
    <row r="12" spans="1:29" ht="126" x14ac:dyDescent="0.2">
      <c r="A12" s="13">
        <v>6</v>
      </c>
      <c r="B12" s="13" t="s">
        <v>19</v>
      </c>
      <c r="C12" s="13" t="s">
        <v>23</v>
      </c>
      <c r="D12" s="13">
        <v>1</v>
      </c>
      <c r="E12" s="17">
        <v>326307</v>
      </c>
      <c r="F12" s="16">
        <v>0.19</v>
      </c>
      <c r="G12" s="18">
        <f t="shared" si="18"/>
        <v>61998.33</v>
      </c>
      <c r="H12" s="18">
        <f t="shared" si="3"/>
        <v>388305.33</v>
      </c>
      <c r="I12" s="17">
        <v>229320</v>
      </c>
      <c r="J12" s="16">
        <v>0.19</v>
      </c>
      <c r="K12" s="18">
        <f t="shared" si="4"/>
        <v>43570.8</v>
      </c>
      <c r="L12" s="18">
        <f t="shared" si="5"/>
        <v>272890.8</v>
      </c>
      <c r="M12" s="17">
        <v>362100</v>
      </c>
      <c r="N12" s="16">
        <v>0.19</v>
      </c>
      <c r="O12" s="18">
        <f t="shared" si="6"/>
        <v>68799</v>
      </c>
      <c r="P12" s="18">
        <f t="shared" si="7"/>
        <v>430899</v>
      </c>
      <c r="Q12" s="10">
        <f t="shared" si="8"/>
        <v>305909</v>
      </c>
      <c r="R12" s="10">
        <f t="shared" si="9"/>
        <v>68700.006572052094</v>
      </c>
      <c r="S12" s="10">
        <f t="shared" si="10"/>
        <v>374609.00657205208</v>
      </c>
      <c r="T12" s="10">
        <f t="shared" si="11"/>
        <v>237208.99342794792</v>
      </c>
      <c r="U12" s="10">
        <f t="shared" si="12"/>
        <v>326307</v>
      </c>
      <c r="V12" s="10" t="str">
        <f t="shared" si="13"/>
        <v/>
      </c>
      <c r="W12" s="10">
        <f t="shared" si="14"/>
        <v>362100</v>
      </c>
      <c r="X12" s="11">
        <f t="shared" si="2"/>
        <v>305909</v>
      </c>
      <c r="Y12" s="11">
        <f t="shared" si="15"/>
        <v>58122.71</v>
      </c>
      <c r="Z12" s="11">
        <f t="shared" si="16"/>
        <v>364031.71</v>
      </c>
      <c r="AA12" s="10">
        <f t="shared" si="17"/>
        <v>364031.71</v>
      </c>
      <c r="AC12" s="8"/>
    </row>
    <row r="13" spans="1:29" ht="56" x14ac:dyDescent="0.2">
      <c r="A13" s="14">
        <v>7</v>
      </c>
      <c r="B13" s="13" t="s">
        <v>20</v>
      </c>
      <c r="C13" s="13" t="s">
        <v>23</v>
      </c>
      <c r="D13" s="13">
        <v>1</v>
      </c>
      <c r="E13" s="17">
        <v>165310</v>
      </c>
      <c r="F13" s="16">
        <v>0.19</v>
      </c>
      <c r="G13" s="18">
        <f t="shared" si="18"/>
        <v>31408.9</v>
      </c>
      <c r="H13" s="18">
        <f t="shared" si="3"/>
        <v>196718.9</v>
      </c>
      <c r="I13" s="17">
        <v>164999</v>
      </c>
      <c r="J13" s="16">
        <v>0.19</v>
      </c>
      <c r="K13" s="18">
        <f t="shared" si="4"/>
        <v>31349.81</v>
      </c>
      <c r="L13" s="18">
        <f t="shared" si="5"/>
        <v>196348.81</v>
      </c>
      <c r="M13" s="17">
        <v>198200</v>
      </c>
      <c r="N13" s="16">
        <v>0.19</v>
      </c>
      <c r="O13" s="18">
        <f t="shared" si="6"/>
        <v>37658</v>
      </c>
      <c r="P13" s="18">
        <f t="shared" si="7"/>
        <v>235858</v>
      </c>
      <c r="Q13" s="10">
        <f t="shared" si="8"/>
        <v>176169.66666666666</v>
      </c>
      <c r="R13" s="10">
        <f t="shared" si="9"/>
        <v>19079.46200324667</v>
      </c>
      <c r="S13" s="10">
        <f t="shared" si="10"/>
        <v>195249.12866991333</v>
      </c>
      <c r="T13" s="10">
        <f t="shared" si="11"/>
        <v>157090.20466341998</v>
      </c>
      <c r="U13" s="10">
        <f t="shared" si="12"/>
        <v>165310</v>
      </c>
      <c r="V13" s="10">
        <f t="shared" si="13"/>
        <v>164999</v>
      </c>
      <c r="W13" s="10" t="str">
        <f t="shared" si="14"/>
        <v/>
      </c>
      <c r="X13" s="11">
        <f t="shared" si="2"/>
        <v>165155</v>
      </c>
      <c r="Y13" s="11">
        <f t="shared" si="15"/>
        <v>31379.45</v>
      </c>
      <c r="Z13" s="11">
        <f t="shared" si="16"/>
        <v>196534.45</v>
      </c>
      <c r="AA13" s="10">
        <f t="shared" si="17"/>
        <v>196534.45</v>
      </c>
      <c r="AC13" s="8"/>
    </row>
    <row r="14" spans="1:29" ht="56" x14ac:dyDescent="0.2">
      <c r="A14" s="13">
        <v>8</v>
      </c>
      <c r="B14" s="13" t="s">
        <v>21</v>
      </c>
      <c r="C14" s="13" t="s">
        <v>23</v>
      </c>
      <c r="D14" s="13">
        <v>1</v>
      </c>
      <c r="E14" s="17">
        <v>101200</v>
      </c>
      <c r="F14" s="16">
        <v>0.19</v>
      </c>
      <c r="G14" s="18">
        <f t="shared" si="18"/>
        <v>19228</v>
      </c>
      <c r="H14" s="18">
        <f t="shared" si="3"/>
        <v>120428</v>
      </c>
      <c r="I14" s="17">
        <v>325000</v>
      </c>
      <c r="J14" s="16">
        <v>0.19</v>
      </c>
      <c r="K14" s="18">
        <f t="shared" si="4"/>
        <v>61750</v>
      </c>
      <c r="L14" s="18">
        <f t="shared" si="5"/>
        <v>386750</v>
      </c>
      <c r="M14" s="17">
        <v>373750</v>
      </c>
      <c r="N14" s="16">
        <v>0.19</v>
      </c>
      <c r="O14" s="18">
        <f t="shared" si="6"/>
        <v>71012.5</v>
      </c>
      <c r="P14" s="18">
        <f t="shared" si="7"/>
        <v>444762.5</v>
      </c>
      <c r="Q14" s="10">
        <f t="shared" si="8"/>
        <v>266650</v>
      </c>
      <c r="R14" s="10">
        <f t="shared" si="9"/>
        <v>145342.41466275425</v>
      </c>
      <c r="S14" s="10">
        <f t="shared" si="10"/>
        <v>411992.41466275428</v>
      </c>
      <c r="T14" s="10">
        <f t="shared" si="11"/>
        <v>121307.58533724575</v>
      </c>
      <c r="U14" s="10" t="str">
        <f t="shared" si="12"/>
        <v/>
      </c>
      <c r="V14" s="10">
        <f t="shared" si="13"/>
        <v>325000</v>
      </c>
      <c r="W14" s="10">
        <f t="shared" si="14"/>
        <v>373750</v>
      </c>
      <c r="X14" s="11">
        <f t="shared" si="2"/>
        <v>266650</v>
      </c>
      <c r="Y14" s="11">
        <f t="shared" si="15"/>
        <v>50663.5</v>
      </c>
      <c r="Z14" s="11">
        <f t="shared" si="16"/>
        <v>317313.5</v>
      </c>
      <c r="AA14" s="10">
        <f t="shared" si="17"/>
        <v>317313.5</v>
      </c>
      <c r="AC14" s="8"/>
    </row>
    <row r="15" spans="1:29" s="3" customFormat="1" ht="16" thickBot="1" x14ac:dyDescent="0.25">
      <c r="A15" s="19" t="s">
        <v>1</v>
      </c>
      <c r="B15" s="20"/>
      <c r="C15" s="20"/>
      <c r="D15" s="20"/>
      <c r="E15" s="26"/>
      <c r="F15" s="26"/>
      <c r="G15" s="26"/>
      <c r="H15" s="26">
        <f t="shared" ref="E15:M15" si="21">SUM(H7:H14)</f>
        <v>2460270.2599999998</v>
      </c>
      <c r="I15" s="27"/>
      <c r="J15" s="27"/>
      <c r="K15" s="27"/>
      <c r="L15" s="27">
        <f t="shared" si="21"/>
        <v>3712465.61</v>
      </c>
      <c r="M15" s="28"/>
      <c r="N15" s="28"/>
      <c r="O15" s="28"/>
      <c r="P15" s="28">
        <f t="shared" ref="O15:AA15" si="22">SUM(P7:P14)</f>
        <v>4385272.57</v>
      </c>
      <c r="Q15" s="4"/>
      <c r="R15" s="4"/>
      <c r="S15" s="4"/>
      <c r="T15" s="4"/>
      <c r="U15" s="4"/>
      <c r="V15" s="4"/>
      <c r="W15" s="4"/>
      <c r="X15" s="5"/>
      <c r="Y15" s="5"/>
      <c r="Z15" s="5"/>
      <c r="AA15" s="33">
        <f t="shared" si="22"/>
        <v>3459203.8600000003</v>
      </c>
      <c r="AC15" s="12"/>
    </row>
  </sheetData>
  <mergeCells count="6">
    <mergeCell ref="X5:AA5"/>
    <mergeCell ref="A15:D15"/>
    <mergeCell ref="E5:H5"/>
    <mergeCell ref="I5:L5"/>
    <mergeCell ref="M5:P5"/>
    <mergeCell ref="Q5:W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Guzman Arenas</dc:creator>
  <cp:lastModifiedBy>Tatiana Marcela Rojas Diaz</cp:lastModifiedBy>
  <dcterms:created xsi:type="dcterms:W3CDTF">2025-08-23T04:00:21Z</dcterms:created>
  <dcterms:modified xsi:type="dcterms:W3CDTF">2026-10-20T22:58:56Z</dcterms:modified>
</cp:coreProperties>
</file>