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ORDENADOR\Desktop\ALS CONTRATO\5. CONTRATO DEMOLICIONES\4. PUBLICAR\"/>
    </mc:Choice>
  </mc:AlternateContent>
  <xr:revisionPtr revIDLastSave="0" documentId="8_{779C6C84-FAD0-47F5-B0C3-1855720E097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IU" sheetId="1" r:id="rId1"/>
    <sheet name="PRESTACIONES SOCIAL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" l="1"/>
  <c r="E49" i="1"/>
  <c r="E48" i="1"/>
  <c r="E46" i="1"/>
  <c r="I46" i="1" s="1"/>
  <c r="I34" i="1"/>
  <c r="J25" i="1"/>
  <c r="J22" i="1"/>
  <c r="I18" i="1"/>
  <c r="I19" i="1"/>
  <c r="I17" i="1"/>
  <c r="H65" i="1"/>
  <c r="I65" i="1" s="1"/>
  <c r="H64" i="1"/>
  <c r="I64" i="1" s="1"/>
  <c r="H19" i="1"/>
  <c r="H18" i="1"/>
  <c r="J18" i="1" s="1"/>
  <c r="H17" i="1"/>
  <c r="D20" i="2"/>
  <c r="D30" i="2"/>
  <c r="D14" i="2"/>
  <c r="D11" i="2"/>
  <c r="D8" i="2"/>
  <c r="D9" i="2" s="1"/>
  <c r="D5" i="2"/>
  <c r="J17" i="1" l="1"/>
  <c r="J19" i="1"/>
  <c r="D18" i="2"/>
  <c r="I50" i="1" l="1"/>
  <c r="I47" i="1"/>
  <c r="I48" i="1"/>
  <c r="I49" i="1"/>
  <c r="I35" i="1" l="1"/>
  <c r="I36" i="1"/>
  <c r="I37" i="1"/>
  <c r="I38" i="1"/>
  <c r="I39" i="1"/>
  <c r="I40" i="1"/>
  <c r="I41" i="1"/>
  <c r="J26" i="1"/>
  <c r="J23" i="1"/>
  <c r="I42" i="1" l="1"/>
  <c r="I51" i="1"/>
  <c r="J20" i="1"/>
  <c r="H28" i="1" l="1"/>
  <c r="H29" i="1" s="1"/>
  <c r="I56" i="1" s="1"/>
  <c r="I59" i="1" s="1"/>
  <c r="I53" i="1"/>
  <c r="I54" i="1" s="1"/>
  <c r="I62" i="1" l="1"/>
  <c r="H63" i="1" l="1"/>
  <c r="I63" i="1" s="1"/>
  <c r="I66" i="1" s="1"/>
</calcChain>
</file>

<file path=xl/sharedStrings.xml><?xml version="1.0" encoding="utf-8"?>
<sst xmlns="http://schemas.openxmlformats.org/spreadsheetml/2006/main" count="299" uniqueCount="175">
  <si>
    <t>FORMATO</t>
  </si>
  <si>
    <t>CÓDIGO</t>
  </si>
  <si>
    <t>PROCESO</t>
  </si>
  <si>
    <t>VERSIÓN</t>
  </si>
  <si>
    <t/>
  </si>
  <si>
    <t>CÁLCULO DE AIU</t>
  </si>
  <si>
    <t>FO-DP-01</t>
  </si>
  <si>
    <t>Proyectos</t>
  </si>
  <si>
    <t>2.0</t>
  </si>
  <si>
    <t>FONDO DE DESARROLLO LOCAL DE SUBA</t>
  </si>
  <si>
    <t>DIRECCIÓN TÉCNICA DE PROYECTOS</t>
  </si>
  <si>
    <t>OBJETO A CONTRATAR</t>
  </si>
  <si>
    <t>CONTRATAR LAS OBRAS DE DEMOLICIÓN ORDENADAS EN LOS PROCESOS ADMINISTRATIVOS Y/O POLICIVOS EMITIDOS POR AUTORIDAD LOCAL O POR ORDEN JUDICIAL, ASÍ COMO LOS IMPARTIDOS EN LOS OPERATIVOS POR EL ALCALDE LOCAL SUBA</t>
  </si>
  <si>
    <t>COSTO ESTIMADO DE INTERVENTORIA</t>
  </si>
  <si>
    <t>FECHA:</t>
  </si>
  <si>
    <t>TERMINO ESTIMADO DE EJECUCIÓN DE OBRA</t>
  </si>
  <si>
    <t>MESES</t>
  </si>
  <si>
    <t>CONTRATO No.</t>
  </si>
  <si>
    <t>COSTO ESTIMADO PARA LA ETAPA DE PRELIMINARES</t>
  </si>
  <si>
    <t>$0,00</t>
  </si>
  <si>
    <t>A. ADMINISTRACIÓN</t>
  </si>
  <si>
    <t>1. COSTOS MENSUALES DE PERSONAL</t>
  </si>
  <si>
    <t>ÍTEM</t>
  </si>
  <si>
    <t>CARGO</t>
  </si>
  <si>
    <t>CANTIDAD</t>
  </si>
  <si>
    <t>CATEGORÍA</t>
  </si>
  <si>
    <t>DEDICACIÓN
MES</t>
  </si>
  <si>
    <t>TOPE SALARIO 
(MES)</t>
  </si>
  <si>
    <t>FACTOR 
PRESTACIONAL</t>
  </si>
  <si>
    <t>No. MESES</t>
  </si>
  <si>
    <t>SALARIO +
PRESTACIONES</t>
  </si>
  <si>
    <t>A</t>
  </si>
  <si>
    <t>B</t>
  </si>
  <si>
    <t>C</t>
  </si>
  <si>
    <t>D</t>
  </si>
  <si>
    <t>E</t>
  </si>
  <si>
    <t>F=A*B*C*D*E</t>
  </si>
  <si>
    <t>1,1</t>
  </si>
  <si>
    <t>PERSONAL PROFESIONAL (Ingenieros y Otros)</t>
  </si>
  <si>
    <t>1,101</t>
  </si>
  <si>
    <t>DIRECTOR DE OBRA</t>
  </si>
  <si>
    <t>1,102</t>
  </si>
  <si>
    <t>INGENIERO RESIDENTE</t>
  </si>
  <si>
    <t>INGENIERO RESIDENTE SST</t>
  </si>
  <si>
    <t>SUBTOTAL COSTOS MENSUALES DE PERSONAL</t>
  </si>
  <si>
    <t>2. GASTOS OPERACIONALES MENSUALES</t>
  </si>
  <si>
    <t>CANT.</t>
  </si>
  <si>
    <t>AREA (M2)</t>
  </si>
  <si>
    <t>DEDICACIÓN</t>
  </si>
  <si>
    <t>DEDICACIÓN X
ÁREA (M2)</t>
  </si>
  <si>
    <t>COSTO ($/M2.MES)</t>
  </si>
  <si>
    <t>VALOR ($)</t>
  </si>
  <si>
    <t>2,3</t>
  </si>
  <si>
    <t>TARIFA GLOBAL - GASTOS OFICINA (PAPELERIA, 
FOTOCOPIAS Y OTROS)</t>
  </si>
  <si>
    <t>N/A</t>
  </si>
  <si>
    <t>100%</t>
  </si>
  <si>
    <t>$76.325</t>
  </si>
  <si>
    <t>4,0</t>
  </si>
  <si>
    <t>SUBTOTAL GASTOS OPERACIONALES MENSUALES</t>
  </si>
  <si>
    <t>2. GASTOS FUNGIBLES MENSUALES</t>
  </si>
  <si>
    <t>3,1</t>
  </si>
  <si>
    <t>TARIFA GLOBAL - OTROS GASTOS ADMINISTRATIVOS (EPP, SEÑALÉTICA, DOTACIÓN EXTRA, TRANSPORTE CAFETERIA)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</si>
  <si>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</si>
  <si>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</si>
  <si>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</si>
  <si>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IMPUESTOS</t>
  </si>
  <si>
    <t>DESCRIPCIÓN</t>
  </si>
  <si>
    <t>IMPUESTO</t>
  </si>
  <si>
    <t>3,101</t>
  </si>
  <si>
    <t>Contribución Especial (Impuesto de Guerra Ley 1738 DIC18-2014 prorroga 4 años)</t>
  </si>
  <si>
    <t>5,00%</t>
  </si>
  <si>
    <t>3,102</t>
  </si>
  <si>
    <t>ICA (Ley 14 6jul1983, Res 219 25feb2004)</t>
  </si>
  <si>
    <t>0,69%</t>
  </si>
  <si>
    <t>3,103</t>
  </si>
  <si>
    <t>GMF (Ley 1739 23dic2014 modifica el Estatuto Tributario)</t>
  </si>
  <si>
    <t>0,40%</t>
  </si>
  <si>
    <t>3,104</t>
  </si>
  <si>
    <t>Estampilla Universidad Distrital (Acuerdo 53 de 10ene2002)</t>
  </si>
  <si>
    <t>1,00%</t>
  </si>
  <si>
    <t>3,105</t>
  </si>
  <si>
    <t>Estampilla procultura (Acuerdo 187 20 dic 2005)</t>
  </si>
  <si>
    <t>0,50%</t>
  </si>
  <si>
    <t>3,106</t>
  </si>
  <si>
    <t>Estampilla pro personas Mayores (Acuerdo 645 de 9 de junio de 2016)</t>
  </si>
  <si>
    <t>2,00%</t>
  </si>
  <si>
    <t>3,107</t>
  </si>
  <si>
    <t>Estampilla Unipedagógica (Dec 584 de 19 dic 2014)</t>
  </si>
  <si>
    <t>3,108</t>
  </si>
  <si>
    <t>IVA SOBRE LA UTILIDAD</t>
  </si>
  <si>
    <t>0,19%</t>
  </si>
  <si>
    <t>SUB-TOTAL IMPUESTOS Y GARANTÍAS</t>
  </si>
  <si>
    <t>3,2</t>
  </si>
  <si>
    <t>GARANTIAS</t>
  </si>
  <si>
    <t>VR. BASE</t>
  </si>
  <si>
    <t>% 
ASEGURADO</t>
  </si>
  <si>
    <t>VIGENCIA AMPARO 
(MESES)</t>
  </si>
  <si>
    <t>TASA ASEGURADORA</t>
  </si>
  <si>
    <t>3,201</t>
  </si>
  <si>
    <t>Cumplimiento</t>
  </si>
  <si>
    <t>GARANTIA UNICA</t>
  </si>
  <si>
    <t>30%</t>
  </si>
  <si>
    <t>10,00</t>
  </si>
  <si>
    <t>0,20%</t>
  </si>
  <si>
    <t>3,202</t>
  </si>
  <si>
    <t>Buen Manejo de Anticipo</t>
  </si>
  <si>
    <t>0%</t>
  </si>
  <si>
    <t>0,00</t>
  </si>
  <si>
    <t>0,00%</t>
  </si>
  <si>
    <t>3,203</t>
  </si>
  <si>
    <t>Salarios y Prestaciones Sociales</t>
  </si>
  <si>
    <t>5%</t>
  </si>
  <si>
    <t>41,00</t>
  </si>
  <si>
    <t>3,204</t>
  </si>
  <si>
    <t>Calidad del Servicio</t>
  </si>
  <si>
    <t>3,205</t>
  </si>
  <si>
    <t>Predios, labores y Operaciones- Vigencia
(Decreto 1082 de 2015 Sección III)</t>
  </si>
  <si>
    <t>RESPONSABILIDAD CIVIL
EXTRACONTRACTUAL</t>
  </si>
  <si>
    <t>200%</t>
  </si>
  <si>
    <t>SUBTOTAL GARANTÍAS</t>
  </si>
  <si>
    <t>TOTAL IMPUESTOS Y GARANTÍAS</t>
  </si>
  <si>
    <t>TOTAL IMPUESTOS Y GARANTÍAS EN PORCENTAJE DEL COSTO DIRECTO</t>
  </si>
  <si>
    <t>10,29%</t>
  </si>
  <si>
    <t>ADMINISTRACIÓN (A)</t>
  </si>
  <si>
    <t>IMPREVISTOS (I)</t>
  </si>
  <si>
    <t>UTILIDAD (U)</t>
  </si>
  <si>
    <t>TOTAL COSTOS INDIRECTOS</t>
  </si>
  <si>
    <t>COSTOS TOTALES</t>
  </si>
  <si>
    <t>COSTOS DIRECTOS</t>
  </si>
  <si>
    <t>COSTOS INDIRECTOS</t>
  </si>
  <si>
    <t>COSTO TOTAL PROYECTO</t>
  </si>
  <si>
    <t>NOTA:</t>
  </si>
  <si>
    <t>LA EDICIÓN DE LAS FÓRMULAS COMPROMETE LA RESPONSABILIDAD DEL USUARIO DE LA MATRIZ.</t>
  </si>
  <si>
    <t>* INCLUYE EN F.P HORAS EXTRAS.</t>
  </si>
  <si>
    <t>SALARIO MENSUAL  BASICO</t>
  </si>
  <si>
    <t>Salario básico</t>
  </si>
  <si>
    <t>SUBTOTAL  1  -  SALARIO MENSUAL  BASICO</t>
  </si>
  <si>
    <t>PRESTACIONES SOCIALES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</si>
  <si>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</si>
  <si>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</si>
  <si>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</si>
  <si>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</si>
  <si>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</si>
  <si>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</si>
  <si>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</si>
  <si>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Vacaciones</t>
  </si>
  <si>
    <t>2.5</t>
  </si>
  <si>
    <r>
      <t>Salud</t>
    </r>
    <r>
      <rPr>
        <vertAlign val="superscript"/>
        <sz val="11"/>
        <rFont val="Arial"/>
        <family val="2"/>
      </rPr>
      <t>1</t>
    </r>
  </si>
  <si>
    <t>2.6</t>
  </si>
  <si>
    <t>Pensión</t>
  </si>
  <si>
    <t>2.7</t>
  </si>
  <si>
    <t>Subsidio Familiar</t>
  </si>
  <si>
    <t>2.8</t>
  </si>
  <si>
    <t>ARL</t>
  </si>
  <si>
    <t>2.9</t>
  </si>
  <si>
    <t>Dotación</t>
  </si>
  <si>
    <t>2.10</t>
  </si>
  <si>
    <t>Otros</t>
  </si>
  <si>
    <t xml:space="preserve">SUBTOTAL  2  -  PRESTACIONES SOCIALES    </t>
  </si>
  <si>
    <t>FACTOR PRESTACIONAL</t>
  </si>
  <si>
    <t>3.1</t>
  </si>
  <si>
    <t>Mantenimiento y operación de oficinas</t>
  </si>
  <si>
    <t>3.2</t>
  </si>
  <si>
    <t>Personal administrativo</t>
  </si>
  <si>
    <t>3.3</t>
  </si>
  <si>
    <t>Personal administrativo no facturable</t>
  </si>
  <si>
    <t>3.4</t>
  </si>
  <si>
    <t>Aseria Legal y tributaria</t>
  </si>
  <si>
    <t>3.5</t>
  </si>
  <si>
    <t>Equipos de uso del proyecto y software</t>
  </si>
  <si>
    <t>3.6</t>
  </si>
  <si>
    <t>Seguridad industrial y ocupacional</t>
  </si>
  <si>
    <t>3.7</t>
  </si>
  <si>
    <t>Costos de preparación de propuestas</t>
  </si>
  <si>
    <t xml:space="preserve">SUBTOTAL  3  -  COSTOS INDIRECTOS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</si>
</sst>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0.000%"/>
    <numFmt numFmtId="167" formatCode="_ * #,##0.00_ ;_ * \-#,##0.00_ ;_ * &quot;-&quot;??_ ;_ @_ "/>
    <numFmt numFmtId="168" formatCode="0.0000%"/>
  </numFmts>
  <fonts count="20" x14ac:knownFonts="1">
    <font>
      <sz val="11"/>
      <name val="Calibri"/>
      <family val="2"/>
    </font>
    <font>
      <b/>
      <sz val="9"/>
      <name val="Arial"/>
      <family val="2"/>
    </font>
    <font>
      <sz val="11"/>
      <name val="Arial"/>
      <family val="2"/>
    </font>
    <font>
      <sz val="9"/>
      <name val="Arial"/>
      <family val="2"/>
    </font>
    <font>
      <sz val="9"/>
      <name val="Times New Roman"/>
      <family val="2"/>
    </font>
    <font>
      <b/>
      <sz val="7"/>
      <name val="Arial"/>
      <family val="2"/>
    </font>
    <font>
      <b/>
      <sz val="8"/>
      <name val="Arial"/>
      <family val="2"/>
    </font>
    <font>
      <sz val="9"/>
      <name val="Calibri"/>
      <family val="2"/>
    </font>
    <font>
      <sz val="10"/>
      <name val="Calibri"/>
      <family val="2"/>
    </font>
    <font>
      <sz val="7"/>
      <name val="Arial"/>
      <family val="2"/>
    </font>
    <font>
      <sz val="4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vertAlign val="superscript"/>
      <sz val="11"/>
      <name val="Arial"/>
      <family val="2"/>
    </font>
    <font>
      <i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6">
    <xf numFmtId="0" fontId="0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7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195"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1" fillId="0" borderId="3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64" fontId="5" fillId="0" borderId="0" xfId="1" applyFont="1" applyBorder="1" applyAlignment="1">
      <alignment horizontal="right" vertical="center" wrapText="1"/>
    </xf>
    <xf numFmtId="166" fontId="0" fillId="0" borderId="0" xfId="2" applyNumberFormat="1" applyFont="1" applyBorder="1" applyAlignment="1">
      <alignment horizontal="righ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164" fontId="5" fillId="0" borderId="0" xfId="0" applyNumberFormat="1" applyFont="1" applyAlignment="1">
      <alignment horizontal="right" vertical="center" wrapText="1"/>
    </xf>
    <xf numFmtId="0" fontId="8" fillId="0" borderId="41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39" xfId="0" applyFont="1" applyBorder="1" applyAlignment="1">
      <alignment vertical="center" wrapText="1"/>
    </xf>
    <xf numFmtId="164" fontId="5" fillId="0" borderId="40" xfId="1" applyFont="1" applyBorder="1" applyAlignment="1">
      <alignment horizontal="righ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center" vertical="center" wrapText="1"/>
    </xf>
    <xf numFmtId="164" fontId="9" fillId="0" borderId="17" xfId="1" applyFont="1" applyBorder="1" applyAlignment="1">
      <alignment horizontal="right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164" fontId="9" fillId="0" borderId="18" xfId="1" applyFont="1" applyBorder="1" applyAlignment="1">
      <alignment horizontal="right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center" vertical="center" wrapText="1"/>
    </xf>
    <xf numFmtId="164" fontId="9" fillId="0" borderId="38" xfId="1" applyFont="1" applyBorder="1" applyAlignment="1">
      <alignment horizontal="righ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8" fillId="2" borderId="17" xfId="0" applyFont="1" applyFill="1" applyBorder="1" applyAlignment="1">
      <alignment horizontal="left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righ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2" borderId="29" xfId="0" applyFont="1" applyFill="1" applyBorder="1" applyAlignment="1">
      <alignment horizontal="left" vertical="center" wrapText="1"/>
    </xf>
    <xf numFmtId="0" fontId="7" fillId="2" borderId="32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8" fillId="2" borderId="32" xfId="0" applyFont="1" applyFill="1" applyBorder="1" applyAlignment="1">
      <alignment horizontal="left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164" fontId="5" fillId="0" borderId="18" xfId="0" applyNumberFormat="1" applyFont="1" applyBorder="1" applyAlignment="1">
      <alignment horizontal="right" vertical="center" wrapText="1"/>
    </xf>
    <xf numFmtId="0" fontId="7" fillId="0" borderId="32" xfId="0" applyFont="1" applyBorder="1" applyAlignment="1">
      <alignment horizontal="left" vertical="center" wrapText="1"/>
    </xf>
    <xf numFmtId="0" fontId="9" fillId="3" borderId="35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right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39" xfId="0" applyFont="1" applyBorder="1" applyAlignment="1">
      <alignment horizontal="right" vertical="center" wrapText="1"/>
    </xf>
    <xf numFmtId="0" fontId="0" fillId="2" borderId="17" xfId="0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13" fillId="0" borderId="0" xfId="0" applyFont="1"/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10" fontId="2" fillId="0" borderId="7" xfId="3" applyNumberFormat="1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5" fillId="0" borderId="17" xfId="0" applyFont="1" applyBorder="1" applyAlignment="1">
      <alignment vertical="center"/>
    </xf>
    <xf numFmtId="10" fontId="16" fillId="0" borderId="18" xfId="3" applyNumberFormat="1" applyFont="1" applyFill="1" applyBorder="1" applyAlignment="1">
      <alignment horizontal="center" vertical="center"/>
    </xf>
    <xf numFmtId="165" fontId="13" fillId="0" borderId="0" xfId="4" applyFont="1"/>
    <xf numFmtId="0" fontId="1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10" fontId="2" fillId="0" borderId="43" xfId="3" applyNumberFormat="1" applyFont="1" applyBorder="1" applyAlignment="1">
      <alignment horizontal="center" vertical="center"/>
    </xf>
    <xf numFmtId="0" fontId="2" fillId="0" borderId="32" xfId="0" applyFont="1" applyBorder="1" applyAlignment="1">
      <alignment vertical="center"/>
    </xf>
    <xf numFmtId="0" fontId="16" fillId="0" borderId="17" xfId="0" applyFont="1" applyBorder="1" applyAlignment="1">
      <alignment horizontal="right" vertical="center"/>
    </xf>
    <xf numFmtId="10" fontId="2" fillId="0" borderId="18" xfId="3" applyNumberFormat="1" applyFont="1" applyBorder="1" applyAlignment="1">
      <alignment horizontal="center" vertical="center"/>
    </xf>
    <xf numFmtId="10" fontId="13" fillId="0" borderId="0" xfId="2" applyNumberFormat="1" applyFont="1"/>
    <xf numFmtId="10" fontId="2" fillId="0" borderId="43" xfId="3" applyNumberFormat="1" applyFont="1" applyFill="1" applyBorder="1" applyAlignment="1">
      <alignment horizontal="center" vertical="center"/>
    </xf>
    <xf numFmtId="0" fontId="2" fillId="0" borderId="37" xfId="0" applyFont="1" applyBorder="1" applyAlignment="1">
      <alignment vertical="center"/>
    </xf>
    <xf numFmtId="0" fontId="16" fillId="0" borderId="4" xfId="0" applyFont="1" applyBorder="1" applyAlignment="1">
      <alignment horizontal="right" vertical="center"/>
    </xf>
    <xf numFmtId="0" fontId="14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10" fontId="13" fillId="0" borderId="0" xfId="0" applyNumberFormat="1" applyFont="1"/>
    <xf numFmtId="168" fontId="9" fillId="0" borderId="17" xfId="0" applyNumberFormat="1" applyFont="1" applyBorder="1" applyAlignment="1">
      <alignment horizontal="center" vertical="center" wrapText="1"/>
    </xf>
    <xf numFmtId="9" fontId="5" fillId="3" borderId="17" xfId="0" applyNumberFormat="1" applyFont="1" applyFill="1" applyBorder="1" applyAlignment="1">
      <alignment horizontal="center" vertical="center" wrapText="1"/>
    </xf>
    <xf numFmtId="166" fontId="5" fillId="0" borderId="1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6" fontId="5" fillId="0" borderId="4" xfId="0" applyNumberFormat="1" applyFont="1" applyBorder="1" applyAlignment="1">
      <alignment horizontal="center" vertical="center" wrapText="1"/>
    </xf>
    <xf numFmtId="166" fontId="5" fillId="0" borderId="0" xfId="2" applyNumberFormat="1" applyFont="1" applyBorder="1" applyAlignment="1">
      <alignment horizontal="right" vertical="center" wrapText="1"/>
    </xf>
    <xf numFmtId="164" fontId="9" fillId="0" borderId="17" xfId="0" applyNumberFormat="1" applyFont="1" applyBorder="1" applyAlignment="1">
      <alignment horizontal="center" vertical="center" wrapText="1"/>
    </xf>
    <xf numFmtId="164" fontId="9" fillId="0" borderId="3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164" fontId="5" fillId="0" borderId="30" xfId="0" applyNumberFormat="1" applyFont="1" applyBorder="1" applyAlignment="1">
      <alignment horizontal="right" vertical="center" wrapText="1"/>
    </xf>
    <xf numFmtId="0" fontId="5" fillId="0" borderId="30" xfId="0" applyFont="1" applyBorder="1" applyAlignment="1">
      <alignment horizontal="right" vertical="center" wrapText="1"/>
    </xf>
    <xf numFmtId="0" fontId="5" fillId="0" borderId="31" xfId="0" applyFont="1" applyBorder="1" applyAlignment="1">
      <alignment horizontal="right" vertical="center" wrapText="1"/>
    </xf>
    <xf numFmtId="166" fontId="5" fillId="0" borderId="35" xfId="2" applyNumberFormat="1" applyFont="1" applyBorder="1" applyAlignment="1">
      <alignment horizontal="right" vertical="center" wrapText="1"/>
    </xf>
    <xf numFmtId="166" fontId="5" fillId="0" borderId="38" xfId="2" applyNumberFormat="1" applyFont="1" applyBorder="1" applyAlignment="1">
      <alignment horizontal="right" vertical="center" wrapText="1"/>
    </xf>
    <xf numFmtId="164" fontId="9" fillId="0" borderId="17" xfId="1" applyFont="1" applyBorder="1" applyAlignment="1">
      <alignment horizontal="right" vertical="center" wrapText="1"/>
    </xf>
    <xf numFmtId="164" fontId="9" fillId="0" borderId="18" xfId="1" applyFont="1" applyBorder="1" applyAlignment="1">
      <alignment horizontal="right" vertical="center" wrapText="1"/>
    </xf>
    <xf numFmtId="0" fontId="9" fillId="0" borderId="17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left" vertical="center" wrapText="1"/>
    </xf>
    <xf numFmtId="164" fontId="5" fillId="0" borderId="39" xfId="1" applyFont="1" applyBorder="1" applyAlignment="1">
      <alignment horizontal="right" vertical="center" wrapText="1"/>
    </xf>
    <xf numFmtId="164" fontId="5" fillId="0" borderId="40" xfId="1" applyFont="1" applyBorder="1" applyAlignment="1">
      <alignment horizontal="right" vertical="center" wrapText="1"/>
    </xf>
    <xf numFmtId="164" fontId="9" fillId="0" borderId="35" xfId="1" applyFont="1" applyBorder="1" applyAlignment="1">
      <alignment horizontal="right" vertical="center" wrapText="1"/>
    </xf>
    <xf numFmtId="164" fontId="9" fillId="0" borderId="38" xfId="1" applyFont="1" applyBorder="1" applyAlignment="1">
      <alignment horizontal="right" vertical="center" wrapText="1"/>
    </xf>
    <xf numFmtId="0" fontId="9" fillId="0" borderId="35" xfId="0" applyFont="1" applyBorder="1" applyAlignment="1">
      <alignment horizontal="left" vertical="center" wrapText="1"/>
    </xf>
    <xf numFmtId="164" fontId="5" fillId="0" borderId="30" xfId="0" applyNumberFormat="1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164" fontId="5" fillId="0" borderId="39" xfId="0" applyNumberFormat="1" applyFont="1" applyBorder="1" applyAlignment="1">
      <alignment horizontal="right" vertical="center" wrapText="1"/>
    </xf>
    <xf numFmtId="0" fontId="8" fillId="0" borderId="40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166" fontId="5" fillId="0" borderId="4" xfId="2" applyNumberFormat="1" applyFont="1" applyBorder="1" applyAlignment="1">
      <alignment horizontal="center" vertical="center" wrapText="1"/>
    </xf>
    <xf numFmtId="166" fontId="5" fillId="0" borderId="5" xfId="2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6" fontId="5" fillId="0" borderId="30" xfId="2" applyNumberFormat="1" applyFont="1" applyBorder="1" applyAlignment="1">
      <alignment horizontal="center" vertical="center" wrapText="1"/>
    </xf>
    <xf numFmtId="166" fontId="5" fillId="0" borderId="31" xfId="2" applyNumberFormat="1" applyFont="1" applyBorder="1" applyAlignment="1">
      <alignment horizontal="center" vertical="center" wrapText="1"/>
    </xf>
    <xf numFmtId="166" fontId="5" fillId="0" borderId="17" xfId="2" applyNumberFormat="1" applyFont="1" applyBorder="1" applyAlignment="1">
      <alignment horizontal="center" vertical="center" wrapText="1"/>
    </xf>
    <xf numFmtId="166" fontId="5" fillId="0" borderId="18" xfId="2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164" fontId="6" fillId="4" borderId="26" xfId="1" applyFont="1" applyFill="1" applyBorder="1" applyAlignment="1">
      <alignment horizontal="right" vertical="center" wrapText="1"/>
    </xf>
    <xf numFmtId="164" fontId="6" fillId="4" borderId="25" xfId="1" applyFont="1" applyFill="1" applyBorder="1" applyAlignment="1">
      <alignment horizontal="right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164" fontId="5" fillId="0" borderId="30" xfId="1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0" fillId="0" borderId="30" xfId="0" applyBorder="1" applyAlignment="1">
      <alignment horizontal="left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166" fontId="5" fillId="0" borderId="26" xfId="2" applyNumberFormat="1" applyFont="1" applyBorder="1" applyAlignment="1">
      <alignment horizontal="center" vertical="center" wrapText="1"/>
    </xf>
    <xf numFmtId="166" fontId="5" fillId="0" borderId="25" xfId="2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164" fontId="9" fillId="0" borderId="17" xfId="0" applyNumberFormat="1" applyFont="1" applyBorder="1" applyAlignment="1">
      <alignment horizontal="right" vertical="center" wrapText="1"/>
    </xf>
    <xf numFmtId="0" fontId="9" fillId="0" borderId="18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6">
    <cellStyle name="Millares 3" xfId="5" xr:uid="{2D069A5F-A7BA-4204-9235-445C9F9B288A}"/>
    <cellStyle name="Moneda" xfId="1" builtinId="4"/>
    <cellStyle name="Moneda 14" xfId="4" xr:uid="{27E5A685-1686-40EC-8B90-FC5E51BF3CD7}"/>
    <cellStyle name="Normal" xfId="0" builtinId="0"/>
    <cellStyle name="Porcentaje" xfId="2" builtinId="5"/>
    <cellStyle name="Porcentaje 2" xfId="3" xr:uid="{2949EFBD-3533-4DD3-9B15-7F76C9FEB6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93198</xdr:colOff>
      <xdr:row>1</xdr:row>
      <xdr:rowOff>51581</xdr:rowOff>
    </xdr:from>
    <xdr:to>
      <xdr:col>9</xdr:col>
      <xdr:colOff>668508</xdr:colOff>
      <xdr:row>4</xdr:row>
      <xdr:rowOff>131591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0613" y="245012"/>
          <a:ext cx="2536874" cy="7502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69"/>
  <sheetViews>
    <sheetView tabSelected="1" topLeftCell="A5" zoomScale="130" zoomScaleNormal="130" workbookViewId="0">
      <selection activeCell="F18" sqref="F18"/>
    </sheetView>
  </sheetViews>
  <sheetFormatPr baseColWidth="10" defaultColWidth="8.7109375" defaultRowHeight="15" x14ac:dyDescent="0.25"/>
  <cols>
    <col min="1" max="1" width="2.7109375" style="3" customWidth="1"/>
    <col min="2" max="2" width="6.42578125" style="3" customWidth="1"/>
    <col min="3" max="3" width="42.42578125" style="3" customWidth="1"/>
    <col min="4" max="4" width="8.7109375" style="3" customWidth="1"/>
    <col min="5" max="5" width="12.42578125" style="3" customWidth="1"/>
    <col min="6" max="6" width="10.42578125" style="3" customWidth="1"/>
    <col min="7" max="7" width="12.140625" style="3" customWidth="1"/>
    <col min="8" max="8" width="10.28515625" style="3" customWidth="1"/>
    <col min="9" max="9" width="6" style="3" customWidth="1"/>
    <col min="10" max="10" width="11.42578125" style="3" customWidth="1"/>
    <col min="11" max="16384" width="8.7109375" style="3"/>
  </cols>
  <sheetData>
    <row r="1" spans="2:10" ht="15.75" thickBot="1" x14ac:dyDescent="0.3"/>
    <row r="2" spans="2:10" ht="13.9" customHeight="1" x14ac:dyDescent="0.25">
      <c r="B2" s="161" t="s">
        <v>0</v>
      </c>
      <c r="C2" s="162"/>
      <c r="D2" s="14" t="s">
        <v>1</v>
      </c>
      <c r="E2" s="14" t="s">
        <v>2</v>
      </c>
      <c r="F2" s="17" t="s">
        <v>3</v>
      </c>
      <c r="G2" s="11" t="s">
        <v>4</v>
      </c>
      <c r="H2" s="1" t="s">
        <v>4</v>
      </c>
      <c r="I2" s="1" t="s">
        <v>4</v>
      </c>
      <c r="J2" s="2" t="s">
        <v>4</v>
      </c>
    </row>
    <row r="3" spans="2:10" ht="25.15" customHeight="1" x14ac:dyDescent="0.25">
      <c r="B3" s="163" t="s">
        <v>5</v>
      </c>
      <c r="C3" s="164"/>
      <c r="D3" s="13" t="s">
        <v>6</v>
      </c>
      <c r="E3" s="13" t="s">
        <v>7</v>
      </c>
      <c r="F3" s="18" t="s">
        <v>8</v>
      </c>
      <c r="G3" s="101" t="s">
        <v>4</v>
      </c>
      <c r="H3" s="102" t="s">
        <v>4</v>
      </c>
      <c r="I3" s="3" t="s">
        <v>4</v>
      </c>
      <c r="J3" s="4" t="s">
        <v>4</v>
      </c>
    </row>
    <row r="4" spans="2:10" ht="13.9" customHeight="1" x14ac:dyDescent="0.25">
      <c r="B4" s="108" t="s">
        <v>9</v>
      </c>
      <c r="C4" s="109"/>
      <c r="D4" s="109"/>
      <c r="E4" s="109"/>
      <c r="F4" s="110"/>
      <c r="G4" s="101" t="s">
        <v>4</v>
      </c>
      <c r="H4" s="102" t="s">
        <v>4</v>
      </c>
      <c r="I4" s="3" t="s">
        <v>4</v>
      </c>
      <c r="J4" s="4" t="s">
        <v>4</v>
      </c>
    </row>
    <row r="5" spans="2:10" ht="13.9" customHeight="1" thickBot="1" x14ac:dyDescent="0.3">
      <c r="B5" s="105" t="s">
        <v>10</v>
      </c>
      <c r="C5" s="106"/>
      <c r="D5" s="106"/>
      <c r="E5" s="106"/>
      <c r="F5" s="107"/>
      <c r="G5" s="103" t="s">
        <v>4</v>
      </c>
      <c r="H5" s="104" t="s">
        <v>4</v>
      </c>
      <c r="I5" s="15" t="s">
        <v>4</v>
      </c>
      <c r="J5" s="16" t="s">
        <v>4</v>
      </c>
    </row>
    <row r="6" spans="2:10" ht="73.900000000000006" customHeight="1" thickBot="1" x14ac:dyDescent="0.3">
      <c r="B6" s="185" t="s">
        <v>11</v>
      </c>
      <c r="C6" s="186"/>
      <c r="D6" s="182" t="s">
        <v>12</v>
      </c>
      <c r="E6" s="183"/>
      <c r="F6" s="183"/>
      <c r="G6" s="183"/>
      <c r="H6" s="183"/>
      <c r="I6" s="183"/>
      <c r="J6" s="184"/>
    </row>
    <row r="7" spans="2:10" ht="13.9" customHeight="1" thickBot="1" x14ac:dyDescent="0.3">
      <c r="E7" s="66"/>
      <c r="F7" s="66"/>
      <c r="G7" s="66"/>
      <c r="H7" s="180"/>
      <c r="I7" s="102"/>
      <c r="J7" s="102"/>
    </row>
    <row r="8" spans="2:10" ht="15" customHeight="1" x14ac:dyDescent="0.25">
      <c r="B8" s="145" t="s">
        <v>13</v>
      </c>
      <c r="C8" s="181" t="s">
        <v>4</v>
      </c>
      <c r="D8" s="170">
        <v>300000000</v>
      </c>
      <c r="E8" s="170"/>
      <c r="F8" s="62" t="s">
        <v>14</v>
      </c>
      <c r="G8" s="165" t="s">
        <v>4</v>
      </c>
      <c r="H8" s="165"/>
      <c r="I8" s="165"/>
      <c r="J8" s="166"/>
    </row>
    <row r="9" spans="2:10" ht="13.9" customHeight="1" x14ac:dyDescent="0.25">
      <c r="B9" s="147" t="s">
        <v>15</v>
      </c>
      <c r="C9" s="177" t="s">
        <v>4</v>
      </c>
      <c r="D9" s="5">
        <v>6</v>
      </c>
      <c r="E9" s="5" t="s">
        <v>16</v>
      </c>
      <c r="F9" s="109" t="s">
        <v>17</v>
      </c>
      <c r="G9" s="109"/>
      <c r="H9" s="109"/>
      <c r="I9" s="109"/>
      <c r="J9" s="110"/>
    </row>
    <row r="10" spans="2:10" ht="18" customHeight="1" thickBot="1" x14ac:dyDescent="0.3">
      <c r="B10" s="178" t="s">
        <v>18</v>
      </c>
      <c r="C10" s="179" t="s">
        <v>4</v>
      </c>
      <c r="D10" s="64" t="s">
        <v>4</v>
      </c>
      <c r="E10" s="65" t="s">
        <v>19</v>
      </c>
      <c r="F10" s="171" t="s">
        <v>4</v>
      </c>
      <c r="G10" s="172"/>
      <c r="H10" s="172"/>
      <c r="I10" s="172"/>
      <c r="J10" s="173"/>
    </row>
    <row r="11" spans="2:10" ht="18" customHeight="1" thickBot="1" x14ac:dyDescent="0.3">
      <c r="B11" s="24"/>
      <c r="C11" s="19"/>
      <c r="D11" s="19"/>
      <c r="E11" s="24"/>
      <c r="F11" s="19"/>
      <c r="G11" s="19"/>
      <c r="H11" s="19"/>
      <c r="I11" s="19"/>
      <c r="J11" s="19"/>
    </row>
    <row r="12" spans="2:10" ht="10.9" customHeight="1" x14ac:dyDescent="0.25">
      <c r="B12" s="50" t="s">
        <v>4</v>
      </c>
      <c r="C12" s="128" t="s">
        <v>20</v>
      </c>
      <c r="D12" s="128"/>
      <c r="E12" s="128"/>
      <c r="F12" s="128"/>
      <c r="G12" s="128"/>
      <c r="H12" s="128"/>
      <c r="I12" s="128"/>
      <c r="J12" s="129"/>
    </row>
    <row r="13" spans="2:10" ht="10.9" customHeight="1" x14ac:dyDescent="0.25">
      <c r="B13" s="51" t="s">
        <v>4</v>
      </c>
      <c r="C13" s="33" t="s">
        <v>21</v>
      </c>
      <c r="D13" s="43" t="s">
        <v>4</v>
      </c>
      <c r="E13" s="43" t="s">
        <v>4</v>
      </c>
      <c r="F13" s="43" t="s">
        <v>4</v>
      </c>
      <c r="G13" s="43" t="s">
        <v>4</v>
      </c>
      <c r="H13" s="43" t="s">
        <v>4</v>
      </c>
      <c r="I13" s="43" t="s">
        <v>4</v>
      </c>
      <c r="J13" s="52" t="s">
        <v>4</v>
      </c>
    </row>
    <row r="14" spans="2:10" ht="28.9" customHeight="1" x14ac:dyDescent="0.25">
      <c r="B14" s="36" t="s">
        <v>22</v>
      </c>
      <c r="C14" s="34" t="s">
        <v>23</v>
      </c>
      <c r="D14" s="34" t="s">
        <v>24</v>
      </c>
      <c r="E14" s="34" t="s">
        <v>25</v>
      </c>
      <c r="F14" s="34" t="s">
        <v>26</v>
      </c>
      <c r="G14" s="34" t="s">
        <v>27</v>
      </c>
      <c r="H14" s="34" t="s">
        <v>28</v>
      </c>
      <c r="I14" s="34" t="s">
        <v>29</v>
      </c>
      <c r="J14" s="37" t="s">
        <v>30</v>
      </c>
    </row>
    <row r="15" spans="2:10" ht="12" customHeight="1" x14ac:dyDescent="0.25">
      <c r="B15" s="53" t="s">
        <v>4</v>
      </c>
      <c r="C15" s="44" t="s">
        <v>4</v>
      </c>
      <c r="D15" s="45" t="s">
        <v>31</v>
      </c>
      <c r="E15" s="44" t="s">
        <v>4</v>
      </c>
      <c r="F15" s="45" t="s">
        <v>32</v>
      </c>
      <c r="G15" s="45" t="s">
        <v>33</v>
      </c>
      <c r="H15" s="45" t="s">
        <v>34</v>
      </c>
      <c r="I15" s="45" t="s">
        <v>35</v>
      </c>
      <c r="J15" s="54" t="s">
        <v>36</v>
      </c>
    </row>
    <row r="16" spans="2:10" ht="12" customHeight="1" x14ac:dyDescent="0.25">
      <c r="B16" s="36" t="s">
        <v>37</v>
      </c>
      <c r="C16" s="33" t="s">
        <v>38</v>
      </c>
      <c r="D16" s="44" t="s">
        <v>4</v>
      </c>
      <c r="E16" s="44" t="s">
        <v>4</v>
      </c>
      <c r="F16" s="44" t="s">
        <v>4</v>
      </c>
      <c r="G16" s="44" t="s">
        <v>4</v>
      </c>
      <c r="H16" s="44" t="s">
        <v>4</v>
      </c>
      <c r="I16" s="44" t="s">
        <v>4</v>
      </c>
      <c r="J16" s="55" t="s">
        <v>4</v>
      </c>
    </row>
    <row r="17" spans="2:10" ht="10.9" customHeight="1" x14ac:dyDescent="0.25">
      <c r="B17" s="6" t="s">
        <v>39</v>
      </c>
      <c r="C17" s="7" t="s">
        <v>40</v>
      </c>
      <c r="D17" s="46">
        <v>1</v>
      </c>
      <c r="E17" s="46">
        <v>7</v>
      </c>
      <c r="F17" s="94">
        <v>0.1</v>
      </c>
      <c r="G17" s="35">
        <v>5500000</v>
      </c>
      <c r="H17" s="93">
        <f>'PRESTACIONES SOCIALES'!D20</f>
        <v>1.4973000000000001</v>
      </c>
      <c r="I17" s="8">
        <f>$D$9</f>
        <v>6</v>
      </c>
      <c r="J17" s="38">
        <f>ROUND(D17*F17*G17*H17*I17,0)</f>
        <v>4941090</v>
      </c>
    </row>
    <row r="18" spans="2:10" ht="12" customHeight="1" x14ac:dyDescent="0.25">
      <c r="B18" s="6" t="s">
        <v>41</v>
      </c>
      <c r="C18" s="7" t="s">
        <v>42</v>
      </c>
      <c r="D18" s="46">
        <v>1</v>
      </c>
      <c r="E18" s="46">
        <v>8</v>
      </c>
      <c r="F18" s="94">
        <v>0.25</v>
      </c>
      <c r="G18" s="35">
        <v>5200000</v>
      </c>
      <c r="H18" s="93">
        <f>'PRESTACIONES SOCIALES'!D20</f>
        <v>1.4973000000000001</v>
      </c>
      <c r="I18" s="8">
        <f t="shared" ref="I18:I19" si="0">$D$9</f>
        <v>6</v>
      </c>
      <c r="J18" s="38">
        <f>ROUND(D18*F18*G18*H18*I18,0)</f>
        <v>11678940</v>
      </c>
    </row>
    <row r="19" spans="2:10" ht="12" customHeight="1" x14ac:dyDescent="0.25">
      <c r="B19" s="6" t="s">
        <v>41</v>
      </c>
      <c r="C19" s="7" t="s">
        <v>43</v>
      </c>
      <c r="D19" s="46">
        <v>1</v>
      </c>
      <c r="E19" s="46">
        <v>8</v>
      </c>
      <c r="F19" s="94">
        <v>0.2</v>
      </c>
      <c r="G19" s="35">
        <v>5200000</v>
      </c>
      <c r="H19" s="93">
        <f>'PRESTACIONES SOCIALES'!D20</f>
        <v>1.4973000000000001</v>
      </c>
      <c r="I19" s="8">
        <f t="shared" si="0"/>
        <v>6</v>
      </c>
      <c r="J19" s="38">
        <f>ROUND(D19*F19*G19*H19*I19,0)</f>
        <v>9343152</v>
      </c>
    </row>
    <row r="20" spans="2:10" ht="10.9" customHeight="1" x14ac:dyDescent="0.25">
      <c r="B20" s="56" t="s">
        <v>4</v>
      </c>
      <c r="C20" s="174" t="s">
        <v>44</v>
      </c>
      <c r="D20" s="175"/>
      <c r="E20" s="175"/>
      <c r="F20" s="175"/>
      <c r="G20" s="175"/>
      <c r="H20" s="175"/>
      <c r="I20" s="176"/>
      <c r="J20" s="57">
        <f>SUM(J17:J19)</f>
        <v>25963182</v>
      </c>
    </row>
    <row r="21" spans="2:10" ht="24" customHeight="1" x14ac:dyDescent="0.25">
      <c r="B21" s="36" t="s">
        <v>22</v>
      </c>
      <c r="C21" s="33" t="s">
        <v>45</v>
      </c>
      <c r="D21" s="34" t="s">
        <v>46</v>
      </c>
      <c r="E21" s="34" t="s">
        <v>47</v>
      </c>
      <c r="F21" s="34" t="s">
        <v>48</v>
      </c>
      <c r="G21" s="34" t="s">
        <v>49</v>
      </c>
      <c r="H21" s="34" t="s">
        <v>50</v>
      </c>
      <c r="I21" s="34" t="s">
        <v>29</v>
      </c>
      <c r="J21" s="37" t="s">
        <v>51</v>
      </c>
    </row>
    <row r="22" spans="2:10" ht="25.15" customHeight="1" x14ac:dyDescent="0.25">
      <c r="B22" s="6" t="s">
        <v>52</v>
      </c>
      <c r="C22" s="7" t="s">
        <v>53</v>
      </c>
      <c r="D22" s="46">
        <v>1</v>
      </c>
      <c r="E22" s="8" t="s">
        <v>54</v>
      </c>
      <c r="F22" s="47" t="s">
        <v>55</v>
      </c>
      <c r="G22" s="8" t="s">
        <v>54</v>
      </c>
      <c r="H22" s="48" t="s">
        <v>56</v>
      </c>
      <c r="I22" s="8" t="s">
        <v>57</v>
      </c>
      <c r="J22" s="38">
        <f>D22*F22*H22*I22</f>
        <v>305300</v>
      </c>
    </row>
    <row r="23" spans="2:10" ht="10.9" customHeight="1" x14ac:dyDescent="0.25">
      <c r="B23" s="58" t="s">
        <v>4</v>
      </c>
      <c r="C23" s="23" t="s">
        <v>58</v>
      </c>
      <c r="D23" s="49" t="s">
        <v>4</v>
      </c>
      <c r="E23" s="49" t="s">
        <v>4</v>
      </c>
      <c r="F23" s="49" t="s">
        <v>4</v>
      </c>
      <c r="G23" s="49" t="s">
        <v>4</v>
      </c>
      <c r="H23" s="49" t="s">
        <v>4</v>
      </c>
      <c r="I23" s="49" t="s">
        <v>4</v>
      </c>
      <c r="J23" s="57">
        <f>J22</f>
        <v>305300</v>
      </c>
    </row>
    <row r="24" spans="2:10" ht="24" customHeight="1" x14ac:dyDescent="0.25">
      <c r="B24" s="36" t="s">
        <v>22</v>
      </c>
      <c r="C24" s="33" t="s">
        <v>59</v>
      </c>
      <c r="D24" s="34" t="s">
        <v>46</v>
      </c>
      <c r="E24" s="34" t="s">
        <v>47</v>
      </c>
      <c r="F24" s="34" t="s">
        <v>48</v>
      </c>
      <c r="G24" s="34" t="s">
        <v>49</v>
      </c>
      <c r="H24" s="34" t="s">
        <v>50</v>
      </c>
      <c r="I24" s="34" t="s">
        <v>29</v>
      </c>
      <c r="J24" s="37" t="s">
        <v>51</v>
      </c>
    </row>
    <row r="25" spans="2:10" ht="21" customHeight="1" thickBot="1" x14ac:dyDescent="0.3">
      <c r="B25" s="39" t="s">
        <v>60</v>
      </c>
      <c r="C25" s="40" t="s">
        <v>61</v>
      </c>
      <c r="D25" s="59">
        <v>1</v>
      </c>
      <c r="E25" s="41" t="s">
        <v>54</v>
      </c>
      <c r="F25" s="60" t="s">
        <v>55</v>
      </c>
      <c r="G25" s="41" t="s">
        <v>54</v>
      </c>
      <c r="H25" s="61">
        <v>120000</v>
      </c>
      <c r="I25" s="41" t="s">
        <v>57</v>
      </c>
      <c r="J25" s="42">
        <f>D25*F25*H25*I25</f>
        <v>480000</v>
      </c>
    </row>
    <row r="26" spans="2:10" ht="15" customHeight="1" thickBot="1" x14ac:dyDescent="0.3">
      <c r="B26" s="19" t="s">
        <v>4</v>
      </c>
      <c r="C26" s="167" t="s">
        <v>58</v>
      </c>
      <c r="D26" s="168"/>
      <c r="E26" s="168"/>
      <c r="F26" s="168"/>
      <c r="G26" s="168"/>
      <c r="H26" s="168"/>
      <c r="I26" s="169"/>
      <c r="J26" s="32">
        <f>J25</f>
        <v>480000</v>
      </c>
    </row>
    <row r="27" spans="2:10" ht="15" customHeight="1" thickBot="1" x14ac:dyDescent="0.3">
      <c r="B27" s="19"/>
      <c r="C27" s="20"/>
      <c r="D27" s="19"/>
      <c r="E27" s="19"/>
      <c r="F27" s="19"/>
      <c r="G27" s="19"/>
      <c r="H27" s="19"/>
      <c r="I27" s="19"/>
      <c r="J27" s="21"/>
    </row>
    <row r="28" spans="2:10" ht="13.9" customHeight="1" x14ac:dyDescent="0.25">
      <c r="B28" s="19" t="s">
        <v>4</v>
      </c>
      <c r="C28" s="113" t="s">
        <v>62</v>
      </c>
      <c r="D28" s="114"/>
      <c r="E28" s="114"/>
      <c r="F28" s="114"/>
      <c r="G28" s="114"/>
      <c r="H28" s="117">
        <f>SUM(J20+J23+J26)</f>
        <v>26748482</v>
      </c>
      <c r="I28" s="118"/>
      <c r="J28" s="119"/>
    </row>
    <row r="29" spans="2:10" ht="15" customHeight="1" thickBot="1" x14ac:dyDescent="0.3">
      <c r="B29" s="3" t="s">
        <v>4</v>
      </c>
      <c r="C29" s="115" t="s">
        <v>63</v>
      </c>
      <c r="D29" s="116"/>
      <c r="E29" s="116"/>
      <c r="F29" s="116"/>
      <c r="G29" s="116"/>
      <c r="H29" s="120">
        <f>H28/$D$8</f>
        <v>8.9161606666666671E-2</v>
      </c>
      <c r="I29" s="120"/>
      <c r="J29" s="121"/>
    </row>
    <row r="30" spans="2:10" ht="10.15" customHeight="1" thickBot="1" x14ac:dyDescent="0.3">
      <c r="C30" s="20"/>
      <c r="D30" s="20"/>
      <c r="E30" s="20"/>
      <c r="F30" s="20"/>
      <c r="G30" s="20"/>
      <c r="H30" s="22"/>
      <c r="I30" s="22"/>
      <c r="J30" s="22"/>
    </row>
    <row r="31" spans="2:10" ht="16.149999999999999" customHeight="1" x14ac:dyDescent="0.25">
      <c r="B31" s="127" t="s">
        <v>64</v>
      </c>
      <c r="C31" s="128"/>
      <c r="D31" s="128"/>
      <c r="E31" s="128"/>
      <c r="F31" s="128"/>
      <c r="G31" s="128"/>
      <c r="H31" s="128"/>
      <c r="I31" s="128"/>
      <c r="J31" s="129"/>
    </row>
    <row r="32" spans="2:10" ht="12" customHeight="1" x14ac:dyDescent="0.25">
      <c r="B32" s="36" t="s">
        <v>60</v>
      </c>
      <c r="C32" s="130" t="s">
        <v>65</v>
      </c>
      <c r="D32" s="130"/>
      <c r="E32" s="130"/>
      <c r="F32" s="130"/>
      <c r="G32" s="130"/>
      <c r="H32" s="130"/>
      <c r="I32" s="130"/>
      <c r="J32" s="131"/>
    </row>
    <row r="33" spans="2:10" ht="12" customHeight="1" x14ac:dyDescent="0.25">
      <c r="B33" s="36" t="s">
        <v>22</v>
      </c>
      <c r="C33" s="125" t="s">
        <v>66</v>
      </c>
      <c r="D33" s="125"/>
      <c r="E33" s="125"/>
      <c r="F33" s="125"/>
      <c r="G33" s="125"/>
      <c r="H33" s="125" t="s">
        <v>67</v>
      </c>
      <c r="I33" s="125"/>
      <c r="J33" s="126"/>
    </row>
    <row r="34" spans="2:10" ht="10.9" customHeight="1" x14ac:dyDescent="0.25">
      <c r="B34" s="6" t="s">
        <v>68</v>
      </c>
      <c r="C34" s="124" t="s">
        <v>69</v>
      </c>
      <c r="D34" s="124"/>
      <c r="E34" s="124"/>
      <c r="F34" s="124"/>
      <c r="G34" s="124"/>
      <c r="H34" s="8" t="s">
        <v>70</v>
      </c>
      <c r="I34" s="122">
        <f>H34*$D$8</f>
        <v>15000000</v>
      </c>
      <c r="J34" s="123"/>
    </row>
    <row r="35" spans="2:10" ht="10.9" customHeight="1" x14ac:dyDescent="0.25">
      <c r="B35" s="6" t="s">
        <v>71</v>
      </c>
      <c r="C35" s="124" t="s">
        <v>72</v>
      </c>
      <c r="D35" s="124"/>
      <c r="E35" s="124"/>
      <c r="F35" s="124" t="s">
        <v>4</v>
      </c>
      <c r="G35" s="124" t="s">
        <v>4</v>
      </c>
      <c r="H35" s="8" t="s">
        <v>73</v>
      </c>
      <c r="I35" s="122">
        <f t="shared" ref="I35:I41" si="1">H35*$D$8</f>
        <v>2070000</v>
      </c>
      <c r="J35" s="123"/>
    </row>
    <row r="36" spans="2:10" ht="10.9" customHeight="1" x14ac:dyDescent="0.25">
      <c r="B36" s="6" t="s">
        <v>74</v>
      </c>
      <c r="C36" s="124" t="s">
        <v>75</v>
      </c>
      <c r="D36" s="124"/>
      <c r="E36" s="124"/>
      <c r="F36" s="124" t="s">
        <v>4</v>
      </c>
      <c r="G36" s="124" t="s">
        <v>4</v>
      </c>
      <c r="H36" s="8" t="s">
        <v>76</v>
      </c>
      <c r="I36" s="122">
        <f t="shared" si="1"/>
        <v>1200000</v>
      </c>
      <c r="J36" s="123"/>
    </row>
    <row r="37" spans="2:10" ht="10.9" customHeight="1" x14ac:dyDescent="0.25">
      <c r="B37" s="6" t="s">
        <v>77</v>
      </c>
      <c r="C37" s="124" t="s">
        <v>78</v>
      </c>
      <c r="D37" s="124"/>
      <c r="E37" s="124"/>
      <c r="F37" s="124" t="s">
        <v>4</v>
      </c>
      <c r="G37" s="124" t="s">
        <v>4</v>
      </c>
      <c r="H37" s="8" t="s">
        <v>79</v>
      </c>
      <c r="I37" s="122">
        <f t="shared" si="1"/>
        <v>3000000</v>
      </c>
      <c r="J37" s="123"/>
    </row>
    <row r="38" spans="2:10" ht="10.9" customHeight="1" x14ac:dyDescent="0.25">
      <c r="B38" s="6" t="s">
        <v>80</v>
      </c>
      <c r="C38" s="124" t="s">
        <v>81</v>
      </c>
      <c r="D38" s="124"/>
      <c r="E38" s="124"/>
      <c r="F38" s="124" t="s">
        <v>4</v>
      </c>
      <c r="G38" s="124" t="s">
        <v>4</v>
      </c>
      <c r="H38" s="8" t="s">
        <v>82</v>
      </c>
      <c r="I38" s="122">
        <f t="shared" si="1"/>
        <v>1500000</v>
      </c>
      <c r="J38" s="123"/>
    </row>
    <row r="39" spans="2:10" ht="12" customHeight="1" x14ac:dyDescent="0.25">
      <c r="B39" s="6" t="s">
        <v>83</v>
      </c>
      <c r="C39" s="124" t="s">
        <v>84</v>
      </c>
      <c r="D39" s="124"/>
      <c r="E39" s="124"/>
      <c r="F39" s="124" t="s">
        <v>4</v>
      </c>
      <c r="G39" s="124" t="s">
        <v>4</v>
      </c>
      <c r="H39" s="8" t="s">
        <v>85</v>
      </c>
      <c r="I39" s="122">
        <f t="shared" si="1"/>
        <v>6000000</v>
      </c>
      <c r="J39" s="123"/>
    </row>
    <row r="40" spans="2:10" ht="10.9" customHeight="1" x14ac:dyDescent="0.25">
      <c r="B40" s="6" t="s">
        <v>86</v>
      </c>
      <c r="C40" s="124" t="s">
        <v>87</v>
      </c>
      <c r="D40" s="124"/>
      <c r="E40" s="124"/>
      <c r="F40" s="124" t="s">
        <v>4</v>
      </c>
      <c r="G40" s="124" t="s">
        <v>4</v>
      </c>
      <c r="H40" s="8" t="s">
        <v>82</v>
      </c>
      <c r="I40" s="122">
        <f t="shared" si="1"/>
        <v>1500000</v>
      </c>
      <c r="J40" s="123"/>
    </row>
    <row r="41" spans="2:10" ht="10.9" customHeight="1" thickBot="1" x14ac:dyDescent="0.3">
      <c r="B41" s="39" t="s">
        <v>88</v>
      </c>
      <c r="C41" s="136" t="s">
        <v>89</v>
      </c>
      <c r="D41" s="136"/>
      <c r="E41" s="136"/>
      <c r="F41" s="136" t="s">
        <v>4</v>
      </c>
      <c r="G41" s="136" t="s">
        <v>4</v>
      </c>
      <c r="H41" s="41" t="s">
        <v>90</v>
      </c>
      <c r="I41" s="134">
        <f t="shared" si="1"/>
        <v>570000</v>
      </c>
      <c r="J41" s="135"/>
    </row>
    <row r="42" spans="2:10" ht="12" customHeight="1" thickBot="1" x14ac:dyDescent="0.3">
      <c r="B42" s="9" t="s">
        <v>4</v>
      </c>
      <c r="C42" s="111" t="s">
        <v>91</v>
      </c>
      <c r="D42" s="112"/>
      <c r="E42" s="112"/>
      <c r="F42" s="112"/>
      <c r="G42" s="112"/>
      <c r="H42" s="31" t="s">
        <v>4</v>
      </c>
      <c r="I42" s="132">
        <f>SUM(I34:J41)</f>
        <v>30840000</v>
      </c>
      <c r="J42" s="133"/>
    </row>
    <row r="43" spans="2:10" ht="12" customHeight="1" thickBot="1" x14ac:dyDescent="0.3">
      <c r="B43" s="10"/>
      <c r="C43" s="27"/>
      <c r="D43" s="20"/>
      <c r="E43" s="28"/>
      <c r="F43" s="29"/>
      <c r="G43" s="29"/>
      <c r="H43" s="29"/>
      <c r="I43" s="29"/>
      <c r="J43" s="30"/>
    </row>
    <row r="44" spans="2:10" ht="12" customHeight="1" x14ac:dyDescent="0.25">
      <c r="B44" s="69" t="s">
        <v>92</v>
      </c>
      <c r="C44" s="128" t="s">
        <v>93</v>
      </c>
      <c r="D44" s="128"/>
      <c r="E44" s="128"/>
      <c r="F44" s="128"/>
      <c r="G44" s="128"/>
      <c r="H44" s="128"/>
      <c r="I44" s="128"/>
      <c r="J44" s="129"/>
    </row>
    <row r="45" spans="2:10" ht="24" customHeight="1" x14ac:dyDescent="0.25">
      <c r="B45" s="36" t="s">
        <v>22</v>
      </c>
      <c r="C45" s="34" t="s">
        <v>66</v>
      </c>
      <c r="D45" s="68" t="s">
        <v>4</v>
      </c>
      <c r="E45" s="34" t="s">
        <v>94</v>
      </c>
      <c r="F45" s="34" t="s">
        <v>95</v>
      </c>
      <c r="G45" s="34" t="s">
        <v>96</v>
      </c>
      <c r="H45" s="34" t="s">
        <v>97</v>
      </c>
      <c r="I45" s="125" t="s">
        <v>51</v>
      </c>
      <c r="J45" s="139" t="s">
        <v>4</v>
      </c>
    </row>
    <row r="46" spans="2:10" ht="15" customHeight="1" x14ac:dyDescent="0.25">
      <c r="B46" s="6" t="s">
        <v>98</v>
      </c>
      <c r="C46" s="7" t="s">
        <v>99</v>
      </c>
      <c r="D46" s="142" t="s">
        <v>100</v>
      </c>
      <c r="E46" s="99">
        <f>D8</f>
        <v>300000000</v>
      </c>
      <c r="F46" s="8" t="s">
        <v>101</v>
      </c>
      <c r="G46" s="8" t="s">
        <v>102</v>
      </c>
      <c r="H46" s="8" t="s">
        <v>103</v>
      </c>
      <c r="I46" s="122">
        <f>ROUND(E46*F46*G46/12*H46*1.19,2)</f>
        <v>178500</v>
      </c>
      <c r="J46" s="123"/>
    </row>
    <row r="47" spans="2:10" ht="13.15" customHeight="1" x14ac:dyDescent="0.25">
      <c r="B47" s="6" t="s">
        <v>104</v>
      </c>
      <c r="C47" s="7" t="s">
        <v>105</v>
      </c>
      <c r="D47" s="142"/>
      <c r="E47" s="8" t="s">
        <v>19</v>
      </c>
      <c r="F47" s="8" t="s">
        <v>106</v>
      </c>
      <c r="G47" s="8" t="s">
        <v>107</v>
      </c>
      <c r="H47" s="8" t="s">
        <v>108</v>
      </c>
      <c r="I47" s="122">
        <f t="shared" ref="I47:I49" si="2">ROUND(E47*F47*G47/12*H47*1.19,2)</f>
        <v>0</v>
      </c>
      <c r="J47" s="123"/>
    </row>
    <row r="48" spans="2:10" ht="15" customHeight="1" x14ac:dyDescent="0.25">
      <c r="B48" s="6" t="s">
        <v>109</v>
      </c>
      <c r="C48" s="7" t="s">
        <v>110</v>
      </c>
      <c r="D48" s="142"/>
      <c r="E48" s="99">
        <f>D8</f>
        <v>300000000</v>
      </c>
      <c r="F48" s="8" t="s">
        <v>111</v>
      </c>
      <c r="G48" s="8" t="s">
        <v>112</v>
      </c>
      <c r="H48" s="8" t="s">
        <v>103</v>
      </c>
      <c r="I48" s="122">
        <f t="shared" si="2"/>
        <v>121975</v>
      </c>
      <c r="J48" s="123"/>
    </row>
    <row r="49" spans="2:10" ht="12" customHeight="1" x14ac:dyDescent="0.25">
      <c r="B49" s="6" t="s">
        <v>113</v>
      </c>
      <c r="C49" s="7" t="s">
        <v>114</v>
      </c>
      <c r="D49" s="142"/>
      <c r="E49" s="99">
        <f>D8</f>
        <v>300000000</v>
      </c>
      <c r="F49" s="8" t="s">
        <v>101</v>
      </c>
      <c r="G49" s="8" t="s">
        <v>102</v>
      </c>
      <c r="H49" s="8" t="s">
        <v>103</v>
      </c>
      <c r="I49" s="122">
        <f t="shared" si="2"/>
        <v>178500</v>
      </c>
      <c r="J49" s="123"/>
    </row>
    <row r="50" spans="2:10" ht="24" customHeight="1" thickBot="1" x14ac:dyDescent="0.3">
      <c r="B50" s="39" t="s">
        <v>115</v>
      </c>
      <c r="C50" s="40" t="s">
        <v>116</v>
      </c>
      <c r="D50" s="70" t="s">
        <v>117</v>
      </c>
      <c r="E50" s="100">
        <f>D8*0.0060568</f>
        <v>1817040</v>
      </c>
      <c r="F50" s="41" t="s">
        <v>118</v>
      </c>
      <c r="G50" s="41">
        <v>10</v>
      </c>
      <c r="H50" s="41" t="s">
        <v>70</v>
      </c>
      <c r="I50" s="134">
        <f>ROUND(E50*G50/12*H50*1.19,2)</f>
        <v>90094.9</v>
      </c>
      <c r="J50" s="135"/>
    </row>
    <row r="51" spans="2:10" ht="12" customHeight="1" thickBot="1" x14ac:dyDescent="0.3">
      <c r="B51" s="9" t="s">
        <v>4</v>
      </c>
      <c r="C51" s="111" t="s">
        <v>119</v>
      </c>
      <c r="D51" s="112"/>
      <c r="E51" s="112"/>
      <c r="F51" s="112"/>
      <c r="G51" s="112"/>
      <c r="H51" s="67"/>
      <c r="I51" s="140">
        <f>SUM(I46:J50)</f>
        <v>569069.9</v>
      </c>
      <c r="J51" s="141" t="s">
        <v>4</v>
      </c>
    </row>
    <row r="52" spans="2:10" ht="12" customHeight="1" thickBot="1" x14ac:dyDescent="0.3">
      <c r="B52" s="9"/>
      <c r="C52" s="20"/>
      <c r="D52" s="20"/>
      <c r="E52" s="20"/>
      <c r="F52" s="20"/>
      <c r="G52" s="20"/>
      <c r="H52" s="25"/>
      <c r="I52" s="26"/>
      <c r="J52" s="9"/>
    </row>
    <row r="53" spans="2:10" ht="12" customHeight="1" x14ac:dyDescent="0.25">
      <c r="B53" s="19" t="s">
        <v>4</v>
      </c>
      <c r="C53" s="113" t="s">
        <v>120</v>
      </c>
      <c r="D53" s="114"/>
      <c r="E53" s="114"/>
      <c r="F53" s="114"/>
      <c r="G53" s="114"/>
      <c r="H53" s="114"/>
      <c r="I53" s="137">
        <f>I42+I51</f>
        <v>31409069.899999999</v>
      </c>
      <c r="J53" s="138"/>
    </row>
    <row r="54" spans="2:10" ht="13.9" customHeight="1" thickBot="1" x14ac:dyDescent="0.3">
      <c r="B54" s="3" t="s">
        <v>4</v>
      </c>
      <c r="C54" s="115" t="s">
        <v>121</v>
      </c>
      <c r="D54" s="116" t="s">
        <v>122</v>
      </c>
      <c r="E54" s="116" t="s">
        <v>4</v>
      </c>
      <c r="F54" s="116" t="s">
        <v>4</v>
      </c>
      <c r="G54" s="116" t="s">
        <v>4</v>
      </c>
      <c r="H54" s="116" t="s">
        <v>4</v>
      </c>
      <c r="I54" s="120">
        <f>I53/$D$8</f>
        <v>0.10469689966666666</v>
      </c>
      <c r="J54" s="121" t="s">
        <v>4</v>
      </c>
    </row>
    <row r="55" spans="2:10" ht="13.9" customHeight="1" thickBot="1" x14ac:dyDescent="0.3">
      <c r="C55" s="20"/>
      <c r="D55" s="20"/>
      <c r="E55" s="20"/>
      <c r="F55" s="20"/>
      <c r="G55" s="20"/>
      <c r="H55" s="20"/>
      <c r="I55" s="98"/>
      <c r="J55" s="98"/>
    </row>
    <row r="56" spans="2:10" ht="10.9" customHeight="1" x14ac:dyDescent="0.25">
      <c r="C56" s="145" t="s">
        <v>123</v>
      </c>
      <c r="D56" s="146"/>
      <c r="E56" s="146"/>
      <c r="F56" s="146"/>
      <c r="G56" s="146"/>
      <c r="H56" s="146"/>
      <c r="I56" s="151">
        <f>H29+I54</f>
        <v>0.19385850633333335</v>
      </c>
      <c r="J56" s="152"/>
    </row>
    <row r="57" spans="2:10" ht="11.65" customHeight="1" x14ac:dyDescent="0.25">
      <c r="C57" s="147" t="s">
        <v>124</v>
      </c>
      <c r="D57" s="148"/>
      <c r="E57" s="148"/>
      <c r="F57" s="148"/>
      <c r="G57" s="148"/>
      <c r="H57" s="148"/>
      <c r="I57" s="153">
        <v>0.01</v>
      </c>
      <c r="J57" s="154"/>
    </row>
    <row r="58" spans="2:10" ht="12" customHeight="1" thickBot="1" x14ac:dyDescent="0.3">
      <c r="B58" s="9" t="s">
        <v>4</v>
      </c>
      <c r="C58" s="149" t="s">
        <v>125</v>
      </c>
      <c r="D58" s="150"/>
      <c r="E58" s="150"/>
      <c r="F58" s="150"/>
      <c r="G58" s="150"/>
      <c r="H58" s="150"/>
      <c r="I58" s="143">
        <v>0.04</v>
      </c>
      <c r="J58" s="144"/>
    </row>
    <row r="59" spans="2:10" ht="12" customHeight="1" thickBot="1" x14ac:dyDescent="0.3">
      <c r="B59" s="9"/>
      <c r="C59" s="193" t="s">
        <v>126</v>
      </c>
      <c r="D59" s="194"/>
      <c r="E59" s="194"/>
      <c r="F59" s="194"/>
      <c r="G59" s="194"/>
      <c r="H59" s="194"/>
      <c r="I59" s="187">
        <f>SUM(I56:J58)</f>
        <v>0.24385850633333336</v>
      </c>
      <c r="J59" s="188"/>
    </row>
    <row r="60" spans="2:10" ht="12" customHeight="1" thickBot="1" x14ac:dyDescent="0.3">
      <c r="B60" s="9"/>
      <c r="C60" s="24"/>
      <c r="D60" s="24"/>
      <c r="E60" s="24"/>
      <c r="F60" s="24"/>
      <c r="G60" s="24"/>
      <c r="H60" s="24"/>
      <c r="I60" s="71"/>
      <c r="J60" s="71"/>
    </row>
    <row r="61" spans="2:10" ht="12" customHeight="1" x14ac:dyDescent="0.25">
      <c r="B61" s="9"/>
      <c r="C61" s="145" t="s">
        <v>127</v>
      </c>
      <c r="D61" s="146"/>
      <c r="E61" s="146"/>
      <c r="F61" s="146"/>
      <c r="G61" s="146"/>
      <c r="H61" s="146"/>
      <c r="I61" s="146"/>
      <c r="J61" s="138"/>
    </row>
    <row r="62" spans="2:10" ht="12" customHeight="1" x14ac:dyDescent="0.25">
      <c r="B62" s="9"/>
      <c r="C62" s="63" t="s">
        <v>128</v>
      </c>
      <c r="D62" s="148"/>
      <c r="E62" s="148"/>
      <c r="F62" s="148"/>
      <c r="G62" s="148"/>
      <c r="H62" s="148"/>
      <c r="I62" s="122">
        <f>ROUND(D8-(D8*I59),0)</f>
        <v>226842448</v>
      </c>
      <c r="J62" s="123"/>
    </row>
    <row r="63" spans="2:10" ht="12" customHeight="1" x14ac:dyDescent="0.25">
      <c r="B63" s="9"/>
      <c r="C63" s="147" t="s">
        <v>129</v>
      </c>
      <c r="D63" s="189" t="s">
        <v>123</v>
      </c>
      <c r="E63" s="189"/>
      <c r="F63" s="189"/>
      <c r="G63" s="189"/>
      <c r="H63" s="95">
        <f>I56</f>
        <v>0.19385850633333335</v>
      </c>
      <c r="I63" s="191">
        <f>ROUND($D$8*H63,0)</f>
        <v>58157552</v>
      </c>
      <c r="J63" s="192"/>
    </row>
    <row r="64" spans="2:10" ht="12" customHeight="1" x14ac:dyDescent="0.25">
      <c r="B64" s="9"/>
      <c r="C64" s="147"/>
      <c r="D64" s="189" t="s">
        <v>124</v>
      </c>
      <c r="E64" s="189"/>
      <c r="F64" s="189"/>
      <c r="G64" s="189"/>
      <c r="H64" s="95">
        <f>I57</f>
        <v>0.01</v>
      </c>
      <c r="I64" s="191">
        <f t="shared" ref="I64:I65" si="3">ROUND($D$8*H64,0)</f>
        <v>3000000</v>
      </c>
      <c r="J64" s="192"/>
    </row>
    <row r="65" spans="2:10" ht="12" customHeight="1" thickBot="1" x14ac:dyDescent="0.3">
      <c r="B65" s="9"/>
      <c r="C65" s="149"/>
      <c r="D65" s="190" t="s">
        <v>125</v>
      </c>
      <c r="E65" s="190"/>
      <c r="F65" s="190"/>
      <c r="G65" s="190"/>
      <c r="H65" s="97">
        <f>I58</f>
        <v>0.04</v>
      </c>
      <c r="I65" s="191">
        <f t="shared" si="3"/>
        <v>12000000</v>
      </c>
      <c r="J65" s="192"/>
    </row>
    <row r="66" spans="2:10" ht="15" customHeight="1" thickBot="1" x14ac:dyDescent="0.3">
      <c r="B66" s="9"/>
      <c r="C66" s="158" t="s">
        <v>130</v>
      </c>
      <c r="D66" s="159"/>
      <c r="E66" s="159"/>
      <c r="F66" s="159"/>
      <c r="G66" s="159"/>
      <c r="H66" s="160"/>
      <c r="I66" s="156">
        <f>SUM(I62:J65)</f>
        <v>300000000</v>
      </c>
      <c r="J66" s="157"/>
    </row>
    <row r="67" spans="2:10" ht="13.15" customHeight="1" x14ac:dyDescent="0.25">
      <c r="B67" s="3" t="s">
        <v>4</v>
      </c>
      <c r="C67" s="96" t="s">
        <v>4</v>
      </c>
      <c r="D67" s="12" t="s">
        <v>4</v>
      </c>
      <c r="E67" s="3" t="s">
        <v>4</v>
      </c>
      <c r="F67" s="3" t="s">
        <v>4</v>
      </c>
      <c r="G67" s="3" t="s">
        <v>4</v>
      </c>
      <c r="H67" s="3" t="s">
        <v>4</v>
      </c>
      <c r="I67" s="155" t="s">
        <v>4</v>
      </c>
      <c r="J67" s="155" t="s">
        <v>4</v>
      </c>
    </row>
    <row r="68" spans="2:10" ht="12" customHeight="1" x14ac:dyDescent="0.25">
      <c r="B68" s="10" t="s">
        <v>4</v>
      </c>
      <c r="C68" s="7" t="s">
        <v>131</v>
      </c>
      <c r="D68" s="124" t="s">
        <v>132</v>
      </c>
      <c r="E68" s="124"/>
      <c r="F68" s="124"/>
      <c r="G68" s="124"/>
      <c r="H68" s="124"/>
      <c r="I68" s="124"/>
      <c r="J68" s="124"/>
    </row>
    <row r="69" spans="2:10" ht="12" customHeight="1" x14ac:dyDescent="0.25">
      <c r="B69" s="10" t="s">
        <v>4</v>
      </c>
      <c r="C69" s="7" t="s">
        <v>131</v>
      </c>
      <c r="D69" s="124" t="s">
        <v>133</v>
      </c>
      <c r="E69" s="124"/>
      <c r="F69" s="124"/>
      <c r="G69" s="124"/>
      <c r="H69" s="124"/>
      <c r="I69" s="124"/>
      <c r="J69" s="124"/>
    </row>
  </sheetData>
  <mergeCells count="83">
    <mergeCell ref="I59:J59"/>
    <mergeCell ref="D63:G63"/>
    <mergeCell ref="D64:G64"/>
    <mergeCell ref="D65:G65"/>
    <mergeCell ref="C63:C65"/>
    <mergeCell ref="I62:J62"/>
    <mergeCell ref="I63:J63"/>
    <mergeCell ref="I64:J64"/>
    <mergeCell ref="I65:J65"/>
    <mergeCell ref="C61:J61"/>
    <mergeCell ref="D62:H62"/>
    <mergeCell ref="C59:H59"/>
    <mergeCell ref="I36:J36"/>
    <mergeCell ref="I37:J37"/>
    <mergeCell ref="I38:J38"/>
    <mergeCell ref="I39:J39"/>
    <mergeCell ref="C35:G35"/>
    <mergeCell ref="C36:G36"/>
    <mergeCell ref="C37:G37"/>
    <mergeCell ref="C38:G38"/>
    <mergeCell ref="C39:G39"/>
    <mergeCell ref="B2:C2"/>
    <mergeCell ref="B3:C3"/>
    <mergeCell ref="G8:J8"/>
    <mergeCell ref="F9:J9"/>
    <mergeCell ref="C26:I26"/>
    <mergeCell ref="D8:E8"/>
    <mergeCell ref="C12:J12"/>
    <mergeCell ref="F10:J10"/>
    <mergeCell ref="C20:I20"/>
    <mergeCell ref="B9:C9"/>
    <mergeCell ref="B10:C10"/>
    <mergeCell ref="H7:J7"/>
    <mergeCell ref="B8:C8"/>
    <mergeCell ref="D6:J6"/>
    <mergeCell ref="B6:C6"/>
    <mergeCell ref="G3:H3"/>
    <mergeCell ref="I67:J67"/>
    <mergeCell ref="I66:J66"/>
    <mergeCell ref="D68:J68"/>
    <mergeCell ref="D69:J69"/>
    <mergeCell ref="C66:H66"/>
    <mergeCell ref="I58:J58"/>
    <mergeCell ref="C56:H56"/>
    <mergeCell ref="C57:H57"/>
    <mergeCell ref="C58:H58"/>
    <mergeCell ref="I56:J56"/>
    <mergeCell ref="I57:J57"/>
    <mergeCell ref="I53:J53"/>
    <mergeCell ref="I54:J54"/>
    <mergeCell ref="C53:H53"/>
    <mergeCell ref="C54:H54"/>
    <mergeCell ref="I45:J45"/>
    <mergeCell ref="I46:J46"/>
    <mergeCell ref="I47:J47"/>
    <mergeCell ref="I48:J48"/>
    <mergeCell ref="I49:J49"/>
    <mergeCell ref="I50:J50"/>
    <mergeCell ref="I51:J51"/>
    <mergeCell ref="D46:D49"/>
    <mergeCell ref="C51:G51"/>
    <mergeCell ref="I42:J42"/>
    <mergeCell ref="C44:J44"/>
    <mergeCell ref="I40:J40"/>
    <mergeCell ref="I41:J41"/>
    <mergeCell ref="C40:G40"/>
    <mergeCell ref="C41:G41"/>
    <mergeCell ref="G4:H4"/>
    <mergeCell ref="G5:H5"/>
    <mergeCell ref="B5:F5"/>
    <mergeCell ref="B4:F4"/>
    <mergeCell ref="C42:G42"/>
    <mergeCell ref="C28:G28"/>
    <mergeCell ref="C29:G29"/>
    <mergeCell ref="H28:J28"/>
    <mergeCell ref="H29:J29"/>
    <mergeCell ref="I34:J34"/>
    <mergeCell ref="C34:G34"/>
    <mergeCell ref="C33:G33"/>
    <mergeCell ref="H33:J33"/>
    <mergeCell ref="B31:J31"/>
    <mergeCell ref="C32:J32"/>
    <mergeCell ref="I35:J35"/>
  </mergeCells>
  <pageMargins left="0.75" right="0.75" top="1" bottom="1" header="0.5" footer="0.5"/>
  <ignoredErrors>
    <ignoredError sqref="B16:J16 E8:J8 B46:D46 B43:J43 B34:H34 J34 B30:J30 B29:G29 I29:J29 B35:H41 B33:H33 B32:C32 B31 B42:H42 B45:J45 B44:C44 B47:H47 B51 J51 D10:F10 B53:C53 B54:H54 J54 B58 B21:H21 B17 B18 B19:E19 B20 J20 B26:J27 B24 D24:H24 B25 D25:G25 E9:J9 B23:J23 B22:I22 B28:G28 I28:J28 I25 F46:H46 B50:D50 B48:D48 F48:H48 B49:D49 F49:H49 H50 F50 J21 J24 D17:E17 D18:E18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C7325-8C30-47FC-915D-90EFAA2467C3}">
  <dimension ref="B2:H34"/>
  <sheetViews>
    <sheetView workbookViewId="0">
      <selection activeCell="D24" sqref="D24"/>
    </sheetView>
  </sheetViews>
  <sheetFormatPr baseColWidth="10" defaultColWidth="11.42578125" defaultRowHeight="14.25" x14ac:dyDescent="0.2"/>
  <cols>
    <col min="1" max="1" width="4.140625" style="72" customWidth="1"/>
    <col min="2" max="2" width="11.42578125" style="72"/>
    <col min="3" max="3" width="81.140625" style="72" customWidth="1"/>
    <col min="4" max="4" width="13.7109375" style="72" bestFit="1" customWidth="1"/>
    <col min="5" max="5" width="11.42578125" style="72"/>
    <col min="6" max="6" width="15.140625" style="72" bestFit="1" customWidth="1"/>
    <col min="7" max="7" width="12.28515625" style="72" bestFit="1" customWidth="1"/>
    <col min="8" max="8" width="16.28515625" style="72" bestFit="1" customWidth="1"/>
    <col min="9" max="16384" width="11.42578125" style="72"/>
  </cols>
  <sheetData>
    <row r="2" spans="2:8" x14ac:dyDescent="0.2">
      <c r="B2" s="73"/>
      <c r="C2" s="74"/>
      <c r="D2" s="75"/>
    </row>
    <row r="3" spans="2:8" ht="15.75" x14ac:dyDescent="0.2">
      <c r="B3" s="76">
        <v>1</v>
      </c>
      <c r="C3" s="77" t="s">
        <v>134</v>
      </c>
      <c r="D3" s="78"/>
      <c r="F3" s="79"/>
      <c r="G3" s="79"/>
    </row>
    <row r="4" spans="2:8" x14ac:dyDescent="0.2">
      <c r="B4" s="80">
        <v>1.1000000000000001</v>
      </c>
      <c r="C4" s="81" t="s">
        <v>135</v>
      </c>
      <c r="D4" s="82">
        <v>1</v>
      </c>
    </row>
    <row r="5" spans="2:8" ht="15" x14ac:dyDescent="0.2">
      <c r="B5" s="83"/>
      <c r="C5" s="84" t="s">
        <v>136</v>
      </c>
      <c r="D5" s="78">
        <f>ROUND(SUM(D4),4)</f>
        <v>1</v>
      </c>
    </row>
    <row r="6" spans="2:8" ht="15.75" x14ac:dyDescent="0.2">
      <c r="B6" s="76"/>
      <c r="C6" s="77"/>
      <c r="D6" s="78"/>
      <c r="F6" s="79"/>
      <c r="G6" s="79"/>
    </row>
    <row r="7" spans="2:8" ht="15.75" x14ac:dyDescent="0.2">
      <c r="B7" s="76">
        <v>2</v>
      </c>
      <c r="C7" s="77" t="s">
        <v>137</v>
      </c>
      <c r="D7" s="85"/>
      <c r="F7" s="79"/>
      <c r="G7" s="79"/>
    </row>
    <row r="8" spans="2:8" x14ac:dyDescent="0.2">
      <c r="B8" s="80" t="s">
        <v>138</v>
      </c>
      <c r="C8" s="81" t="s">
        <v>139</v>
      </c>
      <c r="D8" s="82">
        <f>ROUND(30/360,4)</f>
        <v>8.3299999999999999E-2</v>
      </c>
      <c r="F8" s="79"/>
      <c r="G8" s="79"/>
    </row>
    <row r="9" spans="2:8" x14ac:dyDescent="0.2">
      <c r="B9" s="80" t="s">
        <v>140</v>
      </c>
      <c r="C9" s="81" t="s">
        <v>141</v>
      </c>
      <c r="D9" s="82">
        <f>D8</f>
        <v>8.3299999999999999E-2</v>
      </c>
      <c r="F9" s="79"/>
      <c r="G9" s="79"/>
    </row>
    <row r="10" spans="2:8" x14ac:dyDescent="0.2">
      <c r="B10" s="80" t="s">
        <v>142</v>
      </c>
      <c r="C10" s="81" t="s">
        <v>143</v>
      </c>
      <c r="D10" s="82">
        <v>0.01</v>
      </c>
      <c r="F10" s="79"/>
      <c r="G10" s="79"/>
      <c r="H10" s="79"/>
    </row>
    <row r="11" spans="2:8" x14ac:dyDescent="0.2">
      <c r="B11" s="80" t="s">
        <v>144</v>
      </c>
      <c r="C11" s="81" t="s">
        <v>145</v>
      </c>
      <c r="D11" s="82">
        <f>ROUND(15/360,4)</f>
        <v>4.1700000000000001E-2</v>
      </c>
    </row>
    <row r="12" spans="2:8" ht="16.5" x14ac:dyDescent="0.2">
      <c r="B12" s="80" t="s">
        <v>146</v>
      </c>
      <c r="C12" s="81" t="s">
        <v>147</v>
      </c>
      <c r="D12" s="82">
        <v>0</v>
      </c>
      <c r="F12" s="79"/>
      <c r="G12" s="79"/>
    </row>
    <row r="13" spans="2:8" x14ac:dyDescent="0.2">
      <c r="B13" s="80" t="s">
        <v>148</v>
      </c>
      <c r="C13" s="81" t="s">
        <v>149</v>
      </c>
      <c r="D13" s="82">
        <v>0.12</v>
      </c>
      <c r="F13" s="79"/>
      <c r="G13" s="86"/>
    </row>
    <row r="14" spans="2:8" x14ac:dyDescent="0.2">
      <c r="B14" s="80" t="s">
        <v>150</v>
      </c>
      <c r="C14" s="81" t="s">
        <v>151</v>
      </c>
      <c r="D14" s="87">
        <f>4%</f>
        <v>0.04</v>
      </c>
    </row>
    <row r="15" spans="2:8" x14ac:dyDescent="0.2">
      <c r="B15" s="80" t="s">
        <v>152</v>
      </c>
      <c r="C15" s="81" t="s">
        <v>153</v>
      </c>
      <c r="D15" s="82">
        <v>6.9599999999999995E-2</v>
      </c>
      <c r="F15" s="79"/>
      <c r="G15" s="86"/>
    </row>
    <row r="16" spans="2:8" x14ac:dyDescent="0.2">
      <c r="B16" s="80" t="s">
        <v>154</v>
      </c>
      <c r="C16" s="81" t="s">
        <v>155</v>
      </c>
      <c r="D16" s="82">
        <v>2.9399999999999999E-2</v>
      </c>
    </row>
    <row r="17" spans="2:4" x14ac:dyDescent="0.2">
      <c r="B17" s="80" t="s">
        <v>156</v>
      </c>
      <c r="C17" s="81" t="s">
        <v>157</v>
      </c>
      <c r="D17" s="87">
        <v>0.02</v>
      </c>
    </row>
    <row r="18" spans="2:4" ht="15" x14ac:dyDescent="0.2">
      <c r="B18" s="88"/>
      <c r="C18" s="84" t="s">
        <v>158</v>
      </c>
      <c r="D18" s="78">
        <f>ROUND((SUM(D8:D17)),4)</f>
        <v>0.49730000000000002</v>
      </c>
    </row>
    <row r="19" spans="2:4" ht="15" x14ac:dyDescent="0.2">
      <c r="B19" s="73"/>
      <c r="C19" s="89"/>
      <c r="D19" s="78"/>
    </row>
    <row r="20" spans="2:4" ht="15" x14ac:dyDescent="0.2">
      <c r="B20" s="73"/>
      <c r="C20" s="89" t="s">
        <v>159</v>
      </c>
      <c r="D20" s="78">
        <f>D5+D18</f>
        <v>1.4973000000000001</v>
      </c>
    </row>
    <row r="21" spans="2:4" ht="15" x14ac:dyDescent="0.2">
      <c r="B21" s="73"/>
      <c r="C21" s="89"/>
      <c r="D21" s="78"/>
    </row>
    <row r="22" spans="2:4" ht="15.75" x14ac:dyDescent="0.2">
      <c r="B22" s="90">
        <v>3</v>
      </c>
      <c r="C22" s="91" t="s">
        <v>129</v>
      </c>
      <c r="D22" s="85"/>
    </row>
    <row r="23" spans="2:4" x14ac:dyDescent="0.2">
      <c r="B23" s="80" t="s">
        <v>160</v>
      </c>
      <c r="C23" s="81" t="s">
        <v>161</v>
      </c>
      <c r="D23" s="82">
        <v>1.4999999999999999E-2</v>
      </c>
    </row>
    <row r="24" spans="2:4" x14ac:dyDescent="0.2">
      <c r="B24" s="80" t="s">
        <v>162</v>
      </c>
      <c r="C24" s="81" t="s">
        <v>163</v>
      </c>
      <c r="D24" s="82">
        <v>1.4999999999999999E-2</v>
      </c>
    </row>
    <row r="25" spans="2:4" x14ac:dyDescent="0.2">
      <c r="B25" s="80" t="s">
        <v>164</v>
      </c>
      <c r="C25" s="81" t="s">
        <v>165</v>
      </c>
      <c r="D25" s="82">
        <v>0.03</v>
      </c>
    </row>
    <row r="26" spans="2:4" x14ac:dyDescent="0.2">
      <c r="B26" s="80" t="s">
        <v>166</v>
      </c>
      <c r="C26" s="81" t="s">
        <v>167</v>
      </c>
      <c r="D26" s="82">
        <v>1.4999999999999999E-2</v>
      </c>
    </row>
    <row r="27" spans="2:4" x14ac:dyDescent="0.2">
      <c r="B27" s="80" t="s">
        <v>168</v>
      </c>
      <c r="C27" s="81" t="s">
        <v>169</v>
      </c>
      <c r="D27" s="87">
        <v>0.02</v>
      </c>
    </row>
    <row r="28" spans="2:4" x14ac:dyDescent="0.2">
      <c r="B28" s="80" t="s">
        <v>170</v>
      </c>
      <c r="C28" s="81" t="s">
        <v>171</v>
      </c>
      <c r="D28" s="82">
        <v>0.04</v>
      </c>
    </row>
    <row r="29" spans="2:4" x14ac:dyDescent="0.2">
      <c r="B29" s="80" t="s">
        <v>172</v>
      </c>
      <c r="C29" s="81" t="s">
        <v>173</v>
      </c>
      <c r="D29" s="82">
        <v>0.01</v>
      </c>
    </row>
    <row r="30" spans="2:4" ht="15" x14ac:dyDescent="0.2">
      <c r="B30" s="83"/>
      <c r="C30" s="84" t="s">
        <v>174</v>
      </c>
      <c r="D30" s="78">
        <f>ROUND((SUM(D22:D29)),4)</f>
        <v>0.14499999999999999</v>
      </c>
    </row>
    <row r="31" spans="2:4" ht="15" x14ac:dyDescent="0.2">
      <c r="B31" s="83"/>
      <c r="C31" s="89"/>
      <c r="D31" s="78"/>
    </row>
    <row r="33" spans="4:4" x14ac:dyDescent="0.2">
      <c r="D33" s="92"/>
    </row>
    <row r="34" spans="4:4" x14ac:dyDescent="0.2">
      <c r="D34" s="9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AIU</vt:lpstr>
      <vt:lpstr>PRESTACIONES SOCIALES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Aspose Pty Ltd</dc:creator>
  <cp:keywords/>
  <dc:description/>
  <cp:lastModifiedBy>Yina Patricia Mejía Rodríguez</cp:lastModifiedBy>
  <cp:revision/>
  <dcterms:created xsi:type="dcterms:W3CDTF">2024-10-12T11:29:27Z</dcterms:created>
  <dcterms:modified xsi:type="dcterms:W3CDTF">2026-09-02T03:51:46Z</dcterms:modified>
  <cp:category/>
  <cp:contentStatus/>
</cp:coreProperties>
</file>