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Precontractual\2026\ESTUDIOS PREVIOS\Alcantarillado calle 10A entre 14c y 15a guamal\"/>
    </mc:Choice>
  </mc:AlternateContent>
  <xr:revisionPtr revIDLastSave="0" documentId="13_ncr:1_{51F17023-FAFF-4989-A832-49EBD4196569}" xr6:coauthVersionLast="43" xr6:coauthVersionMax="43" xr10:uidLastSave="{00000000-0000-0000-0000-000000000000}"/>
  <bookViews>
    <workbookView xWindow="-120" yWindow="-120" windowWidth="29040" windowHeight="15840" xr2:uid="{6AE4D66F-F628-4BF2-8FED-310000716F65}"/>
  </bookViews>
  <sheets>
    <sheet name="PRESUPUESTO" sheetId="2" r:id="rId1"/>
    <sheet name="APU´s" sheetId="8" r:id="rId2"/>
    <sheet name="MEMORIAS" sheetId="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1'!$E:$E</definedName>
    <definedName name="__Pa2">'[20]Paral. 2'!$E:$E</definedName>
    <definedName name="__Pa3">'[20]Paral. 3'!$E:$E</definedName>
    <definedName name="__Pa4">[20]Paral.4!$E:$E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0" hidden="1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localSheetId="0" hidden="1">255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1'!$E:$E</definedName>
    <definedName name="_Pa2">'[20]Paral. 2'!$E:$E</definedName>
    <definedName name="_Pa3">'[20]Paral. 3'!$E:$E</definedName>
    <definedName name="_Pa4">[20]Paral.4!$E:$E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Petróleo'!$E:$E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ción">'[28]Resumen Presupuesto'!$E$27</definedName>
    <definedName name="administrador">[29]Informacion!$B$15</definedName>
    <definedName name="ADMON">#REF!</definedName>
    <definedName name="ADMON1">#REF!</definedName>
    <definedName name="adoc1">[26]!absc</definedName>
    <definedName name="ADOC125">[30]!absc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[32]!absc</definedName>
    <definedName name="AlcanceProyecto">#REF!</definedName>
    <definedName name="ALM">#REF!</definedName>
    <definedName name="ALTO">#REF!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PRESUPUESTO!$A$1:$F$61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Tapones'!$E:$E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[55]BITACORA!$E:$E</definedName>
    <definedName name="costo2" hidden="1">#REF!</definedName>
    <definedName name="COSTODIRECTO">#REF!</definedName>
    <definedName name="COSTOS">[56]TARIFAS!$A$1:$F$52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[57]civ_roma!$C$803:$G$804</definedName>
    <definedName name="Criterios_IM">'[3]7422CW00'!#REF!</definedName>
    <definedName name="Criticidad">[58]Tabla!$A$1:$A$5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Valv.'!$E:$E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[57]civ_roma!$C$9:$G$799</definedName>
    <definedName name="DATO1">'[59]46'!$D$3:$CK$429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'[60]Pta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'[61]BASE-LISTAS'!$B$24:$B$29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[58]Tabla!$B$1:$B$397</definedName>
    <definedName name="DEPENDENCIA">[58]Tabla!$B$1:$B$397</definedName>
    <definedName name="DEPENDENCIAS">[58]Tabla!$B$1:$B$397</definedName>
    <definedName name="DERFE">#REF!</definedName>
    <definedName name="desarrolladas">'[27]Reservas de Petróleo'!$A$2,'[27]Reservas de Petróleo'!$A$1,'[27]Reservas de Petróleo'!$D$4,'[27]Reservas de Petróleo'!$F:$F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[62]Cronograma!#REF!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'[63]MEDIA GEOMETRICA'!$J$8,'[63]MEDIA GEOMETRICA'!$N$8,'[63]MEDIA GEOMETRICA'!$R$8,'[63]MEDIA GEOMETRICA'!$V$8,'[63]MEDIA GEOMETRICA'!$Z$8,'[63]MEDIA GEOMETRICA'!$AD$8,'[63]MEDIA GEOMETRICA'!$AH$8,'[63]MEDIA GEOMETRICA'!$AL$8,'[63]MEDIA GEOMETRICA'!#REF!,'[63]MEDIA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[64]CÁLCULOS!$H$34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[62]Cronograma!#REF!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'[65]Info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[66]Equipo!$A$7:$A$65536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[67]Estructura!$C$7:$E$2570</definedName>
    <definedName name="ESTRUCTURA" hidden="1">{#N/A,#N/A,TRUE,"INGENIERIA";#N/A,#N/A,TRUE,"COMPRAS";#N/A,#N/A,TRUE,"DIRECCION";#N/A,#N/A,TRUE,"RESUMEN"}</definedName>
    <definedName name="ESTRUCTURAS">[68]Hoja3!$B$7:$B$15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'[69]Análisis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'[70]Itemes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[71]Tablas!$B:$B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'[72]7422CW00'!#REF!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[73]Hoja1!$A$33:$N$51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'[72]7422CW00'!#REF!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[74]BASE!$C$4:$H$255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Hidr.'!$E:$E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'[75]1'!$N$41</definedName>
    <definedName name="IMP">[25]otros!$C$3</definedName>
    <definedName name="IMPRESSION">#REF!</definedName>
    <definedName name="Imprevistos">'[28]Resumen Presupuesto'!$E$28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[76]TABLAS!$A:$A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Petróleo'!$D:$D</definedName>
    <definedName name="Inicio">[35]BASES!$E$26</definedName>
    <definedName name="INPU">#REF!</definedName>
    <definedName name="INPUT">'[3]7422CW00'!#REF!</definedName>
    <definedName name="INSU">[77]INSUMOS!$A:$E</definedName>
    <definedName name="Insumos_auxiliares">[78]Insumos!#REF!</definedName>
    <definedName name="Insumos_basicos">#REF!</definedName>
    <definedName name="Int">#REF!</definedName>
    <definedName name="InTap">[20]Interc.tapones!$E:$E</definedName>
    <definedName name="INTER">[68]Hoja3!$F$7:$F$9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[20]Interc.válv.!$E:$E</definedName>
    <definedName name="INV_11">'[79]PR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[74]BASE!$C$4:$H$255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[80]LISTADO!#REF!</definedName>
    <definedName name="LICITACION">#REF!</definedName>
    <definedName name="LINEA">[81]CONT_ADI!#REF!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[82]TOTALES!$D$7:$D$654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'[83]Informe Semanal 1'!#REF!</definedName>
    <definedName name="masor" hidden="1">{"via1",#N/A,TRUE,"general";"via2",#N/A,TRUE,"general";"via3",#N/A,TRUE,"general"}</definedName>
    <definedName name="MAT">#REF!</definedName>
    <definedName name="MATERIAL">'[84]TABLA MATERIALES'!$A$3:$D$654</definedName>
    <definedName name="materiales">[66]materiales!$A$7:$A$1317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'[85]CCP,LEYES,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[86]Tablas!$AO$6:$AO$7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Petróleo'!$G:$G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DATE(YEAR([87]!Loan_Start),MONTH([87]!Loan_Start)+Payment_Number,DAY([87]!Loan_Start))</definedName>
    <definedName name="obras11" hidden="1">#REF!</definedName>
    <definedName name="obras111">DATE(YEAR([88]!Loan_Start),MONTH([88]!Loan_Start)+Payment_Number,DAY([88]!Loan_Start))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[66]otros!$A$6:$A$1235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[55]Tablas!$A:$A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DATE(YEAR([88]!Loan_Start),MONTH([88]!Loan_Start)+Payment_Number,DAY([88]!Loan_Start))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'[72]7422CW00'!#REF!</definedName>
    <definedName name="pintura">'[72]7422CW00'!#REF!</definedName>
    <definedName name="pintyura">[89]STRSUMM0!#REF!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'[90]Hoja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[55]Tablas!$C:$C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'[83]Informe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[91]!absc</definedName>
    <definedName name="prueba1">[91]!absc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'[92]ORITO 02 '!$A$12</definedName>
    <definedName name="Pwf_actual">'[92]ORITO 02 '!$E$6</definedName>
    <definedName name="Pwf_i">[46]medelo!$A$66:$A$83</definedName>
    <definedName name="Pwf_min">'[92]ORITO 02 '!$E$8</definedName>
    <definedName name="Pwfd">#REF!</definedName>
    <definedName name="Q">#REF!</definedName>
    <definedName name="Q_actual">'[92]ORITO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'[92]ORITO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[93]RECURSOS!$A$8:$A$204</definedName>
    <definedName name="rege" hidden="1">{"TAB1",#N/A,TRUE,"GENERAL";"TAB2",#N/A,TRUE,"GENERAL";"TAB3",#N/A,TRUE,"GENERAL";"TAB4",#N/A,TRUE,"GENERAL";"TAB5",#N/A,TRUE,"GENERAL"}</definedName>
    <definedName name="REGIMEN_CONTRAT">[86]Tablas!$M$6:$M$8</definedName>
    <definedName name="REGIONAL">[86]Tablas!$I$6:$I$10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Petróleo'!$H:$H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[94]Ingenieria!#REF!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'[95]Form5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'[63]ASPECTOS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'[96]PxQ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[55]Tablas!$H:$H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[55]Tablas!$B:$B</definedName>
    <definedName name="TABLA">#REF!</definedName>
    <definedName name="tabla1">[97]Hoja3!$B$4:$F$28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[98]TARIFAS!$A$1:$F$52</definedName>
    <definedName name="TarifaSalud">[40]EMPRESA!$F$26</definedName>
    <definedName name="Tasa">#REF!</definedName>
    <definedName name="TASA_DE_CAMBIO">#REF!</definedName>
    <definedName name="Tasa1">'[99]Bases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[86]Tablas!$U$6:$U$15</definedName>
    <definedName name="TipoNeces">[86]Tablas!$Q$6:$Q$8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PRESUPUESTO!$1:$8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[100]desmonte!$E$48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[101]Tablas!$B$2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'[85]CCP,LEYES,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'[102]Lista APU'!$A$3:$D$479</definedName>
    <definedName name="UNITARIO">[103]Unitarios!$A$3:$D$13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'[75]1'!$N$42</definedName>
    <definedName name="Utilidad">'[28]Resumen Presupuesto'!$E$29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[104]CONTRATO!$E$9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[20]Varios.!$E:$E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'[72]7422CW00'!#REF!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[86]Tablas!$A$6:$A$26</definedName>
    <definedName name="VigenciaDolares">#REF!</definedName>
    <definedName name="VigenciaPesos">#REF!</definedName>
    <definedName name="VIGFUTURA">[86]Tablas!$J$6:$J$8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'[105]2004'!#REF!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[106]!absc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'[107]AISLAMIENTO CATEGORIAS II Y III'!$G:$I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2" i="2" l="1"/>
  <c r="F37" i="2" l="1"/>
  <c r="D37" i="2"/>
  <c r="K51" i="9"/>
  <c r="K50" i="9"/>
  <c r="L50" i="9"/>
  <c r="D50" i="9"/>
  <c r="D43" i="9"/>
  <c r="D42" i="9"/>
  <c r="K42" i="9" s="1"/>
  <c r="L42" i="9" s="1"/>
  <c r="D41" i="9"/>
  <c r="D29" i="9"/>
  <c r="K29" i="9" s="1"/>
  <c r="L29" i="9" s="1"/>
  <c r="D32" i="9"/>
  <c r="D18" i="9"/>
  <c r="D62" i="9" s="1"/>
  <c r="K62" i="9" s="1"/>
  <c r="K55" i="9"/>
  <c r="D58" i="9"/>
  <c r="K56" i="9"/>
  <c r="K30" i="9"/>
  <c r="L30" i="9" s="1"/>
  <c r="H36" i="9" s="1"/>
  <c r="K22" i="9"/>
  <c r="K21" i="9"/>
  <c r="K63" i="9"/>
  <c r="K61" i="9"/>
  <c r="K60" i="9"/>
  <c r="K44" i="9"/>
  <c r="L61" i="9"/>
  <c r="L60" i="9"/>
  <c r="L44" i="9"/>
  <c r="D54" i="9" l="1"/>
  <c r="K54" i="9" s="1"/>
  <c r="L54" i="9" s="1"/>
  <c r="D57" i="9" s="1"/>
  <c r="D20" i="9"/>
  <c r="H35" i="9"/>
  <c r="K35" i="9" s="1"/>
  <c r="L62" i="9"/>
  <c r="D39" i="2" s="1"/>
  <c r="K20" i="9" l="1"/>
  <c r="L20" i="9" s="1"/>
  <c r="D23" i="9"/>
  <c r="K23" i="9" s="1"/>
  <c r="K58" i="9"/>
  <c r="L58" i="9" l="1"/>
  <c r="D47" i="2" s="1"/>
  <c r="F39" i="2"/>
  <c r="K53" i="9"/>
  <c r="L53" i="9" s="1"/>
  <c r="K52" i="9"/>
  <c r="D51" i="9"/>
  <c r="K33" i="9"/>
  <c r="K26" i="9"/>
  <c r="K19" i="9"/>
  <c r="L19" i="9" s="1"/>
  <c r="L51" i="9" l="1"/>
  <c r="K67" i="9"/>
  <c r="L67" i="9" s="1"/>
  <c r="D46" i="2"/>
  <c r="F47" i="2"/>
  <c r="A25" i="2" l="1"/>
  <c r="A32" i="2" s="1"/>
  <c r="D57" i="2"/>
  <c r="F57" i="2" s="1"/>
  <c r="F60" i="2" s="1"/>
  <c r="D53" i="2"/>
  <c r="F53" i="2" s="1"/>
  <c r="K59" i="9"/>
  <c r="K57" i="9"/>
  <c r="L57" i="9" s="1"/>
  <c r="D40" i="2"/>
  <c r="K49" i="9"/>
  <c r="K48" i="9"/>
  <c r="K47" i="9"/>
  <c r="L47" i="9" s="1"/>
  <c r="D29" i="2" s="1"/>
  <c r="K46" i="9"/>
  <c r="L46" i="9" s="1"/>
  <c r="D28" i="2" s="1"/>
  <c r="K45" i="9"/>
  <c r="D26" i="2"/>
  <c r="K43" i="9"/>
  <c r="D33" i="2"/>
  <c r="K41" i="9"/>
  <c r="K32" i="9"/>
  <c r="L32" i="9" s="1"/>
  <c r="K31" i="9"/>
  <c r="D17" i="2"/>
  <c r="F17" i="2" s="1"/>
  <c r="K28" i="9"/>
  <c r="K27" i="9"/>
  <c r="K25" i="9"/>
  <c r="K24" i="9"/>
  <c r="D11" i="2"/>
  <c r="K18" i="9"/>
  <c r="L18" i="9" s="1"/>
  <c r="D10" i="2" s="1"/>
  <c r="L23" i="9" l="1"/>
  <c r="H34" i="9" s="1"/>
  <c r="K34" i="9" s="1"/>
  <c r="L43" i="9"/>
  <c r="D34" i="2" s="1"/>
  <c r="D36" i="2"/>
  <c r="L49" i="9"/>
  <c r="L26" i="9"/>
  <c r="D15" i="2" s="1"/>
  <c r="F15" i="2" s="1"/>
  <c r="L28" i="9"/>
  <c r="D16" i="2" s="1"/>
  <c r="F16" i="2" s="1"/>
  <c r="L45" i="9"/>
  <c r="D27" i="2" s="1"/>
  <c r="D52" i="2"/>
  <c r="L59" i="9"/>
  <c r="L31" i="9"/>
  <c r="D19" i="2" s="1"/>
  <c r="F19" i="2" s="1"/>
  <c r="L41" i="9"/>
  <c r="D22" i="2" s="1"/>
  <c r="F22" i="2" s="1"/>
  <c r="L48" i="9"/>
  <c r="D35" i="2" s="1"/>
  <c r="A45" i="2"/>
  <c r="B44" i="2"/>
  <c r="K36" i="9"/>
  <c r="L34" i="9" s="1"/>
  <c r="D18" i="2"/>
  <c r="F18" i="2" s="1"/>
  <c r="D13" i="2"/>
  <c r="F13" i="2" s="1"/>
  <c r="D14" i="2"/>
  <c r="F14" i="2" s="1"/>
  <c r="D20" i="2"/>
  <c r="F20" i="2" s="1"/>
  <c r="D38" i="2"/>
  <c r="D21" i="2" l="1"/>
  <c r="F21" i="2" s="1"/>
  <c r="A51" i="2"/>
  <c r="B49" i="2"/>
  <c r="F52" i="2"/>
  <c r="F55" i="2" s="1"/>
  <c r="A56" i="2" l="1"/>
  <c r="B60" i="2" s="1"/>
  <c r="B55" i="2"/>
  <c r="F11" i="2"/>
  <c r="G25" i="8"/>
  <c r="I25" i="8" s="1"/>
  <c r="G24" i="8"/>
  <c r="I24" i="8" s="1"/>
  <c r="G22" i="8"/>
  <c r="I22" i="8" s="1"/>
  <c r="E17" i="8"/>
  <c r="G17" i="8" s="1"/>
  <c r="I17" i="8" s="1"/>
  <c r="I18" i="8" s="1"/>
  <c r="E56" i="8"/>
  <c r="G56" i="8" s="1"/>
  <c r="D56" i="8"/>
  <c r="C56" i="8"/>
  <c r="E55" i="8"/>
  <c r="G55" i="8" s="1"/>
  <c r="D55" i="8"/>
  <c r="C55" i="8"/>
  <c r="G50" i="8"/>
  <c r="I50" i="8" s="1"/>
  <c r="D50" i="8"/>
  <c r="C50" i="8"/>
  <c r="G49" i="8"/>
  <c r="I49" i="8" s="1"/>
  <c r="D49" i="8"/>
  <c r="C49" i="8"/>
  <c r="G48" i="8"/>
  <c r="I48" i="8" s="1"/>
  <c r="D48" i="8"/>
  <c r="C48" i="8"/>
  <c r="G47" i="8"/>
  <c r="I47" i="8" s="1"/>
  <c r="D47" i="8"/>
  <c r="C47" i="8"/>
  <c r="G46" i="8"/>
  <c r="I46" i="8" s="1"/>
  <c r="D46" i="8"/>
  <c r="C46" i="8"/>
  <c r="G23" i="8" l="1"/>
  <c r="I23" i="8" s="1"/>
  <c r="I26" i="8" s="1"/>
  <c r="I32" i="8" s="1"/>
  <c r="I56" i="8"/>
  <c r="I55" i="8"/>
  <c r="I51" i="8"/>
  <c r="I57" i="8" l="1"/>
  <c r="G61" i="8" s="1"/>
  <c r="I61" i="8" s="1"/>
  <c r="I62" i="8" s="1"/>
  <c r="I68" i="8" s="1"/>
  <c r="F46" i="2" s="1"/>
  <c r="F49" i="2" s="1"/>
  <c r="F12" i="2"/>
  <c r="F43" i="2" l="1"/>
  <c r="F42" i="2"/>
  <c r="F41" i="2"/>
  <c r="F40" i="2"/>
  <c r="F38" i="2"/>
  <c r="B31" i="2"/>
  <c r="B24" i="2"/>
  <c r="F10" i="2" l="1"/>
  <c r="F24" i="2" s="1"/>
  <c r="F33" i="2"/>
  <c r="F30" i="2"/>
  <c r="F34" i="2"/>
  <c r="F29" i="2"/>
  <c r="F36" i="2"/>
  <c r="F26" i="2"/>
  <c r="F27" i="2" l="1"/>
  <c r="F28" i="2"/>
  <c r="F35" i="2"/>
  <c r="F44" i="2" s="1"/>
  <c r="F31" i="2" l="1"/>
  <c r="F61" i="2" s="1"/>
  <c r="F65" i="2" l="1"/>
  <c r="F64" i="2"/>
  <c r="F66" i="2"/>
  <c r="F67" i="2" l="1"/>
  <c r="F6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  <author>William Buitrago</author>
    <author>Admin</author>
    <author>USER</author>
    <author>Christian Quintero</author>
  </authors>
  <commentList>
    <comment ref="K24" authorId="0" shapeId="0" xr:uid="{9BE3C43F-892B-403A-A535-65921247BD84}">
      <text>
        <r>
          <rPr>
            <sz val="9"/>
            <color indexed="81"/>
            <rFont val="Tahoma"/>
            <family val="2"/>
          </rPr>
          <t xml:space="preserve">CÁMARAS
</t>
        </r>
      </text>
    </comment>
    <comment ref="K25" authorId="0" shapeId="0" xr:uid="{F37BD1C0-7793-4B5B-9507-E7C7EBF6178F}">
      <text>
        <r>
          <rPr>
            <sz val="9"/>
            <color indexed="81"/>
            <rFont val="Tahoma"/>
            <family val="2"/>
          </rPr>
          <t xml:space="preserve">ACOMETIDAS
</t>
        </r>
      </text>
    </comment>
    <comment ref="K26" authorId="0" shapeId="0" xr:uid="{C887D257-60C4-4A64-9313-C25425CCBC4B}">
      <text>
        <r>
          <rPr>
            <sz val="9"/>
            <color indexed="81"/>
            <rFont val="Tahoma"/>
            <family val="2"/>
          </rPr>
          <t>ACOMETIDAS</t>
        </r>
      </text>
    </comment>
    <comment ref="K27" authorId="0" shapeId="0" xr:uid="{2D66685A-9F9F-4020-B0E2-75EC415C8889}">
      <text>
        <r>
          <rPr>
            <sz val="9"/>
            <color indexed="81"/>
            <rFont val="Tahoma"/>
            <family val="2"/>
          </rPr>
          <t xml:space="preserve">CAJAS DOMICILIARIAS
</t>
        </r>
      </text>
    </comment>
    <comment ref="G29" authorId="1" shapeId="0" xr:uid="{5C05F926-48F3-4CFD-8195-01072B50EDB1}">
      <text>
        <r>
          <rPr>
            <sz val="9"/>
            <color indexed="81"/>
            <rFont val="Tahoma"/>
            <family val="2"/>
          </rPr>
          <t>Promedio de profundidad</t>
        </r>
        <r>
          <rPr>
            <sz val="9"/>
            <color indexed="81"/>
            <rFont val="Tahoma"/>
            <charset val="1"/>
          </rPr>
          <t xml:space="preserve">
de la red principal:
Cámara inicial: 1,30
Cámara final: 1,55
Total: 1,43
</t>
        </r>
      </text>
    </comment>
    <comment ref="G30" authorId="2" shapeId="0" xr:uid="{D5C3C4AD-84F8-4AC3-BB2D-42087FBCAC29}">
      <text>
        <r>
          <rPr>
            <sz val="9"/>
            <color indexed="81"/>
            <rFont val="Tahoma"/>
            <family val="2"/>
          </rPr>
          <t>Promedio de profundidad de acometida domiciliaria</t>
        </r>
      </text>
    </comment>
    <comment ref="K43" authorId="2" shapeId="0" xr:uid="{13801659-FBEC-419C-8CC5-F88FE93335A8}">
      <text>
        <r>
          <rPr>
            <sz val="9"/>
            <color indexed="81"/>
            <rFont val="Tahoma"/>
            <family val="2"/>
          </rPr>
          <t xml:space="preserve">Tubería Red Cámara # 1 a Cámara # 3
</t>
        </r>
      </text>
    </comment>
    <comment ref="K44" authorId="3" shapeId="0" xr:uid="{C2F80C7D-F4B9-49E9-8506-59C79782B28A}">
      <text>
        <r>
          <rPr>
            <sz val="9"/>
            <color indexed="81"/>
            <rFont val="Tahoma"/>
            <family val="2"/>
          </rPr>
          <t xml:space="preserve">Acometidas Domiciliarias
</t>
        </r>
      </text>
    </comment>
    <comment ref="H51" authorId="1" shapeId="0" xr:uid="{7EEF6FD7-2E99-4155-BC50-96C1102BDC38}">
      <text>
        <r>
          <rPr>
            <sz val="9"/>
            <color indexed="81"/>
            <rFont val="Tahoma"/>
            <family val="2"/>
          </rPr>
          <t xml:space="preserve">Volúmen del tubo de 10"
</t>
        </r>
      </text>
    </comment>
    <comment ref="G52" authorId="1" shapeId="0" xr:uid="{24945469-86EF-47F4-8C20-CBBEDD4EECCE}">
      <text>
        <r>
          <rPr>
            <sz val="9"/>
            <color indexed="81"/>
            <rFont val="Tahoma"/>
            <family val="2"/>
          </rPr>
          <t xml:space="preserve">Volúmen de tubo de 6" por cada acometida domiciliaria
</t>
        </r>
      </text>
    </comment>
    <comment ref="I53" authorId="3" shapeId="0" xr:uid="{2D59B45B-4F7F-4060-B0B6-4ED98EAC7C0F}">
      <text>
        <r>
          <rPr>
            <sz val="9"/>
            <color indexed="81"/>
            <rFont val="Tahoma"/>
            <family val="2"/>
          </rPr>
          <t xml:space="preserve">Peso de varilla de 1/2"
</t>
        </r>
      </text>
    </comment>
    <comment ref="K55" authorId="4" shapeId="0" xr:uid="{7C2D53F0-CDB8-42DB-B419-9D34D531E44B}">
      <text>
        <r>
          <rPr>
            <b/>
            <sz val="9"/>
            <color indexed="81"/>
            <rFont val="Tahoma"/>
            <charset val="1"/>
          </rPr>
          <t>Christian Quintero:</t>
        </r>
        <r>
          <rPr>
            <sz val="9"/>
            <color indexed="81"/>
            <rFont val="Tahoma"/>
            <charset val="1"/>
          </rPr>
          <t xml:space="preserve">
reparaciones a losas afectadas </t>
        </r>
      </text>
    </comment>
    <comment ref="D57" authorId="2" shapeId="0" xr:uid="{EDE59B86-CCBF-4B09-A026-F9BBB1303CD1}">
      <text>
        <r>
          <rPr>
            <sz val="9"/>
            <color indexed="81"/>
            <rFont val="Tahoma"/>
            <family val="2"/>
          </rPr>
          <t xml:space="preserve">Volúmen de cantidad de pavimento
</t>
        </r>
      </text>
    </comment>
    <comment ref="H57" authorId="2" shapeId="0" xr:uid="{53554E14-83A6-4AD9-B581-9D6E269BA167}">
      <text>
        <r>
          <rPr>
            <sz val="9"/>
            <color indexed="81"/>
            <rFont val="Tahoma"/>
            <family val="2"/>
          </rPr>
          <t xml:space="preserve">Cantidad de kilos de cemento por volúmen de pavimento de 3500 PSI
</t>
        </r>
      </text>
    </comment>
    <comment ref="I57" authorId="2" shapeId="0" xr:uid="{687BC9BF-DA95-4A69-BBBC-A847C011F00D}">
      <text>
        <r>
          <rPr>
            <sz val="9"/>
            <color indexed="81"/>
            <rFont val="Tahoma"/>
            <family val="2"/>
          </rPr>
          <t xml:space="preserve">1,5% del peso de la cantidad de cemento
</t>
        </r>
      </text>
    </comment>
  </commentList>
</comments>
</file>

<file path=xl/sharedStrings.xml><?xml version="1.0" encoding="utf-8"?>
<sst xmlns="http://schemas.openxmlformats.org/spreadsheetml/2006/main" count="475" uniqueCount="229">
  <si>
    <t>REPUBLICA DE COLOMBIA</t>
  </si>
  <si>
    <t>MUNICIPIO DE ZARZAL</t>
  </si>
  <si>
    <t>PRESUPUESTO DE OBRA</t>
  </si>
  <si>
    <t>DESCRIPCION  Y  ESPECIFICACION</t>
  </si>
  <si>
    <t>UND</t>
  </si>
  <si>
    <t>CANT</t>
  </si>
  <si>
    <t>VALOR UNITARIO</t>
  </si>
  <si>
    <t>COSTO TOTAL</t>
  </si>
  <si>
    <t>Administración</t>
  </si>
  <si>
    <t>Utilidad</t>
  </si>
  <si>
    <t>Imprevistos</t>
  </si>
  <si>
    <t>SUB TOTAL COSTO INDIRECTO OBRA</t>
  </si>
  <si>
    <t>VALOR TOTAL OBRA</t>
  </si>
  <si>
    <t>DEPARTAMENTO VALLE DEL CAUCA</t>
  </si>
  <si>
    <t>PRELIMINARES</t>
  </si>
  <si>
    <t>M2</t>
  </si>
  <si>
    <t>LONGITUD</t>
  </si>
  <si>
    <t xml:space="preserve">SUB TOTAL COSTO DIRECTO DE OBRA:    </t>
  </si>
  <si>
    <t>TOTAL COSTO DIRECTO DE OBRA</t>
  </si>
  <si>
    <t>CÓDIGO</t>
  </si>
  <si>
    <t>CANTIDAD</t>
  </si>
  <si>
    <t>M3</t>
  </si>
  <si>
    <t>SUBTOTAL</t>
  </si>
  <si>
    <t>M</t>
  </si>
  <si>
    <t>TOTAL</t>
  </si>
  <si>
    <t>ITEM (CODIGO)</t>
  </si>
  <si>
    <t>010106</t>
  </si>
  <si>
    <t>330127</t>
  </si>
  <si>
    <t>100601</t>
  </si>
  <si>
    <t>010110</t>
  </si>
  <si>
    <t>010108</t>
  </si>
  <si>
    <t>020403</t>
  </si>
  <si>
    <t>100620</t>
  </si>
  <si>
    <t>100608</t>
  </si>
  <si>
    <t>LOCALIZACION-REPLANTEO ACUEDUCTO-ALCANTA</t>
  </si>
  <si>
    <t>CORTADORA DE PAVIMENTO DE 4 A 7 CM</t>
  </si>
  <si>
    <t>MANEJO DE AGUAS RESIDUALES</t>
  </si>
  <si>
    <t>CAMARA INSPECCION TIPO B H=0.00-1.50 MTS</t>
  </si>
  <si>
    <t>RELLENO ROCAMUERTA COMPACT-SALTARIN</t>
  </si>
  <si>
    <t>SECRETARIA DE INFRAESTRUCTURA</t>
  </si>
  <si>
    <t>Y MANTENIMIENTO VIAL</t>
  </si>
  <si>
    <t>MEMORIAS DE CALCULO</t>
  </si>
  <si>
    <t>DEPARTAMENTO DEL VALLE DEL CAUCA</t>
  </si>
  <si>
    <t>891900624-0</t>
  </si>
  <si>
    <t xml:space="preserve">OBJETO:  </t>
  </si>
  <si>
    <t>DESCRIPCION</t>
  </si>
  <si>
    <t>UN.</t>
  </si>
  <si>
    <t>ANCHO</t>
  </si>
  <si>
    <t xml:space="preserve">ALTURA </t>
  </si>
  <si>
    <t>PROFUND</t>
  </si>
  <si>
    <t>MULTIP</t>
  </si>
  <si>
    <t>DIVIDIDO</t>
  </si>
  <si>
    <t>020705</t>
  </si>
  <si>
    <t>110631</t>
  </si>
  <si>
    <t>CODO 45° X 160MM. NOVAFORT</t>
  </si>
  <si>
    <t>082013</t>
  </si>
  <si>
    <t>DEMOLICIÓN DE PISOS Y ANDENES DE CONCRETO</t>
  </si>
  <si>
    <t xml:space="preserve">OBRAS DE DOMICILIARIAS </t>
  </si>
  <si>
    <t xml:space="preserve">OBRAS DE ALCANTARILLADO </t>
  </si>
  <si>
    <t>200132</t>
  </si>
  <si>
    <t>CERRAMIENTO TELA FIB.TEJIDA H=2.10M-SINB</t>
  </si>
  <si>
    <t>ANALISIS DE PRECIOS UNITARIOS</t>
  </si>
  <si>
    <t>PRESUPUESTO</t>
  </si>
  <si>
    <t>CONTRATANTE</t>
  </si>
  <si>
    <t>EMPRESA</t>
  </si>
  <si>
    <t>Código</t>
  </si>
  <si>
    <t>Descripción</t>
  </si>
  <si>
    <t>Unidad</t>
  </si>
  <si>
    <t>DIA</t>
  </si>
  <si>
    <t>Materiales</t>
  </si>
  <si>
    <t>DESCRIPCIÓN</t>
  </si>
  <si>
    <t>UNIDAD</t>
  </si>
  <si>
    <t>% DESPERD.</t>
  </si>
  <si>
    <t>PRECIO UNIT.</t>
  </si>
  <si>
    <t>VALOR TOTAL</t>
  </si>
  <si>
    <t>Total Materiales</t>
  </si>
  <si>
    <t>Mano de Obra</t>
  </si>
  <si>
    <t>JORNAL</t>
  </si>
  <si>
    <t>PRESTAC.</t>
  </si>
  <si>
    <t>JORNAL TOT.</t>
  </si>
  <si>
    <t>REND. / CANT.</t>
  </si>
  <si>
    <t>Total Mano de Obra</t>
  </si>
  <si>
    <t>Equipo</t>
  </si>
  <si>
    <t>TARIFA</t>
  </si>
  <si>
    <t>HERRAMIENTA MENOR</t>
  </si>
  <si>
    <t>%</t>
  </si>
  <si>
    <t>Total Equipo</t>
  </si>
  <si>
    <t>Transporte</t>
  </si>
  <si>
    <t>DISTANCIA</t>
  </si>
  <si>
    <t>(1)*(2)</t>
  </si>
  <si>
    <t>Total Transporte</t>
  </si>
  <si>
    <t>COSTO DIRECTO</t>
  </si>
  <si>
    <t>020406</t>
  </si>
  <si>
    <t>RECONSTRUCCION LOSA SUPERIOR-TAPA CAMARA</t>
  </si>
  <si>
    <t>ME0105</t>
  </si>
  <si>
    <t>100806</t>
  </si>
  <si>
    <t>101012</t>
  </si>
  <si>
    <t>101015</t>
  </si>
  <si>
    <t>101717</t>
  </si>
  <si>
    <t>200006</t>
  </si>
  <si>
    <t>200009</t>
  </si>
  <si>
    <t>300026</t>
  </si>
  <si>
    <t xml:space="preserve">APU - 1 </t>
  </si>
  <si>
    <t xml:space="preserve">COMISION TOPOGRAFICA (VERIFICACION EXCAVACIONES, NIVELES, LEVANTAMIENTO PARA PLANO RECORD (AS BUILT)) </t>
  </si>
  <si>
    <t>990154</t>
  </si>
  <si>
    <t>COMISION TOPOGRAFIA</t>
  </si>
  <si>
    <t>200027</t>
  </si>
  <si>
    <t>M.O. TOPOGRAFIA 1 CADENERO + 1 TOPOG.</t>
  </si>
  <si>
    <t>340012</t>
  </si>
  <si>
    <t>CAMIONETA DE ESTACAS 4X4</t>
  </si>
  <si>
    <t>H</t>
  </si>
  <si>
    <t>MQ990118</t>
  </si>
  <si>
    <t>ESTACION TOTAL CON PRECISION ANGULAR DE 6". PRECISION LINEAL 2 MM ± 2 PM</t>
  </si>
  <si>
    <t>MQ990119</t>
  </si>
  <si>
    <t>ACCESORIOS EQUIPOS DE TOPOGRAFIA (MIRA - PRISMA - TRIPODE - SOMBRILLA</t>
  </si>
  <si>
    <t xml:space="preserve">LIMPIEZA </t>
  </si>
  <si>
    <t>LIMPIEZA LAVADO SUPERFICIE - EQ. PRESION</t>
  </si>
  <si>
    <t>REPOSICIÓN DE ALCANTARILLADO DE AGUAS RESIDUALES DE LA CALLE 10A ENTRE CARRERAS 14C Y 15A BARRIO EL VERGEL DEL MUNICIPIO DE ZARZAL - VALLE</t>
  </si>
  <si>
    <t>FECHA:  JUNIO 2026</t>
  </si>
  <si>
    <t>LOCALIZACIÓN- REPLANTEO ACUEDUCTO-ALCANTARILLADO</t>
  </si>
  <si>
    <t>100124</t>
  </si>
  <si>
    <t>CERRAMIENTO TELA FIB. TEJIDA H=2.10M-SINB</t>
  </si>
  <si>
    <t>082011</t>
  </si>
  <si>
    <t>DEMOL. DE PAVIMENTOS RÍGIDOS HASTA 20CM DE ESPESOR</t>
  </si>
  <si>
    <t>010103</t>
  </si>
  <si>
    <t>DEMOLICIÓN CAMARA DE CONCRETO</t>
  </si>
  <si>
    <t>010205</t>
  </si>
  <si>
    <t>EXCAVACIÓN A MÁQUINA ALCANTARILLADO Y ACUEDUCTO</t>
  </si>
  <si>
    <t>EXCAVACIÓN TIERRA A MANO</t>
  </si>
  <si>
    <t>100410</t>
  </si>
  <si>
    <t>DEMOLICIÓN CAJA INSPECCION</t>
  </si>
  <si>
    <t>RETIRO TUBERÍA EXISTENTE 0" A 12"</t>
  </si>
  <si>
    <t xml:space="preserve">CARGUE Y RETIRO DE SOBRANTES MÁQUINA &lt;=10 KM </t>
  </si>
  <si>
    <t>EJECUTORIAS</t>
  </si>
  <si>
    <t>110901</t>
  </si>
  <si>
    <t>COLCHON ARENA-GRAVA TUBER.INCLUYE ACARRE</t>
  </si>
  <si>
    <t>020707</t>
  </si>
  <si>
    <t>TUB PVC NOVAFORT 10"</t>
  </si>
  <si>
    <t>TUB PVC NOVAFORT 6"</t>
  </si>
  <si>
    <t>110652</t>
  </si>
  <si>
    <t>SILLA YEE NOVAFORT DIAMETRO DE 6" A 10"</t>
  </si>
  <si>
    <t>CAJA INSPECCION 80x 80 CM [CONCRETO]</t>
  </si>
  <si>
    <t>020404</t>
  </si>
  <si>
    <t>CAMARA INSPECCION TIPO B H=1.50-2.00 MTS</t>
  </si>
  <si>
    <t>120101</t>
  </si>
  <si>
    <t>ACERO REFUERZO FLEJADO 60000 PSI 420Mpa</t>
  </si>
  <si>
    <t>KLS</t>
  </si>
  <si>
    <t>010303</t>
  </si>
  <si>
    <t>PAV.CONCR.MR=38 MEZCLA IN SITU E=0.15,INC. JUNTA -BAKE</t>
  </si>
  <si>
    <t>320308</t>
  </si>
  <si>
    <t>ADITIVO ACELERANTE DE FRAGUADO</t>
  </si>
  <si>
    <t>ANDEN CONCRETO 10CM 3000 PSI</t>
  </si>
  <si>
    <t>200219</t>
  </si>
  <si>
    <t>CERAMICA 20.01-22.50 X 20.01-22.50 TRAF</t>
  </si>
  <si>
    <t>310105</t>
  </si>
  <si>
    <t>LIMPIEZA GENERAL</t>
  </si>
  <si>
    <t>DEMOL.CAMARA DE CONCRETO</t>
  </si>
  <si>
    <t>EXCAVACIÓN MÁQUINA ALCANTARILLADO Y ACUEDUCTO</t>
  </si>
  <si>
    <t>DEMOL.CAJA INSPECCION</t>
  </si>
  <si>
    <t>CODO 45X160MM NOVAFORT</t>
  </si>
  <si>
    <t>REPOSICION PAVIMENTO RIGIDO VIAL</t>
  </si>
  <si>
    <t xml:space="preserve">ANDEN  </t>
  </si>
  <si>
    <t>MOTOBOMBA DE 2" (ALQUILER)</t>
  </si>
  <si>
    <t>330114</t>
  </si>
  <si>
    <t>Código:</t>
  </si>
  <si>
    <t>Unidad:</t>
  </si>
  <si>
    <t>DÃA</t>
  </si>
  <si>
    <t>EQUIPOS</t>
  </si>
  <si>
    <t>CANTIDAD.</t>
  </si>
  <si>
    <t>MOTOBOMBA DE 2"</t>
  </si>
  <si>
    <t>8,00</t>
  </si>
  <si>
    <t>37.793,00</t>
  </si>
  <si>
    <t>302.344,00</t>
  </si>
  <si>
    <t>$ 302.344,00</t>
  </si>
  <si>
    <t>PLANTA ELECTRICA 7000 RPM (ALQUILER)</t>
  </si>
  <si>
    <t>330132</t>
  </si>
  <si>
    <t>Dia</t>
  </si>
  <si>
    <t>PLANTA ELECTRICA 7OOO RPM</t>
  </si>
  <si>
    <t>1,00</t>
  </si>
  <si>
    <t>99.509,00</t>
  </si>
  <si>
    <t>$ 99.509,00</t>
  </si>
  <si>
    <t>SUMINISTRO DE ANTISOL BLANCO</t>
  </si>
  <si>
    <t>320401</t>
  </si>
  <si>
    <t>Kg</t>
  </si>
  <si>
    <t xml:space="preserve"> </t>
  </si>
  <si>
    <t>SUB-BASE GRANULAR CLASE B (Analizada para tipo de gradacion SGB-50, clase B)</t>
  </si>
  <si>
    <t>083203</t>
  </si>
  <si>
    <t>083301</t>
  </si>
  <si>
    <t>085002</t>
  </si>
  <si>
    <t>PAVIMENTO DE CONCRETO HIDRÁULICO PREMEZCLADO, NO INCLUYE ACERO NI BARRAS DE TRANSFERENCIA (ANALIZADO PARA UN TRÁNSITO NT2)</t>
  </si>
  <si>
    <t>CALCULÓ:  Walter Andres Quintero</t>
  </si>
  <si>
    <t xml:space="preserve">se le agrego expansión 40% escombros - 20% material subbas/tierra </t>
  </si>
  <si>
    <t>RELLENO MATERIAL SITIO COMPACTADO-RANA</t>
  </si>
  <si>
    <t>100618</t>
  </si>
  <si>
    <t>MATERIALES</t>
  </si>
  <si>
    <t>DESPER. %</t>
  </si>
  <si>
    <t>ACEITE MOTOR 4 TIEMPOS</t>
  </si>
  <si>
    <t>GLN</t>
  </si>
  <si>
    <t>0,015</t>
  </si>
  <si>
    <t>0,00</t>
  </si>
  <si>
    <t>123.272,00</t>
  </si>
  <si>
    <t>1.849,08</t>
  </si>
  <si>
    <t>AGUA</t>
  </si>
  <si>
    <t>LT</t>
  </si>
  <si>
    <t>7,00</t>
  </si>
  <si>
    <t>78,00</t>
  </si>
  <si>
    <t>546,00</t>
  </si>
  <si>
    <t>GASOLINA CORRIENTE</t>
  </si>
  <si>
    <t>0,05</t>
  </si>
  <si>
    <t>17.613,00</t>
  </si>
  <si>
    <t>880,65</t>
  </si>
  <si>
    <t>3.275,73</t>
  </si>
  <si>
    <t>MANO DE OBRA</t>
  </si>
  <si>
    <t>JORNAL TOTAL</t>
  </si>
  <si>
    <t>REND/CANT</t>
  </si>
  <si>
    <t>M.O. 2 AYUDANTES</t>
  </si>
  <si>
    <t>284.356,00</t>
  </si>
  <si>
    <t>1,80</t>
  </si>
  <si>
    <t>8,88</t>
  </si>
  <si>
    <t>32.022,07</t>
  </si>
  <si>
    <t>GLB</t>
  </si>
  <si>
    <t>320,22</t>
  </si>
  <si>
    <t>COMPACTADOR MANUAL VIBRATORIO (RANA) CON MOTOR DE 6 HP</t>
  </si>
  <si>
    <t>0,80</t>
  </si>
  <si>
    <t>6.437,00</t>
  </si>
  <si>
    <t>5.149,60</t>
  </si>
  <si>
    <t>5.469,82</t>
  </si>
  <si>
    <t>$ 40.768,00</t>
  </si>
  <si>
    <t>REPOSICIÓN DE ALCANTARILLADO DE AGUAS RESIDUALES DE LA CALLE 10A ENTRE CARRERAS 14C Y 15A BARRIO EL GUAMAL DEL MUNICIPIO DE ZARZAL - 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</si>
</sst>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_-&quot;$&quot;\ * #,##0.00_-;\-&quot;$&quot;\ * #,##0.00_-;_-&quot;$&quot;\ * &quot;-&quot;_-;_-@_-"/>
    <numFmt numFmtId="168" formatCode="_-* #,##0.00\ &quot;€&quot;_-;\-* #,##0.00\ &quot;€&quot;_-;_-* &quot;-&quot;??\ &quot;€&quot;_-;_-@_-"/>
    <numFmt numFmtId="169" formatCode="_ * #,##0_ ;_ * \-#,##0_ ;_ * &quot;-&quot;??_ ;_ @_ "/>
    <numFmt numFmtId="170" formatCode="&quot;$&quot;#,##0.00_-"/>
    <numFmt numFmtId="171" formatCode="#,##0.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14"/>
      <name val="Calibri"/>
    </font>
    <font>
      <b/>
      <sz val="11"/>
      <name val="Calibri"/>
    </font>
    <font>
      <b/>
      <sz val="12"/>
      <name val="Calibri"/>
    </font>
    <font>
      <b/>
      <sz val="14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9"/>
      <color indexed="81"/>
      <name val="Tahoma"/>
      <charset val="1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212529"/>
      <name val="Arial"/>
      <family val="2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DDDD"/>
        <bgColor rgb="FFDDDDDD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6">
    <xf numFmtId="0" fontId="0" fillId="0" borderId="0"/>
    <xf numFmtId="0" fontId="1" fillId="0" borderId="0"/>
    <xf numFmtId="42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" fillId="0" borderId="0"/>
    <xf numFmtId="16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96">
    <xf numFmtId="0" fontId="0" fillId="0" borderId="0" xfId="0"/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167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/>
    </xf>
    <xf numFmtId="1" fontId="4" fillId="0" borderId="0" xfId="1" applyNumberFormat="1" applyFont="1" applyAlignment="1">
      <alignment vertical="center"/>
    </xf>
    <xf numFmtId="0" fontId="4" fillId="7" borderId="0" xfId="1" applyFont="1" applyFill="1" applyAlignment="1">
      <alignment vertical="center"/>
    </xf>
    <xf numFmtId="0" fontId="4" fillId="7" borderId="0" xfId="1" applyFont="1" applyFill="1" applyAlignment="1">
      <alignment horizontal="center" vertical="center"/>
    </xf>
    <xf numFmtId="44" fontId="4" fillId="7" borderId="0" xfId="1" applyNumberFormat="1" applyFont="1" applyFill="1" applyAlignment="1">
      <alignment vertical="center"/>
    </xf>
    <xf numFmtId="4" fontId="4" fillId="7" borderId="0" xfId="1" applyNumberFormat="1" applyFont="1" applyFill="1" applyAlignment="1">
      <alignment vertical="center"/>
    </xf>
    <xf numFmtId="44" fontId="7" fillId="7" borderId="0" xfId="1" applyNumberFormat="1" applyFont="1" applyFill="1" applyAlignment="1">
      <alignment vertical="center"/>
    </xf>
    <xf numFmtId="0" fontId="10" fillId="0" borderId="0" xfId="3" applyFont="1" applyAlignment="1">
      <alignment horizontal="center" vertical="center"/>
    </xf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center"/>
    </xf>
    <xf numFmtId="0" fontId="12" fillId="0" borderId="0" xfId="3" applyFont="1" applyAlignment="1">
      <alignment horizontal="right"/>
    </xf>
    <xf numFmtId="4" fontId="11" fillId="0" borderId="0" xfId="3" applyNumberFormat="1" applyFont="1" applyAlignment="1">
      <alignment horizontal="center" vertical="center"/>
    </xf>
    <xf numFmtId="2" fontId="4" fillId="0" borderId="0" xfId="1" applyNumberFormat="1" applyFont="1" applyAlignment="1">
      <alignment vertical="center"/>
    </xf>
    <xf numFmtId="0" fontId="14" fillId="0" borderId="0" xfId="0" applyFont="1"/>
    <xf numFmtId="2" fontId="8" fillId="7" borderId="0" xfId="3" applyNumberFormat="1" applyFont="1" applyFill="1"/>
    <xf numFmtId="2" fontId="8" fillId="0" borderId="0" xfId="3" applyNumberFormat="1" applyFont="1"/>
    <xf numFmtId="0" fontId="16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4" xfId="0" applyBorder="1"/>
    <xf numFmtId="0" fontId="16" fillId="8" borderId="23" xfId="0" applyFont="1" applyFill="1" applyBorder="1" applyAlignment="1">
      <alignment horizontal="center" vertical="center"/>
    </xf>
    <xf numFmtId="0" fontId="16" fillId="8" borderId="24" xfId="0" applyFont="1" applyFill="1" applyBorder="1" applyAlignment="1">
      <alignment horizontal="center" vertical="center"/>
    </xf>
    <xf numFmtId="0" fontId="0" fillId="8" borderId="24" xfId="0" applyFill="1" applyBorder="1"/>
    <xf numFmtId="0" fontId="16" fillId="8" borderId="25" xfId="0" applyFont="1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170" fontId="0" fillId="0" borderId="24" xfId="0" applyNumberFormat="1" applyBorder="1"/>
    <xf numFmtId="170" fontId="0" fillId="0" borderId="25" xfId="0" applyNumberFormat="1" applyBorder="1"/>
    <xf numFmtId="170" fontId="16" fillId="0" borderId="5" xfId="0" applyNumberFormat="1" applyFont="1" applyBorder="1"/>
    <xf numFmtId="170" fontId="17" fillId="0" borderId="25" xfId="0" applyNumberFormat="1" applyFont="1" applyBorder="1"/>
    <xf numFmtId="0" fontId="0" fillId="0" borderId="29" xfId="0" applyBorder="1"/>
    <xf numFmtId="0" fontId="0" fillId="0" borderId="36" xfId="0" applyBorder="1"/>
    <xf numFmtId="0" fontId="0" fillId="0" borderId="30" xfId="0" applyBorder="1"/>
    <xf numFmtId="0" fontId="19" fillId="0" borderId="4" xfId="0" applyFont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center" vertical="center"/>
    </xf>
    <xf numFmtId="170" fontId="19" fillId="0" borderId="5" xfId="0" applyNumberFormat="1" applyFont="1" applyBorder="1"/>
    <xf numFmtId="170" fontId="20" fillId="0" borderId="20" xfId="0" applyNumberFormat="1" applyFont="1" applyBorder="1"/>
    <xf numFmtId="0" fontId="6" fillId="7" borderId="0" xfId="1" applyFont="1" applyFill="1" applyAlignment="1">
      <alignment vertical="center"/>
    </xf>
    <xf numFmtId="0" fontId="6" fillId="7" borderId="0" xfId="1" applyFont="1" applyFill="1" applyAlignment="1">
      <alignment horizontal="center" vertical="center"/>
    </xf>
    <xf numFmtId="0" fontId="12" fillId="0" borderId="0" xfId="3" applyFont="1" applyAlignment="1">
      <alignment vertical="top" wrapText="1"/>
    </xf>
    <xf numFmtId="0" fontId="12" fillId="0" borderId="0" xfId="0" applyFont="1" applyAlignment="1" applyProtection="1">
      <alignment vertical="center" wrapText="1"/>
      <protection locked="0"/>
    </xf>
    <xf numFmtId="0" fontId="14" fillId="0" borderId="0" xfId="3" applyFont="1" applyAlignment="1">
      <alignment horizontal="center" vertical="top" wrapText="1"/>
    </xf>
    <xf numFmtId="0" fontId="14" fillId="0" borderId="0" xfId="3" applyFont="1" applyAlignment="1">
      <alignment horizontal="left" vertical="top" wrapText="1"/>
    </xf>
    <xf numFmtId="0" fontId="14" fillId="0" borderId="0" xfId="3" applyFont="1" applyAlignment="1">
      <alignment horizontal="right" vertical="top" wrapText="1"/>
    </xf>
    <xf numFmtId="4" fontId="14" fillId="0" borderId="0" xfId="3" applyNumberFormat="1" applyFont="1" applyAlignment="1">
      <alignment horizontal="left" vertical="top" wrapText="1"/>
    </xf>
    <xf numFmtId="49" fontId="14" fillId="0" borderId="0" xfId="3" applyNumberFormat="1" applyFont="1" applyAlignment="1">
      <alignment horizontal="center" vertical="center"/>
    </xf>
    <xf numFmtId="0" fontId="14" fillId="0" borderId="0" xfId="3" applyFont="1" applyAlignment="1">
      <alignment vertical="center"/>
    </xf>
    <xf numFmtId="0" fontId="14" fillId="0" borderId="0" xfId="3" applyFont="1" applyAlignment="1">
      <alignment horizontal="center" vertical="center"/>
    </xf>
    <xf numFmtId="171" fontId="14" fillId="0" borderId="0" xfId="3" applyNumberFormat="1" applyFont="1" applyAlignment="1">
      <alignment horizontal="center" vertical="center"/>
    </xf>
    <xf numFmtId="4" fontId="14" fillId="0" borderId="0" xfId="3" applyNumberFormat="1" applyFont="1" applyAlignment="1">
      <alignment horizontal="center" vertical="center"/>
    </xf>
    <xf numFmtId="4" fontId="11" fillId="10" borderId="24" xfId="3" applyNumberFormat="1" applyFont="1" applyFill="1" applyBorder="1" applyAlignment="1">
      <alignment horizontal="center" vertical="center"/>
    </xf>
    <xf numFmtId="0" fontId="11" fillId="10" borderId="24" xfId="3" applyFont="1" applyFill="1" applyBorder="1" applyAlignment="1">
      <alignment horizontal="center" vertical="center"/>
    </xf>
    <xf numFmtId="3" fontId="11" fillId="10" borderId="24" xfId="3" applyNumberFormat="1" applyFont="1" applyFill="1" applyBorder="1" applyAlignment="1">
      <alignment horizontal="center" vertical="center"/>
    </xf>
    <xf numFmtId="49" fontId="14" fillId="0" borderId="24" xfId="3" applyNumberFormat="1" applyFont="1" applyBorder="1" applyAlignment="1">
      <alignment horizontal="center" vertical="center"/>
    </xf>
    <xf numFmtId="0" fontId="14" fillId="0" borderId="40" xfId="3" applyFont="1" applyBorder="1" applyAlignment="1">
      <alignment horizontal="left" vertical="center"/>
    </xf>
    <xf numFmtId="0" fontId="14" fillId="0" borderId="24" xfId="3" applyFont="1" applyBorder="1" applyAlignment="1">
      <alignment horizontal="center" vertical="center"/>
    </xf>
    <xf numFmtId="4" fontId="14" fillId="0" borderId="24" xfId="3" applyNumberFormat="1" applyFont="1" applyBorder="1" applyAlignment="1">
      <alignment horizontal="center" vertical="center"/>
    </xf>
    <xf numFmtId="0" fontId="14" fillId="0" borderId="24" xfId="3" applyFont="1" applyBorder="1" applyAlignment="1">
      <alignment horizontal="left" vertical="center"/>
    </xf>
    <xf numFmtId="4" fontId="14" fillId="0" borderId="40" xfId="3" applyNumberFormat="1" applyFont="1" applyBorder="1" applyAlignment="1">
      <alignment horizontal="center" vertical="center"/>
    </xf>
    <xf numFmtId="49" fontId="14" fillId="0" borderId="40" xfId="3" applyNumberFormat="1" applyFont="1" applyBorder="1" applyAlignment="1">
      <alignment horizontal="center" vertical="center"/>
    </xf>
    <xf numFmtId="0" fontId="14" fillId="0" borderId="40" xfId="3" applyFont="1" applyBorder="1" applyAlignment="1">
      <alignment horizontal="center" vertical="center"/>
    </xf>
    <xf numFmtId="49" fontId="14" fillId="0" borderId="37" xfId="3" applyNumberFormat="1" applyFont="1" applyBorder="1" applyAlignment="1">
      <alignment horizontal="center" vertical="center"/>
    </xf>
    <xf numFmtId="0" fontId="14" fillId="0" borderId="37" xfId="3" applyFont="1" applyBorder="1" applyAlignment="1">
      <alignment horizontal="left" vertical="center"/>
    </xf>
    <xf numFmtId="0" fontId="14" fillId="0" borderId="37" xfId="3" applyFont="1" applyBorder="1" applyAlignment="1">
      <alignment horizontal="center" vertical="center"/>
    </xf>
    <xf numFmtId="4" fontId="14" fillId="0" borderId="37" xfId="3" applyNumberFormat="1" applyFont="1" applyBorder="1" applyAlignment="1">
      <alignment horizontal="center" vertical="center"/>
    </xf>
    <xf numFmtId="0" fontId="14" fillId="0" borderId="24" xfId="3" applyFont="1" applyBorder="1" applyAlignment="1">
      <alignment vertical="center"/>
    </xf>
    <xf numFmtId="49" fontId="14" fillId="7" borderId="0" xfId="3" applyNumberFormat="1" applyFont="1" applyFill="1" applyAlignment="1">
      <alignment horizontal="center" vertical="center"/>
    </xf>
    <xf numFmtId="0" fontId="14" fillId="7" borderId="0" xfId="3" applyFont="1" applyFill="1" applyAlignment="1">
      <alignment horizontal="left" vertical="center"/>
    </xf>
    <xf numFmtId="0" fontId="14" fillId="7" borderId="0" xfId="3" applyFont="1" applyFill="1" applyAlignment="1">
      <alignment horizontal="center" vertical="center"/>
    </xf>
    <xf numFmtId="4" fontId="14" fillId="7" borderId="0" xfId="3" applyNumberFormat="1" applyFont="1" applyFill="1" applyAlignment="1">
      <alignment horizontal="center" vertical="center"/>
    </xf>
    <xf numFmtId="49" fontId="14" fillId="0" borderId="24" xfId="3" applyNumberFormat="1" applyFont="1" applyBorder="1" applyAlignment="1">
      <alignment horizontal="center"/>
    </xf>
    <xf numFmtId="0" fontId="14" fillId="0" borderId="24" xfId="3" applyFont="1" applyBorder="1"/>
    <xf numFmtId="0" fontId="14" fillId="0" borderId="24" xfId="3" applyFont="1" applyBorder="1" applyAlignment="1">
      <alignment horizontal="center"/>
    </xf>
    <xf numFmtId="49" fontId="14" fillId="0" borderId="0" xfId="3" applyNumberFormat="1" applyFont="1" applyAlignment="1">
      <alignment horizontal="center"/>
    </xf>
    <xf numFmtId="0" fontId="14" fillId="0" borderId="0" xfId="3" applyFont="1"/>
    <xf numFmtId="0" fontId="14" fillId="0" borderId="0" xfId="3" applyFont="1" applyAlignment="1">
      <alignment horizontal="center"/>
    </xf>
    <xf numFmtId="2" fontId="14" fillId="0" borderId="0" xfId="3" applyNumberFormat="1" applyFont="1"/>
    <xf numFmtId="2" fontId="14" fillId="0" borderId="0" xfId="3" applyNumberFormat="1" applyFont="1" applyAlignment="1">
      <alignment horizontal="right"/>
    </xf>
    <xf numFmtId="4" fontId="14" fillId="0" borderId="0" xfId="3" applyNumberFormat="1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24" xfId="0" applyFont="1" applyBorder="1"/>
    <xf numFmtId="0" fontId="2" fillId="0" borderId="0" xfId="3"/>
    <xf numFmtId="0" fontId="2" fillId="0" borderId="0" xfId="3" applyAlignment="1">
      <alignment vertical="center"/>
    </xf>
    <xf numFmtId="0" fontId="2" fillId="0" borderId="0" xfId="3" applyAlignment="1">
      <alignment horizontal="right" vertical="center"/>
    </xf>
    <xf numFmtId="4" fontId="2" fillId="0" borderId="0" xfId="3" applyNumberFormat="1"/>
    <xf numFmtId="0" fontId="2" fillId="0" borderId="0" xfId="3" applyAlignment="1">
      <alignment horizontal="center" vertical="center"/>
    </xf>
    <xf numFmtId="0" fontId="2" fillId="0" borderId="0" xfId="3" applyAlignment="1">
      <alignment horizontal="center"/>
    </xf>
    <xf numFmtId="0" fontId="2" fillId="0" borderId="0" xfId="3" applyAlignment="1">
      <alignment horizontal="right"/>
    </xf>
    <xf numFmtId="0" fontId="14" fillId="0" borderId="24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" fillId="0" borderId="28" xfId="3" applyBorder="1"/>
    <xf numFmtId="0" fontId="2" fillId="0" borderId="24" xfId="3" applyBorder="1"/>
    <xf numFmtId="2" fontId="2" fillId="0" borderId="0" xfId="3" applyNumberFormat="1" applyAlignment="1">
      <alignment horizontal="center"/>
    </xf>
    <xf numFmtId="2" fontId="2" fillId="0" borderId="0" xfId="3" applyNumberFormat="1" applyAlignment="1">
      <alignment horizontal="right"/>
    </xf>
    <xf numFmtId="0" fontId="22" fillId="0" borderId="0" xfId="0" applyFont="1"/>
    <xf numFmtId="4" fontId="22" fillId="0" borderId="0" xfId="0" applyNumberFormat="1" applyFont="1"/>
    <xf numFmtId="0" fontId="24" fillId="0" borderId="18" xfId="1" applyFont="1" applyBorder="1" applyAlignment="1">
      <alignment horizontal="center" vertical="center" wrapText="1"/>
    </xf>
    <xf numFmtId="0" fontId="24" fillId="0" borderId="19" xfId="1" applyFont="1" applyBorder="1" applyAlignment="1">
      <alignment horizontal="center" vertical="center" wrapText="1"/>
    </xf>
    <xf numFmtId="167" fontId="24" fillId="0" borderId="19" xfId="1" applyNumberFormat="1" applyFont="1" applyBorder="1" applyAlignment="1">
      <alignment horizontal="center" vertical="center" wrapText="1"/>
    </xf>
    <xf numFmtId="167" fontId="24" fillId="0" borderId="20" xfId="1" applyNumberFormat="1" applyFont="1" applyBorder="1" applyAlignment="1">
      <alignment horizontal="center" vertical="center" wrapText="1"/>
    </xf>
    <xf numFmtId="0" fontId="26" fillId="6" borderId="9" xfId="3" applyFont="1" applyFill="1" applyBorder="1" applyAlignment="1">
      <alignment horizontal="center" vertical="center"/>
    </xf>
    <xf numFmtId="167" fontId="24" fillId="6" borderId="25" xfId="1" applyNumberFormat="1" applyFont="1" applyFill="1" applyBorder="1" applyAlignment="1">
      <alignment vertical="center"/>
    </xf>
    <xf numFmtId="0" fontId="26" fillId="7" borderId="29" xfId="3" applyFont="1" applyFill="1" applyBorder="1" applyAlignment="1">
      <alignment horizontal="center" vertical="center"/>
    </xf>
    <xf numFmtId="167" fontId="24" fillId="7" borderId="36" xfId="3" applyNumberFormat="1" applyFont="1" applyFill="1" applyBorder="1" applyAlignment="1">
      <alignment horizontal="right" vertical="center"/>
    </xf>
    <xf numFmtId="167" fontId="24" fillId="7" borderId="38" xfId="3" applyNumberFormat="1" applyFont="1" applyFill="1" applyBorder="1" applyAlignment="1">
      <alignment horizontal="right" vertical="center"/>
    </xf>
    <xf numFmtId="167" fontId="24" fillId="7" borderId="39" xfId="1" applyNumberFormat="1" applyFont="1" applyFill="1" applyBorder="1" applyAlignment="1">
      <alignment vertical="center"/>
    </xf>
    <xf numFmtId="0" fontId="26" fillId="6" borderId="6" xfId="3" applyFont="1" applyFill="1" applyBorder="1" applyAlignment="1">
      <alignment horizontal="center" vertical="center"/>
    </xf>
    <xf numFmtId="167" fontId="24" fillId="6" borderId="43" xfId="1" applyNumberFormat="1" applyFont="1" applyFill="1" applyBorder="1" applyAlignment="1">
      <alignment vertical="center"/>
    </xf>
    <xf numFmtId="10" fontId="2" fillId="0" borderId="27" xfId="8" applyNumberFormat="1" applyFont="1" applyFill="1" applyBorder="1" applyAlignment="1">
      <alignment horizontal="center" vertical="center"/>
    </xf>
    <xf numFmtId="10" fontId="2" fillId="0" borderId="24" xfId="8" applyNumberFormat="1" applyFont="1" applyFill="1" applyBorder="1" applyAlignment="1">
      <alignment horizontal="center" vertical="center"/>
    </xf>
    <xf numFmtId="10" fontId="2" fillId="0" borderId="31" xfId="9" applyNumberFormat="1" applyFont="1" applyFill="1" applyBorder="1" applyAlignment="1">
      <alignment horizontal="center" vertical="center"/>
    </xf>
    <xf numFmtId="167" fontId="23" fillId="0" borderId="20" xfId="4" applyNumberFormat="1" applyFont="1" applyFill="1" applyBorder="1" applyAlignment="1">
      <alignment vertical="center"/>
    </xf>
    <xf numFmtId="0" fontId="11" fillId="0" borderId="0" xfId="6" applyFont="1" applyAlignment="1">
      <alignment horizontal="center" vertical="center"/>
    </xf>
    <xf numFmtId="167" fontId="11" fillId="0" borderId="5" xfId="7" applyNumberFormat="1" applyFont="1" applyFill="1" applyBorder="1" applyAlignment="1" applyProtection="1">
      <alignment vertical="center"/>
      <protection locked="0"/>
    </xf>
    <xf numFmtId="0" fontId="23" fillId="3" borderId="4" xfId="1" applyFont="1" applyFill="1" applyBorder="1" applyAlignment="1">
      <alignment horizontal="center" vertical="center"/>
    </xf>
    <xf numFmtId="0" fontId="23" fillId="3" borderId="5" xfId="1" applyFont="1" applyFill="1" applyBorder="1" applyAlignment="1">
      <alignment horizontal="center" vertical="center" wrapText="1"/>
    </xf>
    <xf numFmtId="0" fontId="27" fillId="2" borderId="23" xfId="1" applyFont="1" applyFill="1" applyBorder="1" applyAlignment="1">
      <alignment horizontal="center" vertical="center"/>
    </xf>
    <xf numFmtId="0" fontId="27" fillId="2" borderId="24" xfId="1" applyFont="1" applyFill="1" applyBorder="1" applyAlignment="1">
      <alignment vertical="center" wrapText="1"/>
    </xf>
    <xf numFmtId="0" fontId="28" fillId="2" borderId="24" xfId="1" applyFont="1" applyFill="1" applyBorder="1" applyAlignment="1">
      <alignment vertical="center"/>
    </xf>
    <xf numFmtId="167" fontId="28" fillId="2" borderId="24" xfId="1" applyNumberFormat="1" applyFont="1" applyFill="1" applyBorder="1" applyAlignment="1">
      <alignment vertical="center"/>
    </xf>
    <xf numFmtId="167" fontId="27" fillId="2" borderId="25" xfId="1" applyNumberFormat="1" applyFont="1" applyFill="1" applyBorder="1" applyAlignment="1">
      <alignment vertical="center"/>
    </xf>
    <xf numFmtId="0" fontId="2" fillId="0" borderId="23" xfId="3" applyBorder="1" applyAlignment="1">
      <alignment horizontal="center" vertical="center"/>
    </xf>
    <xf numFmtId="49" fontId="2" fillId="0" borderId="24" xfId="3" applyNumberFormat="1" applyBorder="1" applyAlignment="1">
      <alignment horizontal="justify" vertical="justify" wrapText="1"/>
    </xf>
    <xf numFmtId="0" fontId="2" fillId="0" borderId="24" xfId="3" applyBorder="1" applyAlignment="1">
      <alignment horizontal="center"/>
    </xf>
    <xf numFmtId="2" fontId="2" fillId="7" borderId="24" xfId="3" applyNumberFormat="1" applyFill="1" applyBorder="1"/>
    <xf numFmtId="164" fontId="23" fillId="0" borderId="24" xfId="15" applyFont="1" applyBorder="1" applyAlignment="1" applyProtection="1">
      <alignment horizontal="right" wrapText="1"/>
      <protection hidden="1"/>
    </xf>
    <xf numFmtId="167" fontId="28" fillId="0" borderId="25" xfId="1" applyNumberFormat="1" applyFont="1" applyBorder="1" applyAlignment="1">
      <alignment vertical="center"/>
    </xf>
    <xf numFmtId="0" fontId="2" fillId="0" borderId="0" xfId="0" applyFont="1"/>
    <xf numFmtId="0" fontId="2" fillId="0" borderId="24" xfId="0" applyFont="1" applyBorder="1" applyAlignment="1">
      <alignment wrapText="1"/>
    </xf>
    <xf numFmtId="49" fontId="2" fillId="0" borderId="40" xfId="3" applyNumberFormat="1" applyBorder="1" applyAlignment="1">
      <alignment horizontal="center" vertical="center"/>
    </xf>
    <xf numFmtId="0" fontId="2" fillId="0" borderId="40" xfId="3" applyBorder="1" applyAlignment="1">
      <alignment horizontal="left" vertical="center"/>
    </xf>
    <xf numFmtId="0" fontId="2" fillId="0" borderId="40" xfId="3" applyBorder="1" applyAlignment="1">
      <alignment horizontal="center" vertical="center"/>
    </xf>
    <xf numFmtId="49" fontId="2" fillId="0" borderId="24" xfId="3" applyNumberFormat="1" applyBorder="1" applyAlignment="1">
      <alignment horizontal="center" vertical="center"/>
    </xf>
    <xf numFmtId="0" fontId="2" fillId="0" borderId="24" xfId="3" applyBorder="1" applyAlignment="1">
      <alignment horizontal="left" vertical="center"/>
    </xf>
    <xf numFmtId="0" fontId="2" fillId="0" borderId="24" xfId="3" applyBorder="1" applyAlignment="1">
      <alignment horizontal="center" vertical="center"/>
    </xf>
    <xf numFmtId="4" fontId="2" fillId="0" borderId="24" xfId="3" applyNumberFormat="1" applyBorder="1" applyAlignment="1">
      <alignment horizontal="center" vertical="center"/>
    </xf>
    <xf numFmtId="0" fontId="2" fillId="0" borderId="24" xfId="3" applyBorder="1" applyAlignment="1">
      <alignment vertical="center"/>
    </xf>
    <xf numFmtId="49" fontId="2" fillId="0" borderId="40" xfId="3" applyNumberFormat="1" applyBorder="1" applyAlignment="1">
      <alignment horizontal="justify" vertical="justify" wrapText="1"/>
    </xf>
    <xf numFmtId="169" fontId="23" fillId="0" borderId="24" xfId="11" applyNumberFormat="1" applyFont="1" applyBorder="1" applyAlignment="1" applyProtection="1">
      <alignment horizontal="right" wrapText="1"/>
      <protection hidden="1"/>
    </xf>
    <xf numFmtId="0" fontId="11" fillId="2" borderId="23" xfId="3" applyFont="1" applyFill="1" applyBorder="1" applyAlignment="1">
      <alignment horizontal="center" vertical="center"/>
    </xf>
    <xf numFmtId="0" fontId="28" fillId="2" borderId="24" xfId="1" applyFont="1" applyFill="1" applyBorder="1" applyAlignment="1">
      <alignment horizontal="center" vertical="center"/>
    </xf>
    <xf numFmtId="165" fontId="28" fillId="2" borderId="24" xfId="4" applyFont="1" applyFill="1" applyBorder="1" applyAlignment="1">
      <alignment horizontal="center" vertical="center"/>
    </xf>
    <xf numFmtId="2" fontId="23" fillId="0" borderId="24" xfId="1" applyNumberFormat="1" applyFont="1" applyBorder="1" applyAlignment="1">
      <alignment vertical="center"/>
    </xf>
    <xf numFmtId="49" fontId="2" fillId="0" borderId="37" xfId="3" applyNumberFormat="1" applyBorder="1" applyAlignment="1">
      <alignment horizontal="center" vertical="center"/>
    </xf>
    <xf numFmtId="0" fontId="2" fillId="0" borderId="37" xfId="3" applyBorder="1" applyAlignment="1">
      <alignment horizontal="center" vertical="center"/>
    </xf>
    <xf numFmtId="49" fontId="2" fillId="0" borderId="40" xfId="3" applyNumberFormat="1" applyBorder="1" applyAlignment="1">
      <alignment horizontal="center"/>
    </xf>
    <xf numFmtId="0" fontId="2" fillId="0" borderId="24" xfId="0" applyFont="1" applyBorder="1"/>
    <xf numFmtId="0" fontId="28" fillId="0" borderId="24" xfId="1" applyFont="1" applyBorder="1" applyAlignment="1">
      <alignment horizontal="center" vertical="center"/>
    </xf>
    <xf numFmtId="0" fontId="27" fillId="2" borderId="24" xfId="1" applyFont="1" applyFill="1" applyBorder="1" applyAlignment="1">
      <alignment horizontal="center" vertical="center"/>
    </xf>
    <xf numFmtId="165" fontId="27" fillId="2" borderId="24" xfId="4" applyFont="1" applyFill="1" applyBorder="1" applyAlignment="1">
      <alignment horizontal="center" vertical="center"/>
    </xf>
    <xf numFmtId="167" fontId="11" fillId="2" borderId="24" xfId="5" applyNumberFormat="1" applyFont="1" applyFill="1" applyBorder="1" applyAlignment="1">
      <alignment horizontal="right" vertical="center"/>
    </xf>
    <xf numFmtId="0" fontId="2" fillId="0" borderId="37" xfId="3" applyBorder="1" applyAlignment="1">
      <alignment horizontal="left" vertical="center"/>
    </xf>
    <xf numFmtId="49" fontId="2" fillId="0" borderId="24" xfId="3" applyNumberFormat="1" applyBorder="1" applyAlignment="1">
      <alignment horizontal="center"/>
    </xf>
    <xf numFmtId="164" fontId="23" fillId="0" borderId="24" xfId="15" applyFont="1" applyFill="1" applyBorder="1" applyAlignment="1" applyProtection="1">
      <alignment horizontal="right" wrapText="1"/>
      <protection hidden="1"/>
    </xf>
    <xf numFmtId="0" fontId="29" fillId="0" borderId="24" xfId="0" applyFont="1" applyBorder="1"/>
    <xf numFmtId="0" fontId="2" fillId="0" borderId="24" xfId="0" applyFont="1" applyBorder="1" applyAlignment="1">
      <alignment horizontal="justify" wrapText="1"/>
    </xf>
    <xf numFmtId="49" fontId="2" fillId="0" borderId="24" xfId="0" applyNumberFormat="1" applyFont="1" applyBorder="1" applyAlignment="1">
      <alignment horizontal="justify" wrapText="1"/>
    </xf>
    <xf numFmtId="167" fontId="28" fillId="0" borderId="24" xfId="1" applyNumberFormat="1" applyFont="1" applyBorder="1" applyAlignment="1">
      <alignment vertical="center"/>
    </xf>
    <xf numFmtId="49" fontId="23" fillId="0" borderId="24" xfId="3" applyNumberFormat="1" applyFont="1" applyBorder="1" applyAlignment="1">
      <alignment horizontal="center" vertical="center"/>
    </xf>
    <xf numFmtId="0" fontId="23" fillId="0" borderId="24" xfId="0" applyFont="1" applyBorder="1" applyAlignment="1">
      <alignment horizontal="left" vertical="center"/>
    </xf>
    <xf numFmtId="0" fontId="11" fillId="2" borderId="21" xfId="3" applyFont="1" applyFill="1" applyBorder="1" applyAlignment="1">
      <alignment horizontal="center" vertical="center"/>
    </xf>
    <xf numFmtId="0" fontId="27" fillId="2" borderId="27" xfId="1" applyFont="1" applyFill="1" applyBorder="1" applyAlignment="1">
      <alignment vertical="center" wrapText="1"/>
    </xf>
    <xf numFmtId="0" fontId="27" fillId="2" borderId="27" xfId="1" applyFont="1" applyFill="1" applyBorder="1" applyAlignment="1">
      <alignment horizontal="center" vertical="center"/>
    </xf>
    <xf numFmtId="165" fontId="27" fillId="2" borderId="27" xfId="4" applyFont="1" applyFill="1" applyBorder="1" applyAlignment="1">
      <alignment horizontal="center" vertical="center"/>
    </xf>
    <xf numFmtId="167" fontId="11" fillId="2" borderId="27" xfId="5" applyNumberFormat="1" applyFont="1" applyFill="1" applyBorder="1" applyAlignment="1">
      <alignment horizontal="right" vertical="center"/>
    </xf>
    <xf numFmtId="167" fontId="27" fillId="2" borderId="22" xfId="1" applyNumberFormat="1" applyFont="1" applyFill="1" applyBorder="1" applyAlignment="1">
      <alignment vertical="center"/>
    </xf>
    <xf numFmtId="49" fontId="23" fillId="0" borderId="37" xfId="3" applyNumberFormat="1" applyFont="1" applyBorder="1" applyAlignment="1">
      <alignment horizontal="center" vertical="center"/>
    </xf>
    <xf numFmtId="167" fontId="2" fillId="7" borderId="24" xfId="3" applyNumberFormat="1" applyFill="1" applyBorder="1" applyAlignment="1">
      <alignment horizontal="right" vertical="center"/>
    </xf>
    <xf numFmtId="167" fontId="2" fillId="7" borderId="25" xfId="1" applyNumberFormat="1" applyFont="1" applyFill="1" applyBorder="1" applyAlignment="1">
      <alignment vertical="center"/>
    </xf>
    <xf numFmtId="0" fontId="23" fillId="0" borderId="0" xfId="0" applyFont="1" applyAlignment="1">
      <alignment horizontal="left" vertical="center"/>
    </xf>
    <xf numFmtId="2" fontId="2" fillId="7" borderId="40" xfId="15" applyNumberFormat="1" applyFont="1" applyFill="1" applyBorder="1" applyAlignment="1">
      <alignment horizontal="right" vertical="center"/>
    </xf>
    <xf numFmtId="167" fontId="2" fillId="7" borderId="40" xfId="3" applyNumberFormat="1" applyFill="1" applyBorder="1" applyAlignment="1">
      <alignment horizontal="right" vertical="center"/>
    </xf>
    <xf numFmtId="0" fontId="2" fillId="7" borderId="44" xfId="3" applyFill="1" applyBorder="1" applyAlignment="1">
      <alignment horizontal="center" vertical="center"/>
    </xf>
    <xf numFmtId="167" fontId="2" fillId="7" borderId="40" xfId="3" applyNumberFormat="1" applyFill="1" applyBorder="1" applyAlignment="1">
      <alignment horizontal="left" vertical="center"/>
    </xf>
    <xf numFmtId="167" fontId="2" fillId="7" borderId="40" xfId="3" applyNumberFormat="1" applyFill="1" applyBorder="1" applyAlignment="1">
      <alignment horizontal="center" vertical="center"/>
    </xf>
    <xf numFmtId="167" fontId="2" fillId="7" borderId="45" xfId="1" applyNumberFormat="1" applyFont="1" applyFill="1" applyBorder="1" applyAlignment="1">
      <alignment vertical="center"/>
    </xf>
    <xf numFmtId="0" fontId="2" fillId="7" borderId="23" xfId="3" applyFill="1" applyBorder="1" applyAlignment="1">
      <alignment horizontal="center" vertical="center"/>
    </xf>
    <xf numFmtId="167" fontId="2" fillId="7" borderId="24" xfId="3" applyNumberFormat="1" applyFill="1" applyBorder="1" applyAlignment="1">
      <alignment horizontal="left" vertical="center"/>
    </xf>
    <xf numFmtId="167" fontId="2" fillId="7" borderId="24" xfId="3" applyNumberFormat="1" applyFill="1" applyBorder="1" applyAlignment="1">
      <alignment horizontal="center" vertical="center"/>
    </xf>
    <xf numFmtId="0" fontId="26" fillId="7" borderId="18" xfId="3" applyFont="1" applyFill="1" applyBorder="1" applyAlignment="1">
      <alignment horizontal="center" vertical="center"/>
    </xf>
    <xf numFmtId="167" fontId="24" fillId="7" borderId="19" xfId="3" applyNumberFormat="1" applyFont="1" applyFill="1" applyBorder="1" applyAlignment="1">
      <alignment horizontal="right" vertical="center"/>
    </xf>
    <xf numFmtId="167" fontId="24" fillId="7" borderId="20" xfId="1" applyNumberFormat="1" applyFont="1" applyFill="1" applyBorder="1" applyAlignment="1">
      <alignment vertical="center"/>
    </xf>
    <xf numFmtId="2" fontId="2" fillId="7" borderId="24" xfId="3" applyNumberFormat="1" applyFill="1" applyBorder="1" applyAlignment="1">
      <alignment horizontal="center"/>
    </xf>
    <xf numFmtId="2" fontId="23" fillId="0" borderId="24" xfId="1" applyNumberFormat="1" applyFont="1" applyBorder="1" applyAlignment="1">
      <alignment horizontal="center" vertical="center"/>
    </xf>
    <xf numFmtId="2" fontId="2" fillId="0" borderId="24" xfId="3" applyNumberFormat="1" applyBorder="1" applyAlignment="1">
      <alignment horizontal="center"/>
    </xf>
    <xf numFmtId="2" fontId="2" fillId="7" borderId="24" xfId="15" applyNumberFormat="1" applyFont="1" applyFill="1" applyBorder="1" applyAlignment="1">
      <alignment horizontal="center" vertical="center"/>
    </xf>
    <xf numFmtId="2" fontId="2" fillId="7" borderId="40" xfId="15" applyNumberFormat="1" applyFont="1" applyFill="1" applyBorder="1" applyAlignment="1">
      <alignment horizontal="center" vertical="center"/>
    </xf>
    <xf numFmtId="164" fontId="4" fillId="0" borderId="0" xfId="15" applyFont="1" applyAlignment="1">
      <alignment horizontal="center" vertical="center"/>
    </xf>
    <xf numFmtId="49" fontId="14" fillId="0" borderId="40" xfId="3" applyNumberFormat="1" applyFont="1" applyBorder="1" applyAlignment="1">
      <alignment horizontal="center"/>
    </xf>
    <xf numFmtId="0" fontId="14" fillId="0" borderId="40" xfId="3" applyFont="1" applyBorder="1"/>
    <xf numFmtId="0" fontId="14" fillId="0" borderId="40" xfId="3" applyFont="1" applyBorder="1" applyAlignment="1">
      <alignment horizontal="center"/>
    </xf>
    <xf numFmtId="0" fontId="2" fillId="0" borderId="40" xfId="3" applyBorder="1" applyAlignment="1">
      <alignment horizontal="center"/>
    </xf>
    <xf numFmtId="0" fontId="0" fillId="0" borderId="0" xfId="0" applyBorder="1"/>
    <xf numFmtId="42" fontId="11" fillId="5" borderId="22" xfId="7" applyNumberFormat="1" applyFont="1" applyFill="1" applyBorder="1" applyAlignment="1" applyProtection="1">
      <alignment vertical="center"/>
      <protection locked="0"/>
    </xf>
    <xf numFmtId="42" fontId="11" fillId="2" borderId="22" xfId="7" applyNumberFormat="1" applyFont="1" applyFill="1" applyBorder="1" applyAlignment="1" applyProtection="1">
      <alignment vertical="center"/>
      <protection locked="0"/>
    </xf>
    <xf numFmtId="42" fontId="11" fillId="2" borderId="25" xfId="7" applyNumberFormat="1" applyFont="1" applyFill="1" applyBorder="1" applyAlignment="1" applyProtection="1">
      <alignment vertical="center"/>
      <protection locked="0"/>
    </xf>
    <xf numFmtId="42" fontId="23" fillId="0" borderId="22" xfId="4" applyNumberFormat="1" applyFont="1" applyFill="1" applyBorder="1" applyAlignment="1">
      <alignment vertical="center"/>
    </xf>
    <xf numFmtId="42" fontId="23" fillId="0" borderId="25" xfId="4" applyNumberFormat="1" applyFont="1" applyFill="1" applyBorder="1" applyAlignment="1">
      <alignment vertical="center"/>
    </xf>
    <xf numFmtId="42" fontId="11" fillId="2" borderId="35" xfId="7" applyNumberFormat="1" applyFont="1" applyFill="1" applyBorder="1" applyAlignment="1" applyProtection="1">
      <alignment vertical="center"/>
      <protection locked="0"/>
    </xf>
    <xf numFmtId="0" fontId="25" fillId="4" borderId="21" xfId="1" applyFont="1" applyFill="1" applyBorder="1" applyAlignment="1">
      <alignment horizontal="center" vertical="center"/>
    </xf>
    <xf numFmtId="0" fontId="25" fillId="4" borderId="27" xfId="1" applyFont="1" applyFill="1" applyBorder="1" applyAlignment="1">
      <alignment horizontal="center" vertical="center"/>
    </xf>
    <xf numFmtId="167" fontId="24" fillId="6" borderId="10" xfId="3" applyNumberFormat="1" applyFont="1" applyFill="1" applyBorder="1" applyAlignment="1">
      <alignment horizontal="right" vertical="center"/>
    </xf>
    <xf numFmtId="167" fontId="24" fillId="6" borderId="28" xfId="3" applyNumberFormat="1" applyFont="1" applyFill="1" applyBorder="1" applyAlignment="1">
      <alignment horizontal="right" vertical="center"/>
    </xf>
    <xf numFmtId="0" fontId="11" fillId="3" borderId="21" xfId="6" applyFont="1" applyFill="1" applyBorder="1" applyAlignment="1">
      <alignment horizontal="right" vertical="center"/>
    </xf>
    <xf numFmtId="0" fontId="11" fillId="3" borderId="27" xfId="6" applyFont="1" applyFill="1" applyBorder="1" applyAlignment="1">
      <alignment horizontal="right" vertical="center"/>
    </xf>
    <xf numFmtId="0" fontId="11" fillId="3" borderId="9" xfId="6" applyFont="1" applyFill="1" applyBorder="1" applyAlignment="1">
      <alignment horizontal="right" vertical="center" wrapText="1"/>
    </xf>
    <xf numFmtId="0" fontId="11" fillId="3" borderId="10" xfId="6" applyFont="1" applyFill="1" applyBorder="1" applyAlignment="1">
      <alignment horizontal="right" vertical="center" wrapText="1"/>
    </xf>
    <xf numFmtId="0" fontId="11" fillId="3" borderId="28" xfId="6" applyFont="1" applyFill="1" applyBorder="1" applyAlignment="1">
      <alignment horizontal="right" vertical="center" wrapText="1"/>
    </xf>
    <xf numFmtId="0" fontId="23" fillId="0" borderId="1" xfId="1" applyFont="1" applyBorder="1" applyAlignment="1">
      <alignment horizontal="left" vertical="center" wrapText="1"/>
    </xf>
    <xf numFmtId="0" fontId="23" fillId="0" borderId="3" xfId="1" applyFont="1" applyBorder="1" applyAlignment="1">
      <alignment horizontal="left" vertical="center" wrapText="1"/>
    </xf>
    <xf numFmtId="0" fontId="23" fillId="0" borderId="4" xfId="1" applyFont="1" applyBorder="1" applyAlignment="1">
      <alignment horizontal="left" vertical="center" wrapText="1"/>
    </xf>
    <xf numFmtId="0" fontId="23" fillId="0" borderId="5" xfId="1" applyFont="1" applyBorder="1" applyAlignment="1">
      <alignment horizontal="left" vertical="center" wrapText="1"/>
    </xf>
    <xf numFmtId="0" fontId="23" fillId="0" borderId="29" xfId="1" applyFont="1" applyBorder="1" applyAlignment="1">
      <alignment horizontal="left" vertical="center" wrapText="1"/>
    </xf>
    <xf numFmtId="0" fontId="23" fillId="0" borderId="30" xfId="1" applyFont="1" applyBorder="1" applyAlignment="1">
      <alignment horizontal="left" vertical="center" wrapText="1"/>
    </xf>
    <xf numFmtId="0" fontId="23" fillId="0" borderId="2" xfId="1" applyFont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25" fillId="3" borderId="33" xfId="1" applyFont="1" applyFill="1" applyBorder="1" applyAlignment="1">
      <alignment horizontal="center" vertical="center"/>
    </xf>
    <xf numFmtId="0" fontId="25" fillId="3" borderId="34" xfId="1" applyFont="1" applyFill="1" applyBorder="1" applyAlignment="1">
      <alignment horizontal="center" vertical="center"/>
    </xf>
    <xf numFmtId="167" fontId="24" fillId="6" borderId="7" xfId="3" applyNumberFormat="1" applyFont="1" applyFill="1" applyBorder="1" applyAlignment="1">
      <alignment horizontal="right" vertical="center"/>
    </xf>
    <xf numFmtId="167" fontId="24" fillId="6" borderId="42" xfId="3" applyNumberFormat="1" applyFont="1" applyFill="1" applyBorder="1" applyAlignment="1">
      <alignment horizontal="right" vertical="center"/>
    </xf>
    <xf numFmtId="0" fontId="23" fillId="0" borderId="1" xfId="1" applyFont="1" applyBorder="1" applyAlignment="1">
      <alignment horizontal="center" vertical="center"/>
    </xf>
    <xf numFmtId="0" fontId="23" fillId="0" borderId="4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3" fillId="0" borderId="5" xfId="1" applyFont="1" applyBorder="1" applyAlignment="1">
      <alignment horizontal="center" vertical="center"/>
    </xf>
    <xf numFmtId="0" fontId="23" fillId="0" borderId="6" xfId="1" applyFont="1" applyBorder="1" applyAlignment="1">
      <alignment horizontal="center" vertical="center" wrapText="1"/>
    </xf>
    <xf numFmtId="0" fontId="23" fillId="0" borderId="7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4" fillId="6" borderId="9" xfId="1" applyFont="1" applyFill="1" applyBorder="1" applyAlignment="1">
      <alignment horizontal="center" vertical="center" wrapText="1"/>
    </xf>
    <xf numFmtId="0" fontId="24" fillId="6" borderId="10" xfId="1" applyFont="1" applyFill="1" applyBorder="1" applyAlignment="1">
      <alignment horizontal="center" vertical="center" wrapText="1"/>
    </xf>
    <xf numFmtId="0" fontId="24" fillId="6" borderId="11" xfId="1" applyFont="1" applyFill="1" applyBorder="1" applyAlignment="1">
      <alignment horizontal="center" vertical="center" wrapText="1"/>
    </xf>
    <xf numFmtId="0" fontId="25" fillId="0" borderId="4" xfId="1" applyFont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5" fillId="0" borderId="5" xfId="1" applyFont="1" applyBorder="1" applyAlignment="1">
      <alignment horizontal="center" vertical="center"/>
    </xf>
    <xf numFmtId="167" fontId="24" fillId="6" borderId="14" xfId="1" applyNumberFormat="1" applyFont="1" applyFill="1" applyBorder="1" applyAlignment="1">
      <alignment horizontal="center" vertical="center" wrapText="1"/>
    </xf>
    <xf numFmtId="167" fontId="24" fillId="6" borderId="17" xfId="1" applyNumberFormat="1" applyFont="1" applyFill="1" applyBorder="1" applyAlignment="1">
      <alignment horizontal="center" vertical="center" wrapText="1"/>
    </xf>
    <xf numFmtId="0" fontId="24" fillId="6" borderId="12" xfId="1" applyFont="1" applyFill="1" applyBorder="1" applyAlignment="1">
      <alignment horizontal="center" vertical="center" wrapText="1"/>
    </xf>
    <xf numFmtId="0" fontId="24" fillId="6" borderId="15" xfId="1" applyFont="1" applyFill="1" applyBorder="1" applyAlignment="1">
      <alignment horizontal="center" vertical="center" wrapText="1"/>
    </xf>
    <xf numFmtId="0" fontId="24" fillId="6" borderId="13" xfId="1" applyFont="1" applyFill="1" applyBorder="1" applyAlignment="1">
      <alignment horizontal="center" vertical="center" wrapText="1"/>
    </xf>
    <xf numFmtId="0" fontId="24" fillId="6" borderId="16" xfId="1" applyFont="1" applyFill="1" applyBorder="1" applyAlignment="1">
      <alignment horizontal="center" vertical="center" wrapText="1"/>
    </xf>
    <xf numFmtId="167" fontId="24" fillId="6" borderId="13" xfId="1" applyNumberFormat="1" applyFont="1" applyFill="1" applyBorder="1" applyAlignment="1">
      <alignment horizontal="center" vertical="center" wrapText="1"/>
    </xf>
    <xf numFmtId="167" fontId="24" fillId="6" borderId="16" xfId="1" applyNumberFormat="1" applyFont="1" applyFill="1" applyBorder="1" applyAlignment="1">
      <alignment horizontal="center" vertical="center" wrapText="1"/>
    </xf>
    <xf numFmtId="0" fontId="19" fillId="0" borderId="0" xfId="0" applyFont="1"/>
    <xf numFmtId="0" fontId="0" fillId="0" borderId="0" xfId="0"/>
    <xf numFmtId="0" fontId="20" fillId="0" borderId="19" xfId="0" applyFont="1" applyBorder="1" applyAlignment="1">
      <alignment horizontal="center" vertical="center"/>
    </xf>
    <xf numFmtId="0" fontId="0" fillId="0" borderId="19" xfId="0" applyBorder="1"/>
    <xf numFmtId="0" fontId="16" fillId="0" borderId="0" xfId="0" applyFont="1"/>
    <xf numFmtId="0" fontId="17" fillId="0" borderId="24" xfId="0" applyFont="1" applyBorder="1" applyAlignment="1">
      <alignment horizontal="center" vertical="center"/>
    </xf>
    <xf numFmtId="0" fontId="0" fillId="0" borderId="24" xfId="0" applyBorder="1"/>
    <xf numFmtId="0" fontId="15" fillId="0" borderId="21" xfId="0" applyFont="1" applyBorder="1" applyAlignment="1">
      <alignment horizontal="center" vertical="center"/>
    </xf>
    <xf numFmtId="0" fontId="0" fillId="0" borderId="27" xfId="0" applyBorder="1"/>
    <xf numFmtId="0" fontId="0" fillId="0" borderId="22" xfId="0" applyBorder="1"/>
    <xf numFmtId="0" fontId="16" fillId="8" borderId="24" xfId="0" applyFont="1" applyFill="1" applyBorder="1" applyAlignment="1">
      <alignment horizontal="center" vertical="center"/>
    </xf>
    <xf numFmtId="0" fontId="0" fillId="8" borderId="24" xfId="0" applyFill="1" applyBorder="1"/>
    <xf numFmtId="0" fontId="18" fillId="0" borderId="21" xfId="0" applyFont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14" fillId="0" borderId="0" xfId="3" applyFont="1" applyAlignment="1">
      <alignment horizontal="left"/>
    </xf>
    <xf numFmtId="0" fontId="11" fillId="9" borderId="24" xfId="3" applyFont="1" applyFill="1" applyBorder="1" applyAlignment="1">
      <alignment horizontal="center" vertical="center"/>
    </xf>
    <xf numFmtId="49" fontId="14" fillId="0" borderId="40" xfId="3" applyNumberFormat="1" applyFont="1" applyBorder="1" applyAlignment="1">
      <alignment horizontal="center" vertical="center"/>
    </xf>
    <xf numFmtId="49" fontId="14" fillId="0" borderId="37" xfId="3" applyNumberFormat="1" applyFont="1" applyBorder="1" applyAlignment="1">
      <alignment horizontal="center" vertical="center"/>
    </xf>
    <xf numFmtId="0" fontId="14" fillId="0" borderId="40" xfId="3" applyFont="1" applyBorder="1" applyAlignment="1">
      <alignment horizontal="left" vertical="center"/>
    </xf>
    <xf numFmtId="0" fontId="14" fillId="0" borderId="37" xfId="3" applyFont="1" applyBorder="1" applyAlignment="1">
      <alignment horizontal="left" vertical="center"/>
    </xf>
    <xf numFmtId="0" fontId="14" fillId="0" borderId="40" xfId="3" applyFont="1" applyBorder="1" applyAlignment="1">
      <alignment horizontal="center" vertical="center"/>
    </xf>
    <xf numFmtId="0" fontId="14" fillId="0" borderId="37" xfId="3" applyFont="1" applyBorder="1" applyAlignment="1">
      <alignment horizontal="center" vertical="center"/>
    </xf>
    <xf numFmtId="4" fontId="14" fillId="0" borderId="40" xfId="3" applyNumberFormat="1" applyFont="1" applyBorder="1" applyAlignment="1">
      <alignment horizontal="center" vertical="center"/>
    </xf>
    <xf numFmtId="4" fontId="14" fillId="0" borderId="37" xfId="3" applyNumberFormat="1" applyFont="1" applyBorder="1" applyAlignment="1">
      <alignment horizontal="center" vertical="center"/>
    </xf>
    <xf numFmtId="49" fontId="14" fillId="0" borderId="41" xfId="3" applyNumberFormat="1" applyFont="1" applyBorder="1" applyAlignment="1">
      <alignment horizontal="center" vertical="center"/>
    </xf>
    <xf numFmtId="0" fontId="14" fillId="0" borderId="24" xfId="0" applyFont="1" applyBorder="1" applyAlignment="1">
      <alignment horizontal="left" vertical="center"/>
    </xf>
    <xf numFmtId="0" fontId="14" fillId="0" borderId="41" xfId="3" applyFont="1" applyBorder="1" applyAlignment="1">
      <alignment horizontal="center" vertical="center"/>
    </xf>
    <xf numFmtId="4" fontId="14" fillId="0" borderId="41" xfId="3" applyNumberFormat="1" applyFont="1" applyBorder="1" applyAlignment="1">
      <alignment horizontal="center" vertical="center"/>
    </xf>
    <xf numFmtId="0" fontId="14" fillId="0" borderId="24" xfId="3" applyFont="1" applyBorder="1" applyAlignment="1">
      <alignment horizontal="left" vertical="center" wrapText="1"/>
    </xf>
    <xf numFmtId="49" fontId="14" fillId="0" borderId="24" xfId="3" applyNumberFormat="1" applyFont="1" applyBorder="1" applyAlignment="1">
      <alignment horizontal="center" vertical="center"/>
    </xf>
    <xf numFmtId="0" fontId="14" fillId="0" borderId="24" xfId="3" applyFont="1" applyBorder="1" applyAlignment="1">
      <alignment horizontal="center" vertical="center"/>
    </xf>
    <xf numFmtId="4" fontId="14" fillId="0" borderId="24" xfId="3" applyNumberFormat="1" applyFont="1" applyBorder="1" applyAlignment="1">
      <alignment horizontal="center" vertical="center"/>
    </xf>
    <xf numFmtId="0" fontId="14" fillId="0" borderId="24" xfId="3" applyFont="1" applyBorder="1" applyAlignment="1">
      <alignment horizontal="left" vertical="center"/>
    </xf>
    <xf numFmtId="0" fontId="14" fillId="0" borderId="41" xfId="3" applyFont="1" applyBorder="1" applyAlignment="1">
      <alignment horizontal="left" vertical="center"/>
    </xf>
    <xf numFmtId="0" fontId="2" fillId="0" borderId="46" xfId="3" applyBorder="1" applyAlignment="1">
      <alignment horizontal="center" vertical="center" wrapText="1"/>
    </xf>
    <xf numFmtId="0" fontId="2" fillId="0" borderId="0" xfId="3" applyAlignment="1">
      <alignment horizontal="center" vertical="center" wrapText="1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center"/>
    </xf>
    <xf numFmtId="0" fontId="12" fillId="0" borderId="0" xfId="0" applyFont="1" applyAlignment="1" applyProtection="1">
      <alignment horizontal="center" vertical="center" wrapText="1"/>
      <protection locked="0"/>
    </xf>
  </cellXfs>
  <cellStyles count="16">
    <cellStyle name="Millares [0] 3" xfId="10" xr:uid="{8D4BF6C0-71B2-4F35-BA91-A4901D7C8DCF}"/>
    <cellStyle name="Millares 15" xfId="4" xr:uid="{96831D2A-0958-46C2-9CA9-DD4F4012948E}"/>
    <cellStyle name="Millares 2" xfId="11" xr:uid="{FBB1E156-A853-4403-9E9E-C9A55897C28B}"/>
    <cellStyle name="Millares 2 2" xfId="14" xr:uid="{A5D2D298-D588-4F18-9DEF-06B45DBBAD03}"/>
    <cellStyle name="Millares_Presupuesto Babia Solano Mpios" xfId="5" xr:uid="{366AA507-2F5E-4282-B01C-88A367988619}"/>
    <cellStyle name="Moneda" xfId="15" builtinId="4"/>
    <cellStyle name="Moneda [0] 2" xfId="2" xr:uid="{8D0A3F52-4924-4704-9211-52DC9936C39B}"/>
    <cellStyle name="Moneda 2" xfId="12" xr:uid="{A2794649-B172-4678-9FF7-76786AA429F5}"/>
    <cellStyle name="Moneda 2 13" xfId="7" xr:uid="{FBA7702C-B2EE-4140-953D-0C764C6D9FB3}"/>
    <cellStyle name="Moneda 2 2" xfId="13" xr:uid="{8D8213BC-2B75-44E2-942C-13B5BC98092D}"/>
    <cellStyle name="Normal" xfId="0" builtinId="0"/>
    <cellStyle name="Normal 11" xfId="1" xr:uid="{FE4A3279-AFEA-4AE0-A8A9-86ED6199A2D4}"/>
    <cellStyle name="Normal 2 10 2 2" xfId="3" xr:uid="{957178B8-CF66-4B1A-B8FF-EB715844B851}"/>
    <cellStyle name="Normal 3 4" xfId="6" xr:uid="{2ABC7148-9C9E-483A-9C66-3ED5D38DA93B}"/>
    <cellStyle name="Porcentaje 2" xfId="9" xr:uid="{0E12DB35-3A45-4E9E-A0C0-094ED88F5A9B}"/>
    <cellStyle name="Porcentaje 6" xfId="8" xr:uid="{BCF3BCC8-BB7E-4597-9208-1E1FACEA9E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styles" Target="styles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calcChain" Target="calcChain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107896</xdr:rowOff>
    </xdr:from>
    <xdr:to>
      <xdr:col>11</xdr:col>
      <xdr:colOff>9525</xdr:colOff>
      <xdr:row>10</xdr:row>
      <xdr:rowOff>9525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F93B4935-34E7-4524-9676-ED40BFB14DF3}"/>
            </a:ext>
          </a:extLst>
        </xdr:cNvPr>
        <xdr:cNvGrpSpPr>
          <a:grpSpLocks noChangeAspect="1"/>
        </xdr:cNvGrpSpPr>
      </xdr:nvGrpSpPr>
      <xdr:grpSpPr bwMode="auto">
        <a:xfrm>
          <a:off x="0" y="107896"/>
          <a:ext cx="11927205" cy="1867589"/>
          <a:chOff x="0" y="5"/>
          <a:chExt cx="757" cy="179"/>
        </a:xfrm>
      </xdr:grpSpPr>
      <xdr:sp macro="" textlink="">
        <xdr:nvSpPr>
          <xdr:cNvPr id="3" name="Rectangle 5">
            <a:extLst>
              <a:ext uri="{FF2B5EF4-FFF2-40B4-BE49-F238E27FC236}">
                <a16:creationId xmlns:a16="http://schemas.microsoft.com/office/drawing/2014/main" id="{6230144F-513F-B5F0-7CDD-56A7EB031D4E}"/>
              </a:ext>
            </a:extLst>
          </xdr:cNvPr>
          <xdr:cNvSpPr>
            <a:spLocks noChangeArrowheads="1"/>
          </xdr:cNvSpPr>
        </xdr:nvSpPr>
        <xdr:spPr bwMode="auto">
          <a:xfrm>
            <a:off x="386" y="31"/>
            <a:ext cx="1" cy="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8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" name="Rectangle 6">
            <a:extLst>
              <a:ext uri="{FF2B5EF4-FFF2-40B4-BE49-F238E27FC236}">
                <a16:creationId xmlns:a16="http://schemas.microsoft.com/office/drawing/2014/main" id="{65CE2263-A4D9-5490-1A98-16A1161DD23C}"/>
              </a:ext>
            </a:extLst>
          </xdr:cNvPr>
          <xdr:cNvSpPr>
            <a:spLocks noChangeArrowheads="1"/>
          </xdr:cNvSpPr>
        </xdr:nvSpPr>
        <xdr:spPr bwMode="auto">
          <a:xfrm>
            <a:off x="386" y="44"/>
            <a:ext cx="1" cy="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8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5" name="Rectangle 9">
            <a:extLst>
              <a:ext uri="{FF2B5EF4-FFF2-40B4-BE49-F238E27FC236}">
                <a16:creationId xmlns:a16="http://schemas.microsoft.com/office/drawing/2014/main" id="{6CCE94AA-9A20-F296-06F0-FEB8D4AC8BFF}"/>
              </a:ext>
            </a:extLst>
          </xdr:cNvPr>
          <xdr:cNvSpPr>
            <a:spLocks noChangeArrowheads="1"/>
          </xdr:cNvSpPr>
        </xdr:nvSpPr>
        <xdr:spPr bwMode="auto">
          <a:xfrm>
            <a:off x="420" y="68"/>
            <a:ext cx="1" cy="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8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6" name="Rectangle 10">
            <a:extLst>
              <a:ext uri="{FF2B5EF4-FFF2-40B4-BE49-F238E27FC236}">
                <a16:creationId xmlns:a16="http://schemas.microsoft.com/office/drawing/2014/main" id="{16DDF696-DABE-8B8E-A9F8-B59F7035DD03}"/>
              </a:ext>
            </a:extLst>
          </xdr:cNvPr>
          <xdr:cNvSpPr>
            <a:spLocks noChangeArrowheads="1"/>
          </xdr:cNvSpPr>
        </xdr:nvSpPr>
        <xdr:spPr bwMode="auto">
          <a:xfrm>
            <a:off x="386" y="81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7" name="Rectangle 13">
            <a:extLst>
              <a:ext uri="{FF2B5EF4-FFF2-40B4-BE49-F238E27FC236}">
                <a16:creationId xmlns:a16="http://schemas.microsoft.com/office/drawing/2014/main" id="{9910E7C2-6986-E89F-6C7A-8B7DFF8B1B9F}"/>
              </a:ext>
            </a:extLst>
          </xdr:cNvPr>
          <xdr:cNvSpPr>
            <a:spLocks noChangeArrowheads="1"/>
          </xdr:cNvSpPr>
        </xdr:nvSpPr>
        <xdr:spPr bwMode="auto">
          <a:xfrm>
            <a:off x="346" y="97"/>
            <a:ext cx="1" cy="3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8" name="Rectangle 14">
            <a:extLst>
              <a:ext uri="{FF2B5EF4-FFF2-40B4-BE49-F238E27FC236}">
                <a16:creationId xmlns:a16="http://schemas.microsoft.com/office/drawing/2014/main" id="{EE0D0E55-06EB-3F49-3640-CB6164B8913B}"/>
              </a:ext>
            </a:extLst>
          </xdr:cNvPr>
          <xdr:cNvSpPr>
            <a:spLocks noChangeArrowheads="1"/>
          </xdr:cNvSpPr>
        </xdr:nvSpPr>
        <xdr:spPr bwMode="auto">
          <a:xfrm>
            <a:off x="489" y="97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9" name="Rectangle 15">
            <a:extLst>
              <a:ext uri="{FF2B5EF4-FFF2-40B4-BE49-F238E27FC236}">
                <a16:creationId xmlns:a16="http://schemas.microsoft.com/office/drawing/2014/main" id="{0600F1AA-0544-7167-2BDE-FD811DE5EB62}"/>
              </a:ext>
            </a:extLst>
          </xdr:cNvPr>
          <xdr:cNvSpPr>
            <a:spLocks noChangeArrowheads="1"/>
          </xdr:cNvSpPr>
        </xdr:nvSpPr>
        <xdr:spPr bwMode="auto">
          <a:xfrm>
            <a:off x="0" y="17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10" name="Rectangle 18">
            <a:extLst>
              <a:ext uri="{FF2B5EF4-FFF2-40B4-BE49-F238E27FC236}">
                <a16:creationId xmlns:a16="http://schemas.microsoft.com/office/drawing/2014/main" id="{32FC4EEA-257E-C8BD-0B77-C1E598A519BA}"/>
              </a:ext>
            </a:extLst>
          </xdr:cNvPr>
          <xdr:cNvSpPr>
            <a:spLocks noChangeArrowheads="1"/>
          </xdr:cNvSpPr>
        </xdr:nvSpPr>
        <xdr:spPr bwMode="auto">
          <a:xfrm>
            <a:off x="0" y="17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11" name="Picture 47">
            <a:extLst>
              <a:ext uri="{FF2B5EF4-FFF2-40B4-BE49-F238E27FC236}">
                <a16:creationId xmlns:a16="http://schemas.microsoft.com/office/drawing/2014/main" id="{2C0AC03B-00EE-92AC-DF12-E55415CA865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3" y="5"/>
            <a:ext cx="70" cy="10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2" name="Rectangle 48">
            <a:extLst>
              <a:ext uri="{FF2B5EF4-FFF2-40B4-BE49-F238E27FC236}">
                <a16:creationId xmlns:a16="http://schemas.microsoft.com/office/drawing/2014/main" id="{8A37FF52-520A-C071-51D5-1D9EB18A6524}"/>
              </a:ext>
            </a:extLst>
          </xdr:cNvPr>
          <xdr:cNvSpPr>
            <a:spLocks noChangeArrowheads="1"/>
          </xdr:cNvSpPr>
        </xdr:nvSpPr>
        <xdr:spPr bwMode="auto">
          <a:xfrm>
            <a:off x="224" y="104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13" name="Rectangle 50">
            <a:extLst>
              <a:ext uri="{FF2B5EF4-FFF2-40B4-BE49-F238E27FC236}">
                <a16:creationId xmlns:a16="http://schemas.microsoft.com/office/drawing/2014/main" id="{45D6530D-447C-08AC-6C6B-CCD6BFF8E945}"/>
              </a:ext>
            </a:extLst>
          </xdr:cNvPr>
          <xdr:cNvSpPr>
            <a:spLocks noChangeArrowheads="1"/>
          </xdr:cNvSpPr>
        </xdr:nvSpPr>
        <xdr:spPr bwMode="auto">
          <a:xfrm>
            <a:off x="207" y="116"/>
            <a:ext cx="1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7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4" name="Rectangle 52">
            <a:extLst>
              <a:ext uri="{FF2B5EF4-FFF2-40B4-BE49-F238E27FC236}">
                <a16:creationId xmlns:a16="http://schemas.microsoft.com/office/drawing/2014/main" id="{68725DE6-83D3-E6A2-565B-90BE53F08E77}"/>
              </a:ext>
            </a:extLst>
          </xdr:cNvPr>
          <xdr:cNvSpPr>
            <a:spLocks noChangeArrowheads="1"/>
          </xdr:cNvSpPr>
        </xdr:nvSpPr>
        <xdr:spPr bwMode="auto">
          <a:xfrm>
            <a:off x="188" y="122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15" name="Rectangle 54">
            <a:extLst>
              <a:ext uri="{FF2B5EF4-FFF2-40B4-BE49-F238E27FC236}">
                <a16:creationId xmlns:a16="http://schemas.microsoft.com/office/drawing/2014/main" id="{25A66DBC-7C90-EB8A-ED3F-F0C77EAD8000}"/>
              </a:ext>
            </a:extLst>
          </xdr:cNvPr>
          <xdr:cNvSpPr>
            <a:spLocks noChangeArrowheads="1"/>
          </xdr:cNvSpPr>
        </xdr:nvSpPr>
        <xdr:spPr bwMode="auto">
          <a:xfrm>
            <a:off x="170" y="135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16" name="Rectangle 55">
            <a:extLst>
              <a:ext uri="{FF2B5EF4-FFF2-40B4-BE49-F238E27FC236}">
                <a16:creationId xmlns:a16="http://schemas.microsoft.com/office/drawing/2014/main" id="{6D3A97F4-5BF0-083C-A511-9353BCB0B863}"/>
              </a:ext>
            </a:extLst>
          </xdr:cNvPr>
          <xdr:cNvSpPr>
            <a:spLocks noChangeArrowheads="1"/>
          </xdr:cNvSpPr>
        </xdr:nvSpPr>
        <xdr:spPr bwMode="auto">
          <a:xfrm>
            <a:off x="174" y="135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17" name="Rectangle 57">
            <a:extLst>
              <a:ext uri="{FF2B5EF4-FFF2-40B4-BE49-F238E27FC236}">
                <a16:creationId xmlns:a16="http://schemas.microsoft.com/office/drawing/2014/main" id="{FAC9881D-8775-E319-C72E-DC522445719D}"/>
              </a:ext>
            </a:extLst>
          </xdr:cNvPr>
          <xdr:cNvSpPr>
            <a:spLocks noChangeArrowheads="1"/>
          </xdr:cNvSpPr>
        </xdr:nvSpPr>
        <xdr:spPr bwMode="auto">
          <a:xfrm>
            <a:off x="388" y="111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8" name="Rectangle 59">
            <a:extLst>
              <a:ext uri="{FF2B5EF4-FFF2-40B4-BE49-F238E27FC236}">
                <a16:creationId xmlns:a16="http://schemas.microsoft.com/office/drawing/2014/main" id="{0889E179-B7CD-5F7B-AE20-6DD22A137158}"/>
              </a:ext>
            </a:extLst>
          </xdr:cNvPr>
          <xdr:cNvSpPr>
            <a:spLocks noChangeArrowheads="1"/>
          </xdr:cNvSpPr>
        </xdr:nvSpPr>
        <xdr:spPr bwMode="auto">
          <a:xfrm>
            <a:off x="372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19" name="Rectangle 60">
            <a:extLst>
              <a:ext uri="{FF2B5EF4-FFF2-40B4-BE49-F238E27FC236}">
                <a16:creationId xmlns:a16="http://schemas.microsoft.com/office/drawing/2014/main" id="{AE68246E-D63A-E43F-A671-159685A93927}"/>
              </a:ext>
            </a:extLst>
          </xdr:cNvPr>
          <xdr:cNvSpPr>
            <a:spLocks noChangeArrowheads="1"/>
          </xdr:cNvSpPr>
        </xdr:nvSpPr>
        <xdr:spPr bwMode="auto">
          <a:xfrm>
            <a:off x="378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0" name="Rectangle 61">
            <a:extLst>
              <a:ext uri="{FF2B5EF4-FFF2-40B4-BE49-F238E27FC236}">
                <a16:creationId xmlns:a16="http://schemas.microsoft.com/office/drawing/2014/main" id="{3122369F-A8B8-0359-873E-EDA0129B4960}"/>
              </a:ext>
            </a:extLst>
          </xdr:cNvPr>
          <xdr:cNvSpPr>
            <a:spLocks noChangeArrowheads="1"/>
          </xdr:cNvSpPr>
        </xdr:nvSpPr>
        <xdr:spPr bwMode="auto">
          <a:xfrm>
            <a:off x="381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21" name="Rectangle 62">
            <a:extLst>
              <a:ext uri="{FF2B5EF4-FFF2-40B4-BE49-F238E27FC236}">
                <a16:creationId xmlns:a16="http://schemas.microsoft.com/office/drawing/2014/main" id="{F88B43FA-043F-43D6-2357-ED6BAC6000E3}"/>
              </a:ext>
            </a:extLst>
          </xdr:cNvPr>
          <xdr:cNvSpPr>
            <a:spLocks noChangeArrowheads="1"/>
          </xdr:cNvSpPr>
        </xdr:nvSpPr>
        <xdr:spPr bwMode="auto">
          <a:xfrm>
            <a:off x="408" y="126"/>
            <a:ext cx="0" cy="1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22" name="Rectangle 64">
            <a:extLst>
              <a:ext uri="{FF2B5EF4-FFF2-40B4-BE49-F238E27FC236}">
                <a16:creationId xmlns:a16="http://schemas.microsoft.com/office/drawing/2014/main" id="{8F0BC775-5352-6345-E15C-925CD3C04525}"/>
              </a:ext>
            </a:extLst>
          </xdr:cNvPr>
          <xdr:cNvSpPr>
            <a:spLocks noChangeArrowheads="1"/>
          </xdr:cNvSpPr>
        </xdr:nvSpPr>
        <xdr:spPr bwMode="auto">
          <a:xfrm>
            <a:off x="432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23" name="Rectangle 67">
            <a:extLst>
              <a:ext uri="{FF2B5EF4-FFF2-40B4-BE49-F238E27FC236}">
                <a16:creationId xmlns:a16="http://schemas.microsoft.com/office/drawing/2014/main" id="{366EA68A-1173-4B16-E8A4-9A9CC13B5D70}"/>
              </a:ext>
            </a:extLst>
          </xdr:cNvPr>
          <xdr:cNvSpPr>
            <a:spLocks noChangeArrowheads="1"/>
          </xdr:cNvSpPr>
        </xdr:nvSpPr>
        <xdr:spPr bwMode="auto">
          <a:xfrm>
            <a:off x="463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4" name="Rectangle 70">
            <a:extLst>
              <a:ext uri="{FF2B5EF4-FFF2-40B4-BE49-F238E27FC236}">
                <a16:creationId xmlns:a16="http://schemas.microsoft.com/office/drawing/2014/main" id="{99C1F2E1-78DA-D5C8-4305-0A0341D2D2E0}"/>
              </a:ext>
            </a:extLst>
          </xdr:cNvPr>
          <xdr:cNvSpPr>
            <a:spLocks noChangeArrowheads="1"/>
          </xdr:cNvSpPr>
        </xdr:nvSpPr>
        <xdr:spPr bwMode="auto">
          <a:xfrm>
            <a:off x="756" y="148"/>
            <a:ext cx="1" cy="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8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5" name="Rectangle 71">
            <a:extLst>
              <a:ext uri="{FF2B5EF4-FFF2-40B4-BE49-F238E27FC236}">
                <a16:creationId xmlns:a16="http://schemas.microsoft.com/office/drawing/2014/main" id="{89179399-61F1-D0E8-B465-123ED347B49E}"/>
              </a:ext>
            </a:extLst>
          </xdr:cNvPr>
          <xdr:cNvSpPr>
            <a:spLocks noChangeArrowheads="1"/>
          </xdr:cNvSpPr>
        </xdr:nvSpPr>
        <xdr:spPr bwMode="auto">
          <a:xfrm>
            <a:off x="0" y="112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26" name="Rectangle 79">
            <a:extLst>
              <a:ext uri="{FF2B5EF4-FFF2-40B4-BE49-F238E27FC236}">
                <a16:creationId xmlns:a16="http://schemas.microsoft.com/office/drawing/2014/main" id="{14F42731-67A5-B6C7-B1A0-CCB5B5D6A04F}"/>
              </a:ext>
            </a:extLst>
          </xdr:cNvPr>
          <xdr:cNvSpPr>
            <a:spLocks noChangeArrowheads="1"/>
          </xdr:cNvSpPr>
        </xdr:nvSpPr>
        <xdr:spPr bwMode="auto">
          <a:xfrm>
            <a:off x="501" y="112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27" name="Rectangle 90">
            <a:extLst>
              <a:ext uri="{FF2B5EF4-FFF2-40B4-BE49-F238E27FC236}">
                <a16:creationId xmlns:a16="http://schemas.microsoft.com/office/drawing/2014/main" id="{8F3B18A0-8549-9D61-1B19-A70AAD66F800}"/>
              </a:ext>
            </a:extLst>
          </xdr:cNvPr>
          <xdr:cNvSpPr>
            <a:spLocks noChangeArrowheads="1"/>
          </xdr:cNvSpPr>
        </xdr:nvSpPr>
        <xdr:spPr bwMode="auto">
          <a:xfrm>
            <a:off x="0" y="166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28" name="Rectangle 117">
            <a:extLst>
              <a:ext uri="{FF2B5EF4-FFF2-40B4-BE49-F238E27FC236}">
                <a16:creationId xmlns:a16="http://schemas.microsoft.com/office/drawing/2014/main" id="{9A069D8D-348A-421C-0D35-CAD8A7D00AD4}"/>
              </a:ext>
            </a:extLst>
          </xdr:cNvPr>
          <xdr:cNvSpPr>
            <a:spLocks noChangeArrowheads="1"/>
          </xdr:cNvSpPr>
        </xdr:nvSpPr>
        <xdr:spPr bwMode="auto">
          <a:xfrm>
            <a:off x="8" y="16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ristian%20Quintero\Desktop\INFRAESTRUCTURA%20ZARZAL\PRESUPUESTOS\CONCRETO%20RIGIDO%20-%20LA%20PAILA%20CARRERA%205\PPTO%20INTERVENCION%20VIA%20PAV.%20RIGIDO%20LA%20PAILA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\Root\Users\Administrador\Desktop\AMV03NARI&#209;O%20ACTUAL\PRESUPUESTOS\Ruta%201702\PRESENTACI&#211;N%20BOGOT&#193;_RUTA%201702_26%20MARZO%202012\a%20%20aaInformaci&#243;n%20GRUPO%204\A%20MInformes%20Mensuales\Informe%20de%20estado%20vial%20ene\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Documents/INGEARQ/2026/ZARZAL/NUEVO/PPTO%20INTERVENCION%20VIAL%20-%20ZARZ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>
        <row r="2">
          <cell r="A2">
            <v>0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/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/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/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/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/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/>
      <sheetData sheetId="933"/>
      <sheetData sheetId="934"/>
      <sheetData sheetId="935"/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#REF"/>
      <sheetName val="aCCIDENTES_DE_1995_-_199633"/>
      <sheetName val="aCCIDENTES_DE_1995_-_1996_xls10"/>
      <sheetName val="GENERALIDADES"/>
      <sheetName val="analisis costo horario"/>
      <sheetName val="Lista Base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oja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/>
      <sheetData sheetId="331" refreshError="1"/>
      <sheetData sheetId="332"/>
      <sheetData sheetId="333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210.2.2"/>
      <sheetName val="PESOS"/>
      <sheetName val="TARIFAS"/>
      <sheetName val="OCTUBRE"/>
      <sheetName val="Sheet1"/>
      <sheetName val="PrecRec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EST2"/>
      <sheetName val="Hoja2"/>
      <sheetName val="perfil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 refreshError="1"/>
      <sheetData sheetId="13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Resumen Presupuesto"/>
      <sheetName val="Todos los APUs"/>
    </sheetNames>
    <sheetDataSet>
      <sheetData sheetId="0">
        <row r="2">
          <cell r="B2" t="str">
            <v>Materiales</v>
          </cell>
          <cell r="C2"/>
          <cell r="D2"/>
          <cell r="E2"/>
        </row>
        <row r="3">
          <cell r="B3" t="str">
            <v>CODIGO</v>
          </cell>
          <cell r="C3" t="str">
            <v>DESCRIPCIÓN</v>
          </cell>
          <cell r="D3" t="str">
            <v>UNIDAD</v>
          </cell>
          <cell r="E3" t="str">
            <v>PRECIO UNITARIO</v>
          </cell>
        </row>
        <row r="4">
          <cell r="B4" t="str">
            <v>100053</v>
          </cell>
          <cell r="C4" t="str">
            <v>AGUA</v>
          </cell>
          <cell r="D4" t="str">
            <v>LT</v>
          </cell>
          <cell r="E4">
            <v>78</v>
          </cell>
        </row>
        <row r="5">
          <cell r="B5" t="str">
            <v>100076</v>
          </cell>
          <cell r="C5" t="str">
            <v>ALAMBRE NEGRO PARA AMARRE CALIBRE 18</v>
          </cell>
          <cell r="D5" t="str">
            <v>KG</v>
          </cell>
          <cell r="E5">
            <v>6569</v>
          </cell>
        </row>
        <row r="6">
          <cell r="B6" t="str">
            <v>100111</v>
          </cell>
          <cell r="C6" t="str">
            <v>ANTISOL BLANCO</v>
          </cell>
          <cell r="D6" t="str">
            <v>KG</v>
          </cell>
          <cell r="E6">
            <v>14411</v>
          </cell>
        </row>
        <row r="7">
          <cell r="B7" t="str">
            <v>100112</v>
          </cell>
          <cell r="C7" t="str">
            <v>ANTISOL ROJO</v>
          </cell>
          <cell r="D7" t="str">
            <v>KG</v>
          </cell>
          <cell r="E7">
            <v>29954</v>
          </cell>
        </row>
        <row r="8">
          <cell r="B8" t="str">
            <v>100806</v>
          </cell>
          <cell r="C8" t="str">
            <v>CUARTON 2" X 4" X 300 AMARILLO</v>
          </cell>
          <cell r="D8" t="str">
            <v>UND</v>
          </cell>
          <cell r="E8">
            <v>30765</v>
          </cell>
        </row>
        <row r="9">
          <cell r="B9" t="str">
            <v>101007</v>
          </cell>
          <cell r="C9" t="str">
            <v>ACERO DE REFUERZO DE 37.000 PSI 259 MPA</v>
          </cell>
          <cell r="D9" t="str">
            <v>KG</v>
          </cell>
          <cell r="E9">
            <v>5800</v>
          </cell>
        </row>
        <row r="10">
          <cell r="B10" t="str">
            <v>101012</v>
          </cell>
          <cell r="C10" t="str">
            <v>HIERRO CHIPA 1/4"</v>
          </cell>
          <cell r="D10" t="str">
            <v>KG</v>
          </cell>
          <cell r="E10">
            <v>5900</v>
          </cell>
        </row>
        <row r="11">
          <cell r="B11" t="str">
            <v>101015</v>
          </cell>
          <cell r="C11" t="str">
            <v>ACERO DE REFUERZO 3/8" 60.000</v>
          </cell>
          <cell r="D11" t="str">
            <v>KG</v>
          </cell>
          <cell r="E11">
            <v>5800</v>
          </cell>
        </row>
        <row r="12">
          <cell r="B12" t="str">
            <v>101622</v>
          </cell>
          <cell r="C12" t="str">
            <v>SELLADOR POLIURETANO ELASTICO 300 ML</v>
          </cell>
          <cell r="D12" t="str">
            <v>UND</v>
          </cell>
          <cell r="E12">
            <v>73070</v>
          </cell>
        </row>
        <row r="13">
          <cell r="B13" t="str">
            <v>101717</v>
          </cell>
          <cell r="C13" t="str">
            <v>TABLA OTOBO 1X10X300 CM</v>
          </cell>
          <cell r="D13" t="str">
            <v>UND</v>
          </cell>
          <cell r="E13">
            <v>21240</v>
          </cell>
        </row>
        <row r="14">
          <cell r="B14" t="str">
            <v>103093</v>
          </cell>
          <cell r="C14" t="str">
            <v>PLANO</v>
          </cell>
          <cell r="D14" t="str">
            <v>UND</v>
          </cell>
          <cell r="E14">
            <v>14437</v>
          </cell>
        </row>
        <row r="15">
          <cell r="B15" t="str">
            <v>103094</v>
          </cell>
          <cell r="C15" t="str">
            <v>JUNTA POLIET. CELDA CERRADA 6 MM</v>
          </cell>
          <cell r="D15" t="str">
            <v>M</v>
          </cell>
          <cell r="E15">
            <v>1941</v>
          </cell>
        </row>
        <row r="16">
          <cell r="B16" t="str">
            <v>115010</v>
          </cell>
          <cell r="C16" t="str">
            <v>INSUMOS COMPLEMENTARIOS</v>
          </cell>
          <cell r="D16" t="str">
            <v>GLB</v>
          </cell>
          <cell r="E16">
            <v>867</v>
          </cell>
        </row>
        <row r="17">
          <cell r="B17" t="str">
            <v>119078</v>
          </cell>
          <cell r="C17" t="str">
            <v>DESENCOFRANTE PARA FORMALETA</v>
          </cell>
          <cell r="D17" t="str">
            <v>CUÃ?ETE</v>
          </cell>
          <cell r="E17">
            <v>297442</v>
          </cell>
        </row>
        <row r="18">
          <cell r="B18" t="str">
            <v>140002</v>
          </cell>
          <cell r="C18" t="str">
            <v>ACERO DE REFUERZO PDR-60, FY: 4200 KG/CM2</v>
          </cell>
          <cell r="D18" t="str">
            <v>KG</v>
          </cell>
          <cell r="E18">
            <v>5800</v>
          </cell>
        </row>
        <row r="19">
          <cell r="B19" t="str">
            <v>140117</v>
          </cell>
          <cell r="C19" t="str">
            <v>MATERIAL DE SUB- BASE CLASE A (NT3) GRADACIÓN SBG-50</v>
          </cell>
          <cell r="D19" t="str">
            <v>M3</v>
          </cell>
          <cell r="E19">
            <v>63586</v>
          </cell>
        </row>
        <row r="20">
          <cell r="B20" t="str">
            <v>ME0101</v>
          </cell>
          <cell r="C20" t="str">
            <v>MEZCLA CONCRETO 1:2:1 4000 PSI - 28,0 Mpa</v>
          </cell>
          <cell r="D20" t="str">
            <v>M3</v>
          </cell>
          <cell r="E20">
            <v>720000</v>
          </cell>
        </row>
        <row r="21">
          <cell r="B21" t="str">
            <v>ME0105</v>
          </cell>
          <cell r="C21" t="str">
            <v>MEZCLA CONCRETO 1:2:3 3100 PSI - 22,0 Mpa</v>
          </cell>
          <cell r="D21" t="str">
            <v>M3</v>
          </cell>
          <cell r="E21">
            <v>645000</v>
          </cell>
        </row>
        <row r="22">
          <cell r="B22" t="str">
            <v>134337</v>
          </cell>
          <cell r="C22" t="str">
            <v>DISPOSICION FINAL DE ESCOMBRO Y SOBRANTES</v>
          </cell>
          <cell r="D22" t="str">
            <v>M3</v>
          </cell>
          <cell r="E22">
            <v>10000</v>
          </cell>
        </row>
        <row r="25">
          <cell r="B25" t="str">
            <v>Mano de Obra</v>
          </cell>
          <cell r="C25"/>
          <cell r="D25"/>
          <cell r="E25"/>
        </row>
        <row r="26">
          <cell r="B26" t="str">
            <v>CODIGO</v>
          </cell>
          <cell r="C26" t="str">
            <v>DESCRIPCIÓN</v>
          </cell>
          <cell r="D26" t="str">
            <v>UNIDAD</v>
          </cell>
          <cell r="E26" t="str">
            <v>JORNAL</v>
          </cell>
        </row>
        <row r="27">
          <cell r="B27" t="str">
            <v>200006</v>
          </cell>
          <cell r="C27" t="str">
            <v>M.O. 1 AYUDANTE</v>
          </cell>
          <cell r="D27" t="str">
            <v>JORNAL</v>
          </cell>
          <cell r="E27">
            <v>78987.78</v>
          </cell>
        </row>
        <row r="28">
          <cell r="B28" t="str">
            <v>200008</v>
          </cell>
          <cell r="C28" t="str">
            <v>M.O. 2 AYUDANTES</v>
          </cell>
          <cell r="D28" t="str">
            <v>JORNAL</v>
          </cell>
          <cell r="E28">
            <v>157975.56</v>
          </cell>
        </row>
        <row r="29">
          <cell r="B29" t="str">
            <v>200009</v>
          </cell>
          <cell r="C29" t="str">
            <v>M.O. 2 AYUDANTES + 1 OFICIAL</v>
          </cell>
          <cell r="D29" t="str">
            <v>JORNAL</v>
          </cell>
          <cell r="E29">
            <v>292255.56</v>
          </cell>
        </row>
        <row r="30">
          <cell r="B30" t="str">
            <v>200013</v>
          </cell>
          <cell r="C30" t="str">
            <v>M.O. 5 AYUDANTES + 1 OFICIAL</v>
          </cell>
          <cell r="D30" t="str">
            <v>JORNAL</v>
          </cell>
          <cell r="E30">
            <v>529181.11</v>
          </cell>
        </row>
        <row r="31">
          <cell r="B31">
            <v>200027</v>
          </cell>
          <cell r="C31" t="str">
            <v>M.O. TOPOGRAFIA 1 CADENERO + 1 TOPOG.</v>
          </cell>
          <cell r="D31" t="str">
            <v>JORNAL</v>
          </cell>
          <cell r="E31">
            <v>422633.89</v>
          </cell>
        </row>
        <row r="32">
          <cell r="B32" t="str">
            <v>200100</v>
          </cell>
          <cell r="C32" t="str">
            <v>M.O. 1 OFICIAL</v>
          </cell>
          <cell r="D32" t="str">
            <v>JORNAL</v>
          </cell>
          <cell r="E32">
            <v>134280</v>
          </cell>
        </row>
        <row r="36">
          <cell r="B36" t="str">
            <v>Equipo</v>
          </cell>
          <cell r="C36"/>
          <cell r="D36"/>
          <cell r="E36"/>
        </row>
        <row r="37">
          <cell r="B37" t="str">
            <v>CODIGO</v>
          </cell>
          <cell r="C37" t="str">
            <v>DESCRIPCIÓN</v>
          </cell>
          <cell r="D37" t="str">
            <v>UNIDAD</v>
          </cell>
          <cell r="E37" t="str">
            <v>TARIFA</v>
          </cell>
        </row>
        <row r="38">
          <cell r="B38" t="str">
            <v>300014</v>
          </cell>
          <cell r="C38" t="str">
            <v>COMPRESOR DE DOS MARTILLOS</v>
          </cell>
          <cell r="D38" t="str">
            <v>H</v>
          </cell>
          <cell r="E38">
            <v>131573</v>
          </cell>
        </row>
        <row r="39">
          <cell r="B39" t="str">
            <v>300017</v>
          </cell>
          <cell r="C39" t="str">
            <v>CORTADORA DE PAVIMENTO DE 4 A 7 CM</v>
          </cell>
          <cell r="D39" t="str">
            <v>M</v>
          </cell>
          <cell r="E39">
            <v>7731</v>
          </cell>
        </row>
        <row r="40">
          <cell r="B40" t="str">
            <v>300021</v>
          </cell>
          <cell r="C40" t="str">
            <v>FORMALETA MET.PAVIMENTO 0.15X0.20X3MTS</v>
          </cell>
          <cell r="D40" t="str">
            <v>DIA</v>
          </cell>
          <cell r="E40">
            <v>8943</v>
          </cell>
        </row>
        <row r="41">
          <cell r="B41" t="str">
            <v>300044</v>
          </cell>
          <cell r="C41" t="str">
            <v>REGLA VIBRATORIA DE 4MTS</v>
          </cell>
          <cell r="D41" t="str">
            <v>DIA</v>
          </cell>
          <cell r="E41">
            <v>59661</v>
          </cell>
        </row>
        <row r="42">
          <cell r="B42">
            <v>300047</v>
          </cell>
          <cell r="C42" t="str">
            <v>RETROEXCAVADORA JD-510</v>
          </cell>
          <cell r="D42" t="str">
            <v>H</v>
          </cell>
          <cell r="E42">
            <v>157888</v>
          </cell>
        </row>
        <row r="43">
          <cell r="B43" t="str">
            <v>300054</v>
          </cell>
          <cell r="C43" t="str">
            <v>VIBRADOR A GASOLINA</v>
          </cell>
          <cell r="D43" t="str">
            <v>DIA</v>
          </cell>
          <cell r="E43">
            <v>43518</v>
          </cell>
        </row>
        <row r="44">
          <cell r="B44" t="str">
            <v>300060</v>
          </cell>
          <cell r="C44" t="str">
            <v>FORMALETA CAMARA INSPECCION</v>
          </cell>
          <cell r="D44" t="str">
            <v>UND</v>
          </cell>
          <cell r="E44">
            <v>78263</v>
          </cell>
        </row>
        <row r="45">
          <cell r="B45" t="str">
            <v>301002</v>
          </cell>
          <cell r="C45" t="str">
            <v>EQUIPO DE ACABADO SUPERFICIAL</v>
          </cell>
          <cell r="D45" t="str">
            <v>DIA</v>
          </cell>
          <cell r="E45">
            <v>32482</v>
          </cell>
        </row>
        <row r="46">
          <cell r="B46" t="str">
            <v>301010</v>
          </cell>
          <cell r="C46" t="str">
            <v>CARROTANQUE DE AGUA(1000 GALONES)</v>
          </cell>
          <cell r="D46" t="str">
            <v>H</v>
          </cell>
          <cell r="E46">
            <v>124018</v>
          </cell>
        </row>
        <row r="47">
          <cell r="B47" t="str">
            <v>308000</v>
          </cell>
          <cell r="C47" t="str">
            <v>CAMPERO-CAMIONETA TRANSPORTE MATERIALES</v>
          </cell>
          <cell r="D47" t="str">
            <v>DIA</v>
          </cell>
          <cell r="E47">
            <v>360898</v>
          </cell>
        </row>
        <row r="48">
          <cell r="B48" t="str">
            <v>340014</v>
          </cell>
          <cell r="C48" t="str">
            <v>CARGADOR: POTENCIA EN EL VOLANTE 110 HP, CLASIFICACIÓN DE RPM DEL MOTOR 2300</v>
          </cell>
          <cell r="D48" t="str">
            <v>H</v>
          </cell>
          <cell r="E48">
            <v>242425</v>
          </cell>
        </row>
        <row r="49">
          <cell r="B49" t="str">
            <v>340016</v>
          </cell>
          <cell r="C49" t="str">
            <v>CIZALLA MANUAL DE 90 CM</v>
          </cell>
          <cell r="D49" t="str">
            <v>H</v>
          </cell>
          <cell r="E49">
            <v>2159</v>
          </cell>
        </row>
        <row r="50">
          <cell r="B50" t="str">
            <v>340060</v>
          </cell>
          <cell r="C50" t="str">
            <v>MOTONIVELADORA POTENCIA 215 HP, ANCHO DE CUCHILLA 4,27 M, PESO 18 TON</v>
          </cell>
          <cell r="D50" t="str">
            <v>H</v>
          </cell>
          <cell r="E50">
            <v>322262</v>
          </cell>
        </row>
        <row r="51">
          <cell r="B51" t="str">
            <v>340080</v>
          </cell>
          <cell r="C51" t="str">
            <v>VIBROCOMPACTADOR, POTENCIA 153 HP, PESO 10 TON</v>
          </cell>
          <cell r="D51" t="str">
            <v>H</v>
          </cell>
          <cell r="E51">
            <v>152980</v>
          </cell>
        </row>
        <row r="52">
          <cell r="B52" t="str">
            <v>340086</v>
          </cell>
          <cell r="C52" t="str">
            <v>CAMABAJA DISTANCIA &lt; 30 KM.</v>
          </cell>
          <cell r="D52" t="str">
            <v>H</v>
          </cell>
          <cell r="E52">
            <v>355000</v>
          </cell>
        </row>
        <row r="53">
          <cell r="B53" t="str">
            <v>300065</v>
          </cell>
          <cell r="C53" t="str">
            <v>VOLQUETA O CAMION (ACARREO)</v>
          </cell>
          <cell r="D53" t="str">
            <v>M3</v>
          </cell>
          <cell r="E53">
            <v>27641</v>
          </cell>
        </row>
        <row r="54">
          <cell r="B54">
            <v>300066</v>
          </cell>
          <cell r="C54" t="str">
            <v>VOLQUETA 7M3</v>
          </cell>
          <cell r="D54" t="str">
            <v>M3</v>
          </cell>
          <cell r="E54">
            <v>118238</v>
          </cell>
        </row>
        <row r="57">
          <cell r="B57" t="str">
            <v>Transporte</v>
          </cell>
          <cell r="C57"/>
          <cell r="D57"/>
          <cell r="E57"/>
        </row>
        <row r="58">
          <cell r="B58" t="str">
            <v>CODIGO</v>
          </cell>
          <cell r="C58" t="str">
            <v>DESCRIPCIÓN</v>
          </cell>
          <cell r="D58" t="str">
            <v>UNIDAD</v>
          </cell>
          <cell r="E58" t="str">
            <v>TARIFA</v>
          </cell>
        </row>
        <row r="59">
          <cell r="B59" t="str">
            <v>440008</v>
          </cell>
          <cell r="C59" t="str">
            <v>TRANSPORTE DE MATERIAL DE SUB-BASE</v>
          </cell>
          <cell r="D59" t="str">
            <v>M3-KM</v>
          </cell>
          <cell r="E59">
            <v>1695</v>
          </cell>
        </row>
        <row r="60">
          <cell r="B60" t="str">
            <v>440020</v>
          </cell>
          <cell r="C60" t="str">
            <v>TRANSPORTE DE ACERO</v>
          </cell>
          <cell r="D60" t="str">
            <v>KG-KM</v>
          </cell>
          <cell r="E60">
            <v>100</v>
          </cell>
        </row>
      </sheetData>
      <sheetData sheetId="1">
        <row r="27">
          <cell r="E27">
            <v>0.3</v>
          </cell>
        </row>
        <row r="28">
          <cell r="E28">
            <v>0</v>
          </cell>
        </row>
        <row r="29">
          <cell r="E29">
            <v>0.05</v>
          </cell>
        </row>
      </sheetData>
      <sheetData sheetId="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Res-Accide-10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CONT_ADI"/>
      <sheetName val="otros"/>
      <sheetName val="Datos"/>
      <sheetName val="Cuadrillas"/>
      <sheetName val="Jornal"/>
      <sheetName val="Formulario N° 4"/>
      <sheetName val="MATERIALES"/>
      <sheetName val="EQUIPO"/>
      <sheetName val="\\SERVIDOR\Public2\MANTENIMIENT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OCTUBRE"/>
      <sheetName val="CRA.MODI"/>
      <sheetName val="[a  aaInformación]__cceficien_8"/>
      <sheetName val="[a  aaInformación]__cceficien_2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M.O."/>
      <sheetName val="AIU"/>
      <sheetName val="[a  aaInformación]__192_168_0_9"/>
      <sheetName val="a  aaInformaci%C3%B3n"/>
      <sheetName val="[a  aaInformación]__192_168_0_3"/>
      <sheetName val="Concretos y morteros"/>
      <sheetName val="Datos iniciales "/>
      <sheetName val="Transporte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//cceficiente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[a  aaInformación]__cceficie_41"/>
      <sheetName val="Emboquillar"/>
      <sheetName val="Acometidacobrerígido"/>
      <sheetName val="Acometidatoma"/>
      <sheetName val="Acometidahasta1&quot;"/>
      <sheetName val="precios-básicos2002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AiuApoSaraBrut2000.xls"/>
      <sheetName val="\\Lucho\transfer lucho\Mis docu"/>
      <sheetName val="Informacion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Informacion"/>
      <sheetName val="PREACTA"/>
      <sheetName val="calidad"/>
      <sheetName val="Mat"/>
      <sheetName val="Equi"/>
      <sheetName val="Otr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NEXO 7"/>
      <sheetName val="Acc%20Ago-Sep.xls"/>
      <sheetName val="Macro1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BASE"/>
      <sheetName val="General"/>
      <sheetName val="\\Pc1\E\AMV-3005-2005\ADMON GRU"/>
      <sheetName val="Hoja6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COSTOS OFICINA"/>
      <sheetName val="COSTOS CAMPAMENT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ecios"/>
      <sheetName val="ManoDeObra"/>
      <sheetName val="Distanc"/>
      <sheetName val="320.1"/>
      <sheetName val="330.2"/>
      <sheetName val="700.1"/>
      <sheetName val="días habiles 2015"/>
      <sheetName val="INS"/>
      <sheetName val="Ppto"/>
      <sheetName val="Plan auditoría"/>
      <sheetName val="Cuadro de áreas y volmúmenes"/>
      <sheetName val="Generale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20.1"/>
      <sheetName val="330.1"/>
      <sheetName val="640.1.2"/>
      <sheetName val="673.1"/>
      <sheetName val="673.2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FORMATO (1)"/>
      <sheetName val="Hoja1 (1)"/>
      <sheetName val="FORMATO (2)"/>
      <sheetName val="Hoja1 (2)"/>
      <sheetName val="FORMATO (3)"/>
      <sheetName val="Hoja1 (3)"/>
      <sheetName val="Hoja2"/>
      <sheetName val="todos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SUB APU"/>
      <sheetName val="RELACION MES"/>
      <sheetName val="PRESUPUESTO"/>
      <sheetName val="ESTADO VÍA-CRIT.TECNICO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OCTUBRE"/>
      <sheetName val="CLASIFICACION"/>
      <sheetName val="CODCONST"/>
      <sheetName val="PREACTA Y CONTRATISTAS"/>
      <sheetName val="5. ELECTRICO"/>
      <sheetName val=" Liquidacion de Obra por Tramos"/>
      <sheetName val="REC-COD,"/>
      <sheetName val="LISTA DE PRECIOS"/>
      <sheetName val="062"/>
      <sheetName val="Listado"/>
      <sheetName val="Lp"/>
      <sheetName val="Summary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Bajada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NARIÑO"/>
      <sheetName val="OBRAS SES"/>
      <sheetName val="UNITARIOS"/>
      <sheetName val="THE"/>
      <sheetName val="ATHE"/>
      <sheetName val="Hoja2"/>
      <sheetName val="Cuadr.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2,2,6,1 Pilotes 0,30"/>
      <sheetName val="inst"/>
      <sheetName val="PREACTA_61"/>
      <sheetName val="A_P_U1"/>
      <sheetName val="PREACTA_6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PROGR_2"/>
      <sheetName val="PROGR_3"/>
      <sheetName val="1,01"/>
      <sheetName val="EQUIPO"/>
      <sheetName val="ELECTRICO"/>
      <sheetName val="Vuelta"/>
      <sheetName val="Lista APU"/>
      <sheetName val="devdics"/>
      <sheetName val="UNIT."/>
      <sheetName val="glvc"/>
      <sheetName val="Cuadro p. Capital Vs estimad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Resumen Presupuesto"/>
      <sheetName val="CANTIDAD"/>
      <sheetName val="Todos los APUs"/>
    </sheetNames>
    <sheetDataSet>
      <sheetData sheetId="0" refreshError="1">
        <row r="2">
          <cell r="B2" t="str">
            <v>Materiales</v>
          </cell>
          <cell r="C2"/>
          <cell r="D2"/>
          <cell r="E2"/>
        </row>
        <row r="3">
          <cell r="B3" t="str">
            <v>CODIGO</v>
          </cell>
          <cell r="C3" t="str">
            <v>DESCRIPCIÓN</v>
          </cell>
          <cell r="D3" t="str">
            <v>UNIDAD</v>
          </cell>
          <cell r="E3" t="str">
            <v>PRECIO UNITARIO</v>
          </cell>
        </row>
        <row r="4">
          <cell r="B4" t="str">
            <v>100011</v>
          </cell>
          <cell r="C4" t="str">
            <v>ACEITE MOTOR 4 TIEMPOS</v>
          </cell>
          <cell r="D4" t="str">
            <v>GLN</v>
          </cell>
          <cell r="E4">
            <v>123272</v>
          </cell>
        </row>
        <row r="5">
          <cell r="B5" t="str">
            <v>100015</v>
          </cell>
          <cell r="C5" t="str">
            <v>ACONDICION SUPERF NOVAFORT</v>
          </cell>
          <cell r="D5" t="str">
            <v>GLN</v>
          </cell>
          <cell r="E5">
            <v>145748</v>
          </cell>
        </row>
        <row r="6">
          <cell r="B6" t="str">
            <v>100041</v>
          </cell>
          <cell r="C6" t="str">
            <v>ADHESIVO EPOX. ALCANTARILLADO</v>
          </cell>
          <cell r="D6" t="str">
            <v>GLN</v>
          </cell>
          <cell r="E6">
            <v>537597</v>
          </cell>
        </row>
        <row r="7">
          <cell r="B7" t="str">
            <v>100053</v>
          </cell>
          <cell r="C7" t="str">
            <v>AGUA</v>
          </cell>
          <cell r="D7" t="str">
            <v>LT</v>
          </cell>
          <cell r="E7">
            <v>78</v>
          </cell>
        </row>
        <row r="8">
          <cell r="B8" t="str">
            <v>100075</v>
          </cell>
          <cell r="C8" t="str">
            <v>ALAMBRE GALVANIZADO CALIBRE 18</v>
          </cell>
          <cell r="D8" t="str">
            <v>KG</v>
          </cell>
          <cell r="E8">
            <v>17745</v>
          </cell>
        </row>
        <row r="9">
          <cell r="B9" t="str">
            <v>100076</v>
          </cell>
          <cell r="C9" t="str">
            <v>ALAMBRE NEGRO PARA AMARRE CALIBRE 18</v>
          </cell>
          <cell r="D9" t="str">
            <v>KG</v>
          </cell>
          <cell r="E9">
            <v>6569</v>
          </cell>
        </row>
        <row r="10">
          <cell r="B10" t="str">
            <v>100111</v>
          </cell>
          <cell r="C10" t="str">
            <v>ANTISOL BLANCO</v>
          </cell>
          <cell r="D10" t="str">
            <v>KG</v>
          </cell>
          <cell r="E10">
            <v>14411</v>
          </cell>
        </row>
        <row r="11">
          <cell r="B11" t="str">
            <v>100112</v>
          </cell>
          <cell r="C11" t="str">
            <v>ANTISOL ROJO</v>
          </cell>
          <cell r="D11" t="str">
            <v>KG</v>
          </cell>
          <cell r="E11">
            <v>29954</v>
          </cell>
        </row>
        <row r="12">
          <cell r="B12" t="str">
            <v>100123</v>
          </cell>
          <cell r="C12" t="str">
            <v>ARENA DE TRITURACIÓN Y/O ARENA GRUESA DE RIO</v>
          </cell>
          <cell r="D12" t="str">
            <v>M3</v>
          </cell>
          <cell r="E12">
            <v>54944</v>
          </cell>
        </row>
        <row r="13">
          <cell r="B13" t="str">
            <v>100804</v>
          </cell>
          <cell r="C13" t="str">
            <v>CUARTON 2" X 4" AMARILLO</v>
          </cell>
          <cell r="D13" t="str">
            <v>M</v>
          </cell>
          <cell r="E13">
            <v>15415</v>
          </cell>
        </row>
        <row r="14">
          <cell r="B14" t="str">
            <v>100806</v>
          </cell>
          <cell r="C14" t="str">
            <v>CUARTON 2" X 4" X 300 AMARILLO</v>
          </cell>
          <cell r="D14" t="str">
            <v>UND</v>
          </cell>
          <cell r="E14">
            <v>30765</v>
          </cell>
        </row>
        <row r="15">
          <cell r="B15" t="str">
            <v>100849</v>
          </cell>
          <cell r="C15" t="str">
            <v>DISOLVENTE PARA PINTURA DE DEMARCACION VIAL (XILOL)</v>
          </cell>
          <cell r="D15" t="str">
            <v>GLN</v>
          </cell>
          <cell r="E15">
            <v>71733</v>
          </cell>
        </row>
        <row r="16">
          <cell r="B16" t="str">
            <v>100932</v>
          </cell>
          <cell r="C16" t="str">
            <v>GASOLINA CORRIENTE</v>
          </cell>
          <cell r="D16" t="str">
            <v>GLN</v>
          </cell>
          <cell r="E16">
            <v>17613</v>
          </cell>
        </row>
        <row r="17">
          <cell r="B17" t="str">
            <v>100977</v>
          </cell>
          <cell r="C17" t="str">
            <v>GUADUA [TACO] 2.50-3M</v>
          </cell>
          <cell r="D17" t="str">
            <v>UND</v>
          </cell>
          <cell r="E17">
            <v>5749</v>
          </cell>
        </row>
        <row r="18">
          <cell r="B18" t="str">
            <v>101002</v>
          </cell>
          <cell r="C18" t="str">
            <v>SELLO ELASTOMERICO 250MM</v>
          </cell>
          <cell r="D18" t="str">
            <v>UND</v>
          </cell>
          <cell r="E18">
            <v>18703</v>
          </cell>
        </row>
        <row r="19">
          <cell r="B19" t="str">
            <v>101007</v>
          </cell>
          <cell r="C19" t="str">
            <v>ACERO DE REFUERZO DE 37.000 PSI 259 MPA</v>
          </cell>
          <cell r="D19" t="str">
            <v>KG</v>
          </cell>
          <cell r="E19">
            <v>5781</v>
          </cell>
        </row>
        <row r="20">
          <cell r="B20" t="str">
            <v>101008</v>
          </cell>
          <cell r="C20" t="str">
            <v>ACERO DE REFUERZO 60.000 PSI 420 MPA</v>
          </cell>
          <cell r="D20" t="str">
            <v>KG</v>
          </cell>
          <cell r="E20">
            <v>5781</v>
          </cell>
        </row>
        <row r="21">
          <cell r="B21" t="str">
            <v>101014</v>
          </cell>
          <cell r="C21" t="str">
            <v>HIERRO CHIPA 3/8"</v>
          </cell>
          <cell r="D21" t="str">
            <v>KG</v>
          </cell>
          <cell r="E21">
            <v>5775</v>
          </cell>
        </row>
        <row r="22">
          <cell r="B22" t="str">
            <v>101017</v>
          </cell>
          <cell r="C22" t="str">
            <v>ACERO DE REFUERZO 5/8" 60.000</v>
          </cell>
          <cell r="D22" t="str">
            <v>KG</v>
          </cell>
          <cell r="E22">
            <v>4467</v>
          </cell>
        </row>
        <row r="23">
          <cell r="B23" t="str">
            <v>101127</v>
          </cell>
          <cell r="C23" t="str">
            <v>LIMPIADOR PVC 1/4 GLN (760 GRMS)</v>
          </cell>
          <cell r="D23" t="str">
            <v>UND</v>
          </cell>
          <cell r="E23">
            <v>65554</v>
          </cell>
        </row>
        <row r="24">
          <cell r="B24" t="str">
            <v>101363</v>
          </cell>
          <cell r="C24" t="str">
            <v>PINTURA ACRÍLICA PURA PARA DEMARCACION VIAL</v>
          </cell>
          <cell r="D24" t="str">
            <v>GLN</v>
          </cell>
          <cell r="E24">
            <v>142368</v>
          </cell>
        </row>
        <row r="25">
          <cell r="B25" t="str">
            <v>101505</v>
          </cell>
          <cell r="C25" t="str">
            <v>PUNTILLA CON CABEZA 1"</v>
          </cell>
          <cell r="D25" t="str">
            <v>LB</v>
          </cell>
          <cell r="E25">
            <v>5744</v>
          </cell>
        </row>
        <row r="26">
          <cell r="B26" t="str">
            <v>101509</v>
          </cell>
          <cell r="C26" t="str">
            <v>PUNTILLA CON CABEZA 2"</v>
          </cell>
          <cell r="D26" t="str">
            <v>LB</v>
          </cell>
          <cell r="E26">
            <v>5191</v>
          </cell>
        </row>
        <row r="27">
          <cell r="B27" t="str">
            <v>101587</v>
          </cell>
          <cell r="C27" t="str">
            <v>SUB BASE</v>
          </cell>
          <cell r="D27" t="str">
            <v>M3</v>
          </cell>
          <cell r="E27">
            <v>63586</v>
          </cell>
        </row>
        <row r="28">
          <cell r="B28" t="str">
            <v>101605</v>
          </cell>
          <cell r="C28" t="str">
            <v>SEGUETA SIN MARCO PARA METAL 12" X 24DDP</v>
          </cell>
          <cell r="D28" t="str">
            <v>UND</v>
          </cell>
          <cell r="E28">
            <v>7684</v>
          </cell>
        </row>
        <row r="29">
          <cell r="B29" t="str">
            <v>101622</v>
          </cell>
          <cell r="C29" t="str">
            <v>SELLADOR POLIURETANO ELASTICO 300 ML</v>
          </cell>
          <cell r="D29" t="str">
            <v>UND</v>
          </cell>
          <cell r="E29">
            <v>73070</v>
          </cell>
        </row>
        <row r="30">
          <cell r="B30" t="str">
            <v>101641</v>
          </cell>
          <cell r="C30" t="str">
            <v>SILLA YEE 250X160MM TIPO NOVAFORT</v>
          </cell>
          <cell r="D30" t="str">
            <v>UND</v>
          </cell>
          <cell r="E30">
            <v>165459</v>
          </cell>
        </row>
        <row r="31">
          <cell r="B31" t="str">
            <v>101658</v>
          </cell>
          <cell r="C31" t="str">
            <v>SOLDADURA PVC 1/4 GLN</v>
          </cell>
          <cell r="D31" t="str">
            <v>UND</v>
          </cell>
          <cell r="E31">
            <v>123064</v>
          </cell>
        </row>
        <row r="32">
          <cell r="B32" t="str">
            <v>101717</v>
          </cell>
          <cell r="C32" t="str">
            <v>TABLA OTOBO 1X10X300 CM</v>
          </cell>
          <cell r="D32" t="str">
            <v>UND</v>
          </cell>
          <cell r="E32">
            <v>21240</v>
          </cell>
        </row>
        <row r="33">
          <cell r="B33" t="str">
            <v>101718</v>
          </cell>
          <cell r="C33" t="str">
            <v>TABLA OTOBO [2C] 1X10X300 CM</v>
          </cell>
          <cell r="D33" t="str">
            <v>UND</v>
          </cell>
          <cell r="E33">
            <v>18265</v>
          </cell>
        </row>
        <row r="34">
          <cell r="B34" t="str">
            <v>101742</v>
          </cell>
          <cell r="C34" t="str">
            <v>TABLON MADERA 2"X10"X3M</v>
          </cell>
          <cell r="D34" t="str">
            <v>UND</v>
          </cell>
          <cell r="E34">
            <v>42374</v>
          </cell>
        </row>
        <row r="35">
          <cell r="B35" t="str">
            <v>102056</v>
          </cell>
          <cell r="C35" t="str">
            <v>TUBO SAN. PVC INT. LIS. - EXT. RUG. - 10" 250 MM</v>
          </cell>
          <cell r="D35" t="str">
            <v>M</v>
          </cell>
          <cell r="E35">
            <v>98496</v>
          </cell>
        </row>
        <row r="36">
          <cell r="B36" t="str">
            <v>102174</v>
          </cell>
          <cell r="C36" t="str">
            <v>TUBO SAN PVC 6"</v>
          </cell>
          <cell r="D36" t="str">
            <v>ML</v>
          </cell>
          <cell r="E36">
            <v>73696</v>
          </cell>
        </row>
        <row r="37">
          <cell r="B37" t="str">
            <v>103094</v>
          </cell>
          <cell r="C37" t="str">
            <v>JUNTA POLIET. CELDA CERRADA 6 MM</v>
          </cell>
          <cell r="D37" t="str">
            <v>M</v>
          </cell>
          <cell r="E37">
            <v>1941</v>
          </cell>
        </row>
        <row r="38">
          <cell r="B38" t="str">
            <v>105024</v>
          </cell>
          <cell r="C38" t="str">
            <v>BROCA TUGSTENO SDS MAX 3/4" X 20" (50 CM)</v>
          </cell>
          <cell r="D38" t="str">
            <v>UND</v>
          </cell>
          <cell r="E38">
            <v>262209</v>
          </cell>
        </row>
        <row r="39">
          <cell r="B39" t="str">
            <v>106015</v>
          </cell>
          <cell r="C39" t="str">
            <v>ADHES. ANCL. ESTR. 600ML TIPO ANCHORFIX 3001</v>
          </cell>
          <cell r="D39" t="str">
            <v>UND</v>
          </cell>
          <cell r="E39">
            <v>233429</v>
          </cell>
        </row>
        <row r="40">
          <cell r="B40" t="str">
            <v>106182</v>
          </cell>
          <cell r="C40" t="str">
            <v>MALLA FIBRA TEJIDA H=2.10M</v>
          </cell>
          <cell r="D40" t="str">
            <v>M2</v>
          </cell>
          <cell r="E40">
            <v>3151</v>
          </cell>
        </row>
        <row r="41">
          <cell r="B41" t="str">
            <v>115014</v>
          </cell>
          <cell r="C41" t="str">
            <v>MICROESFERAS REFLECTIVAS DE VIDRIO</v>
          </cell>
          <cell r="D41" t="str">
            <v>KG</v>
          </cell>
          <cell r="E41">
            <v>21853</v>
          </cell>
        </row>
        <row r="42">
          <cell r="B42" t="str">
            <v>119078</v>
          </cell>
          <cell r="C42" t="str">
            <v>DESENCOFRANTE PARA FORMALETA</v>
          </cell>
          <cell r="D42" t="str">
            <v>CUÃETE</v>
          </cell>
          <cell r="E42">
            <v>297442</v>
          </cell>
        </row>
        <row r="43">
          <cell r="B43" t="str">
            <v>134337</v>
          </cell>
          <cell r="C43" t="str">
            <v>DISPOSICION FINAL DE ESCOMBRO Y SOBRANTES</v>
          </cell>
          <cell r="D43" t="str">
            <v>M3</v>
          </cell>
          <cell r="E43">
            <v>12000</v>
          </cell>
        </row>
        <row r="44">
          <cell r="B44" t="str">
            <v>140044</v>
          </cell>
          <cell r="C44" t="str">
            <v>CONCRETO RESISTENCIA 21 MPA (PREMEZCLADO)</v>
          </cell>
          <cell r="D44" t="str">
            <v>M3</v>
          </cell>
          <cell r="E44">
            <v>587405</v>
          </cell>
        </row>
        <row r="45">
          <cell r="B45" t="str">
            <v>140107</v>
          </cell>
          <cell r="C45" t="str">
            <v>MATERIAL DE BASE CLASE B (NT2) GRADACIÓN FINA BG 38</v>
          </cell>
          <cell r="D45" t="str">
            <v>M3</v>
          </cell>
          <cell r="E45">
            <v>68893</v>
          </cell>
        </row>
        <row r="46">
          <cell r="B46" t="str">
            <v>140143</v>
          </cell>
          <cell r="C46" t="str">
            <v>POSTE PARA SEÑAL DE TRÁNSITO EN ÁNGULO DE HIERRO DE 2" X 2" X 1/4" DE 3.5M.</v>
          </cell>
          <cell r="D46" t="str">
            <v>UND</v>
          </cell>
          <cell r="E46">
            <v>270149</v>
          </cell>
        </row>
        <row r="47">
          <cell r="B47" t="str">
            <v>140168</v>
          </cell>
          <cell r="C47" t="str">
            <v>SEÑAL SR, SP Y/O SI, TABLERO EN LÁMINA GALVANIZADA DE 75X75 CM, CALIBRE 16, RETRORREFLECTIVA TIPO IX.</v>
          </cell>
          <cell r="D47" t="str">
            <v>UND</v>
          </cell>
          <cell r="E47">
            <v>630723</v>
          </cell>
        </row>
        <row r="48">
          <cell r="B48" t="str">
            <v>140196</v>
          </cell>
          <cell r="C48" t="str">
            <v>PINTURA TRAFICO PLASTICO EN FRIO</v>
          </cell>
          <cell r="D48" t="str">
            <v>GLN</v>
          </cell>
          <cell r="E48">
            <v>142368</v>
          </cell>
        </row>
        <row r="49">
          <cell r="B49" t="str">
            <v>ME0101</v>
          </cell>
          <cell r="C49" t="str">
            <v>(BASICO) MEZCLA CONCRETO 1:2:1 4000 PSI - 28,0 Mpa</v>
          </cell>
          <cell r="D49" t="str">
            <v>M3</v>
          </cell>
          <cell r="E49">
            <v>878461</v>
          </cell>
        </row>
        <row r="50">
          <cell r="B50" t="str">
            <v>ME0105</v>
          </cell>
          <cell r="C50">
            <v>5</v>
          </cell>
          <cell r="D50" t="str">
            <v>M3</v>
          </cell>
          <cell r="E50">
            <v>579997</v>
          </cell>
        </row>
        <row r="51">
          <cell r="B51" t="str">
            <v>ME0107</v>
          </cell>
          <cell r="C51" t="str">
            <v>(BASICO) MEZCLA CONCRETO 1:2:4 2850 PSI - 20,0 Mpa</v>
          </cell>
          <cell r="D51" t="str">
            <v>M3</v>
          </cell>
          <cell r="E51">
            <v>579997</v>
          </cell>
        </row>
        <row r="55">
          <cell r="B55" t="str">
            <v>Mano de Obra</v>
          </cell>
          <cell r="C55"/>
          <cell r="D55"/>
          <cell r="E55"/>
        </row>
        <row r="56">
          <cell r="B56" t="str">
            <v>CODIGO</v>
          </cell>
          <cell r="C56" t="str">
            <v>DESCRIPCIÓN</v>
          </cell>
          <cell r="D56" t="str">
            <v>UNIDAD</v>
          </cell>
          <cell r="E56" t="str">
            <v>JORNAL</v>
          </cell>
        </row>
        <row r="57">
          <cell r="B57" t="str">
            <v>200006</v>
          </cell>
          <cell r="C57" t="str">
            <v>M.O. 1 AYUDANTE</v>
          </cell>
          <cell r="D57" t="str">
            <v>JORNAL</v>
          </cell>
          <cell r="E57">
            <v>78845.14</v>
          </cell>
        </row>
        <row r="58">
          <cell r="B58" t="str">
            <v>200007</v>
          </cell>
          <cell r="C58" t="str">
            <v>M.O. 1 AYUDANTE + 1 OFICIAL</v>
          </cell>
          <cell r="D58" t="str">
            <v>JORNAL</v>
          </cell>
          <cell r="E58">
            <v>192727.3</v>
          </cell>
        </row>
        <row r="59">
          <cell r="B59" t="str">
            <v>200008</v>
          </cell>
          <cell r="C59" t="str">
            <v>M.O. 2 AYUDANTES</v>
          </cell>
          <cell r="D59" t="str">
            <v>JORNAL</v>
          </cell>
          <cell r="E59">
            <v>157690.29</v>
          </cell>
        </row>
        <row r="60">
          <cell r="B60" t="str">
            <v>200009</v>
          </cell>
          <cell r="C60" t="str">
            <v>M.O. 2 AYUDANTES + 1 OFICIAL</v>
          </cell>
          <cell r="D60" t="str">
            <v>JORNAL</v>
          </cell>
          <cell r="E60">
            <v>271572.44</v>
          </cell>
        </row>
        <row r="61">
          <cell r="B61" t="str">
            <v>200010</v>
          </cell>
          <cell r="C61" t="str">
            <v>M.O. 3 AYUDANTES</v>
          </cell>
          <cell r="D61" t="str">
            <v>JORNAL</v>
          </cell>
          <cell r="E61">
            <v>236535.43</v>
          </cell>
        </row>
        <row r="62">
          <cell r="B62" t="str">
            <v>200011</v>
          </cell>
          <cell r="C62" t="str">
            <v xml:space="preserve">M.O. 3 AYUDANTES + 1 OFICIAL </v>
          </cell>
          <cell r="D62" t="str">
            <v>JORNAL</v>
          </cell>
          <cell r="E62">
            <v>484453.96</v>
          </cell>
        </row>
        <row r="63">
          <cell r="B63" t="str">
            <v>200013</v>
          </cell>
          <cell r="C63" t="str">
            <v>M.O. 5 AYUDANTES + 1 OFICIAL</v>
          </cell>
          <cell r="D63" t="str">
            <v>JORNAL</v>
          </cell>
          <cell r="E63">
            <v>642144.24</v>
          </cell>
        </row>
        <row r="64">
          <cell r="B64" t="str">
            <v>200021</v>
          </cell>
          <cell r="C64" t="str">
            <v>M.O. HIDROSANIT. 1 AYUDANTE + 1 OFICIAL</v>
          </cell>
          <cell r="D64" t="str">
            <v>JORNAL</v>
          </cell>
          <cell r="E64">
            <v>210815.01</v>
          </cell>
        </row>
        <row r="65">
          <cell r="B65" t="str">
            <v>200026</v>
          </cell>
          <cell r="C65" t="str">
            <v>M.O. PINTURA 1 AYUDANTE + 1 OFICIAL</v>
          </cell>
          <cell r="D65" t="str">
            <v>JORNAL</v>
          </cell>
          <cell r="E65">
            <v>192727.3</v>
          </cell>
        </row>
        <row r="66">
          <cell r="B66" t="str">
            <v>200027</v>
          </cell>
          <cell r="C66" t="str">
            <v>M.O. TOPOGRAFIA 1 CADENERO + 1 TOPOG.</v>
          </cell>
          <cell r="D66" t="str">
            <v>JORNAL</v>
          </cell>
          <cell r="E66">
            <v>410407.09</v>
          </cell>
        </row>
        <row r="67">
          <cell r="B67" t="str">
            <v>200100</v>
          </cell>
          <cell r="C67" t="str">
            <v>M.O. 1 OFICIAL</v>
          </cell>
          <cell r="D67" t="str">
            <v>JORNAL</v>
          </cell>
          <cell r="E67">
            <v>113882.16</v>
          </cell>
        </row>
        <row r="71">
          <cell r="B71" t="str">
            <v>Equipo</v>
          </cell>
          <cell r="C71"/>
          <cell r="D71"/>
          <cell r="E71"/>
        </row>
        <row r="72">
          <cell r="B72" t="str">
            <v>CODIGO</v>
          </cell>
          <cell r="C72" t="str">
            <v>DESCRIPCIÓN</v>
          </cell>
          <cell r="D72" t="str">
            <v>UNIDAD</v>
          </cell>
          <cell r="E72" t="str">
            <v>TARIFA</v>
          </cell>
        </row>
        <row r="73">
          <cell r="B73" t="str">
            <v>300014</v>
          </cell>
          <cell r="C73" t="str">
            <v>COMPRESOR DE DOS MARTILLOS</v>
          </cell>
          <cell r="D73" t="str">
            <v>H</v>
          </cell>
          <cell r="E73">
            <v>131573</v>
          </cell>
        </row>
        <row r="74">
          <cell r="B74" t="str">
            <v>300017</v>
          </cell>
          <cell r="C74" t="str">
            <v>CORTADORA DE PAVIMENTO DE 4 A 7 CM</v>
          </cell>
          <cell r="D74" t="str">
            <v>M</v>
          </cell>
          <cell r="E74">
            <v>7731</v>
          </cell>
        </row>
        <row r="75">
          <cell r="B75" t="str">
            <v>300021</v>
          </cell>
          <cell r="C75" t="str">
            <v>FORMALETA MET.PAVIMENTO 0.15X0.20X3MTS</v>
          </cell>
          <cell r="D75" t="str">
            <v>DIA</v>
          </cell>
          <cell r="E75">
            <v>8943</v>
          </cell>
        </row>
        <row r="76">
          <cell r="B76" t="str">
            <v>300028</v>
          </cell>
          <cell r="C76" t="str">
            <v>MAQUINA APLICADORA DE PINTURA</v>
          </cell>
          <cell r="D76" t="str">
            <v>DIA</v>
          </cell>
          <cell r="E76">
            <v>108270</v>
          </cell>
        </row>
        <row r="77">
          <cell r="B77" t="str">
            <v>300034</v>
          </cell>
          <cell r="C77" t="str">
            <v>MOTONIVELADORA, POTENCIA 140 HP, ANCHO DE CUCHILLA 3,66 M, PESO 11 TON TIPO CAT-12-F</v>
          </cell>
          <cell r="D77" t="str">
            <v>H</v>
          </cell>
          <cell r="E77">
            <v>329117</v>
          </cell>
        </row>
        <row r="78">
          <cell r="B78" t="str">
            <v>300044</v>
          </cell>
          <cell r="C78" t="str">
            <v>REGLA VIBRATORIA DE 4MTS</v>
          </cell>
          <cell r="D78" t="str">
            <v>DIA</v>
          </cell>
          <cell r="E78">
            <v>59661</v>
          </cell>
        </row>
        <row r="79">
          <cell r="B79" t="str">
            <v>300045</v>
          </cell>
          <cell r="C79" t="str">
            <v>RETROEXCAVADORA CARGADORA JD-51O</v>
          </cell>
          <cell r="D79" t="str">
            <v>H</v>
          </cell>
          <cell r="E79">
            <v>157888</v>
          </cell>
        </row>
        <row r="80">
          <cell r="B80" t="str">
            <v>300047</v>
          </cell>
          <cell r="C80" t="str">
            <v>RETROEXCAVADORA JD-510</v>
          </cell>
          <cell r="D80" t="str">
            <v>H</v>
          </cell>
          <cell r="E80">
            <v>157888</v>
          </cell>
        </row>
        <row r="81">
          <cell r="B81" t="str">
            <v>300054</v>
          </cell>
          <cell r="C81" t="str">
            <v>VIBRADOR A GASOLINA</v>
          </cell>
          <cell r="D81" t="str">
            <v>DIA</v>
          </cell>
          <cell r="E81">
            <v>43518</v>
          </cell>
        </row>
        <row r="82">
          <cell r="B82" t="str">
            <v>300055</v>
          </cell>
          <cell r="C82" t="str">
            <v>VIBRADOR</v>
          </cell>
          <cell r="D82" t="str">
            <v>DIA</v>
          </cell>
          <cell r="E82">
            <v>43518</v>
          </cell>
        </row>
        <row r="83">
          <cell r="B83" t="str">
            <v>300056</v>
          </cell>
          <cell r="C83" t="str">
            <v>VIBROCOMPACTADOR CA-15</v>
          </cell>
          <cell r="D83" t="str">
            <v>H</v>
          </cell>
          <cell r="E83">
            <v>146778</v>
          </cell>
        </row>
        <row r="84">
          <cell r="B84" t="str">
            <v>300060</v>
          </cell>
          <cell r="C84" t="str">
            <v>FORMALETA CAMARA INSPECCION</v>
          </cell>
          <cell r="D84" t="str">
            <v>UND</v>
          </cell>
          <cell r="E84">
            <v>78263</v>
          </cell>
        </row>
        <row r="85">
          <cell r="B85" t="str">
            <v>300065</v>
          </cell>
          <cell r="C85" t="str">
            <v>VOLQUETA 14 M3</v>
          </cell>
          <cell r="D85" t="str">
            <v>M3</v>
          </cell>
          <cell r="E85">
            <v>118238</v>
          </cell>
        </row>
        <row r="86">
          <cell r="B86" t="str">
            <v>301001</v>
          </cell>
          <cell r="C86" t="str">
            <v>VIBROCOMPACTADOR SALTARIN</v>
          </cell>
          <cell r="D86" t="str">
            <v>DIA</v>
          </cell>
          <cell r="E86">
            <v>61200</v>
          </cell>
        </row>
        <row r="87">
          <cell r="B87" t="str">
            <v>301002</v>
          </cell>
          <cell r="C87" t="str">
            <v>EQUIPO DE ACABADO SUPERFICIAL</v>
          </cell>
          <cell r="D87" t="str">
            <v>DIA</v>
          </cell>
          <cell r="E87">
            <v>32482</v>
          </cell>
        </row>
        <row r="88">
          <cell r="B88" t="str">
            <v>301008</v>
          </cell>
          <cell r="C88" t="str">
            <v>TALADRO PERCUTOR TIPO HILTI</v>
          </cell>
          <cell r="D88" t="str">
            <v>DIA</v>
          </cell>
          <cell r="E88">
            <v>60701</v>
          </cell>
        </row>
        <row r="89">
          <cell r="B89" t="str">
            <v>301010</v>
          </cell>
          <cell r="C89" t="str">
            <v>CARROTANQUE DE AGUA(1000 GALONES)</v>
          </cell>
          <cell r="D89" t="str">
            <v>H</v>
          </cell>
          <cell r="E89">
            <v>124018</v>
          </cell>
        </row>
        <row r="90">
          <cell r="B90" t="str">
            <v>340009</v>
          </cell>
          <cell r="C90" t="str">
            <v>CAMABAJA CAPACIDAD DE 30-40 TONELADAS</v>
          </cell>
          <cell r="D90" t="str">
            <v>H</v>
          </cell>
          <cell r="E90">
            <v>354192</v>
          </cell>
        </row>
        <row r="91">
          <cell r="B91" t="str">
            <v>340012</v>
          </cell>
          <cell r="C91" t="str">
            <v>CAMIONETA DE ESTACAS 4X4</v>
          </cell>
          <cell r="D91" t="str">
            <v>H</v>
          </cell>
          <cell r="E91">
            <v>66116</v>
          </cell>
        </row>
        <row r="92">
          <cell r="B92" t="str">
            <v>340032</v>
          </cell>
          <cell r="C92" t="str">
            <v>EQUIPO DE PINTURA (COMPRESOR). PRESIÓN MÁXIMA DE TRABAJO 7 HP</v>
          </cell>
          <cell r="D92" t="str">
            <v>H</v>
          </cell>
          <cell r="E92">
            <v>9073</v>
          </cell>
        </row>
        <row r="93">
          <cell r="B93" t="str">
            <v>340060</v>
          </cell>
          <cell r="C93" t="str">
            <v>MOTONIVELADORA POTENCIA 215 HP, ANCHO DE CUCHILLA 4,27 M, PESO 18 TON</v>
          </cell>
          <cell r="D93" t="str">
            <v>H</v>
          </cell>
          <cell r="E93">
            <v>322262</v>
          </cell>
        </row>
        <row r="94">
          <cell r="B94" t="str">
            <v>340080</v>
          </cell>
          <cell r="C94" t="str">
            <v>VIBROCOMPACTADOR, POTENCIA 153 HP, PESO 10 TON</v>
          </cell>
          <cell r="D94" t="str">
            <v>H</v>
          </cell>
          <cell r="E94">
            <v>152980</v>
          </cell>
        </row>
        <row r="95">
          <cell r="B95" t="str">
            <v>MQ990118</v>
          </cell>
          <cell r="C95">
            <v>6.3333333333333303E+19</v>
          </cell>
          <cell r="D95" t="str">
            <v>H</v>
          </cell>
          <cell r="E95">
            <v>20179</v>
          </cell>
        </row>
        <row r="96">
          <cell r="B96" t="str">
            <v>MQ990119</v>
          </cell>
          <cell r="C96" t="str">
            <v>ACCESORIOS EQUIPOS DE TOPOGRAFIA (MIRA - PRISMA - TRIPODE - SOMBRILLA</v>
          </cell>
          <cell r="D96" t="str">
            <v>H</v>
          </cell>
          <cell r="E96">
            <v>8967</v>
          </cell>
        </row>
        <row r="100">
          <cell r="B100" t="str">
            <v>Transporte</v>
          </cell>
          <cell r="C100"/>
          <cell r="D100"/>
          <cell r="E100"/>
        </row>
        <row r="101">
          <cell r="B101" t="str">
            <v>CODIGO</v>
          </cell>
          <cell r="C101" t="str">
            <v>DESCRIPCIÓN</v>
          </cell>
          <cell r="D101" t="str">
            <v>UNIDAD</v>
          </cell>
          <cell r="E101" t="str">
            <v>TARIFA</v>
          </cell>
        </row>
        <row r="102">
          <cell r="B102" t="str">
            <v>440003</v>
          </cell>
          <cell r="C102" t="str">
            <v>TRANSPORTE DE CONCRETO</v>
          </cell>
          <cell r="D102" t="str">
            <v>M3-KM</v>
          </cell>
          <cell r="E102">
            <v>3507</v>
          </cell>
        </row>
        <row r="103">
          <cell r="B103" t="str">
            <v>440005</v>
          </cell>
          <cell r="C103" t="str">
            <v>TRANSPORTE DE MATERIAL DE BASE</v>
          </cell>
          <cell r="D103" t="str">
            <v>M3-KM</v>
          </cell>
          <cell r="E103">
            <v>1695</v>
          </cell>
        </row>
        <row r="104">
          <cell r="B104" t="str">
            <v>440023</v>
          </cell>
          <cell r="C104" t="str">
            <v>TRANSPORTE DE MATERIAL DE EXCAVACIÓN Y/O PETREOS (CONSIDERADO EN VOLQUETA DE 6 M3)</v>
          </cell>
          <cell r="D104" t="str">
            <v>M3-KM</v>
          </cell>
          <cell r="E104">
            <v>2234</v>
          </cell>
        </row>
        <row r="112">
          <cell r="C112" t="str">
            <v>}y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C9FB6-FB32-43DD-91A9-6733711C9607}">
  <sheetPr>
    <tabColor theme="0"/>
    <pageSetUpPr fitToPage="1"/>
  </sheetPr>
  <dimension ref="A1:M69"/>
  <sheetViews>
    <sheetView tabSelected="1" zoomScale="90" zoomScaleNormal="90" zoomScaleSheetLayoutView="71" zoomScalePageLayoutView="55" workbookViewId="0">
      <selection activeCell="C19" sqref="C19"/>
    </sheetView>
  </sheetViews>
  <sheetFormatPr baseColWidth="10" defaultRowHeight="12.75" x14ac:dyDescent="0.25"/>
  <cols>
    <col min="1" max="1" width="10.28515625" style="2" customWidth="1"/>
    <col min="2" max="2" width="88" style="4" bestFit="1" customWidth="1"/>
    <col min="3" max="3" width="8.85546875" style="2" customWidth="1"/>
    <col min="4" max="4" width="14" style="2" customWidth="1"/>
    <col min="5" max="5" width="28.28515625" style="3" customWidth="1"/>
    <col min="6" max="6" width="25.7109375" style="3" customWidth="1"/>
    <col min="7" max="7" width="19.7109375" style="2" customWidth="1"/>
    <col min="8" max="8" width="16.7109375" style="5" bestFit="1" customWidth="1"/>
    <col min="9" max="9" width="15.7109375" style="5" bestFit="1" customWidth="1"/>
    <col min="10" max="12" width="11.42578125" style="5"/>
    <col min="13" max="254" width="11.42578125" style="2"/>
    <col min="255" max="255" width="6.140625" style="2" customWidth="1"/>
    <col min="256" max="256" width="102.42578125" style="2" customWidth="1"/>
    <col min="257" max="257" width="8.85546875" style="2" customWidth="1"/>
    <col min="258" max="258" width="14" style="2" customWidth="1"/>
    <col min="259" max="259" width="28.28515625" style="2" customWidth="1"/>
    <col min="260" max="260" width="25.7109375" style="2" customWidth="1"/>
    <col min="261" max="261" width="19.7109375" style="2" customWidth="1"/>
    <col min="262" max="262" width="21.5703125" style="2" customWidth="1"/>
    <col min="263" max="510" width="11.42578125" style="2"/>
    <col min="511" max="511" width="6.140625" style="2" customWidth="1"/>
    <col min="512" max="512" width="102.42578125" style="2" customWidth="1"/>
    <col min="513" max="513" width="8.85546875" style="2" customWidth="1"/>
    <col min="514" max="514" width="14" style="2" customWidth="1"/>
    <col min="515" max="515" width="28.28515625" style="2" customWidth="1"/>
    <col min="516" max="516" width="25.7109375" style="2" customWidth="1"/>
    <col min="517" max="517" width="19.7109375" style="2" customWidth="1"/>
    <col min="518" max="518" width="21.5703125" style="2" customWidth="1"/>
    <col min="519" max="766" width="11.42578125" style="2"/>
    <col min="767" max="767" width="6.140625" style="2" customWidth="1"/>
    <col min="768" max="768" width="102.42578125" style="2" customWidth="1"/>
    <col min="769" max="769" width="8.85546875" style="2" customWidth="1"/>
    <col min="770" max="770" width="14" style="2" customWidth="1"/>
    <col min="771" max="771" width="28.28515625" style="2" customWidth="1"/>
    <col min="772" max="772" width="25.7109375" style="2" customWidth="1"/>
    <col min="773" max="773" width="19.7109375" style="2" customWidth="1"/>
    <col min="774" max="774" width="21.5703125" style="2" customWidth="1"/>
    <col min="775" max="1022" width="11.42578125" style="2"/>
    <col min="1023" max="1023" width="6.140625" style="2" customWidth="1"/>
    <col min="1024" max="1024" width="102.42578125" style="2" customWidth="1"/>
    <col min="1025" max="1025" width="8.85546875" style="2" customWidth="1"/>
    <col min="1026" max="1026" width="14" style="2" customWidth="1"/>
    <col min="1027" max="1027" width="28.28515625" style="2" customWidth="1"/>
    <col min="1028" max="1028" width="25.7109375" style="2" customWidth="1"/>
    <col min="1029" max="1029" width="19.7109375" style="2" customWidth="1"/>
    <col min="1030" max="1030" width="21.5703125" style="2" customWidth="1"/>
    <col min="1031" max="1278" width="11.42578125" style="2"/>
    <col min="1279" max="1279" width="6.140625" style="2" customWidth="1"/>
    <col min="1280" max="1280" width="102.42578125" style="2" customWidth="1"/>
    <col min="1281" max="1281" width="8.85546875" style="2" customWidth="1"/>
    <col min="1282" max="1282" width="14" style="2" customWidth="1"/>
    <col min="1283" max="1283" width="28.28515625" style="2" customWidth="1"/>
    <col min="1284" max="1284" width="25.7109375" style="2" customWidth="1"/>
    <col min="1285" max="1285" width="19.7109375" style="2" customWidth="1"/>
    <col min="1286" max="1286" width="21.5703125" style="2" customWidth="1"/>
    <col min="1287" max="1534" width="11.42578125" style="2"/>
    <col min="1535" max="1535" width="6.140625" style="2" customWidth="1"/>
    <col min="1536" max="1536" width="102.42578125" style="2" customWidth="1"/>
    <col min="1537" max="1537" width="8.85546875" style="2" customWidth="1"/>
    <col min="1538" max="1538" width="14" style="2" customWidth="1"/>
    <col min="1539" max="1539" width="28.28515625" style="2" customWidth="1"/>
    <col min="1540" max="1540" width="25.7109375" style="2" customWidth="1"/>
    <col min="1541" max="1541" width="19.7109375" style="2" customWidth="1"/>
    <col min="1542" max="1542" width="21.5703125" style="2" customWidth="1"/>
    <col min="1543" max="1790" width="11.42578125" style="2"/>
    <col min="1791" max="1791" width="6.140625" style="2" customWidth="1"/>
    <col min="1792" max="1792" width="102.42578125" style="2" customWidth="1"/>
    <col min="1793" max="1793" width="8.85546875" style="2" customWidth="1"/>
    <col min="1794" max="1794" width="14" style="2" customWidth="1"/>
    <col min="1795" max="1795" width="28.28515625" style="2" customWidth="1"/>
    <col min="1796" max="1796" width="25.7109375" style="2" customWidth="1"/>
    <col min="1797" max="1797" width="19.7109375" style="2" customWidth="1"/>
    <col min="1798" max="1798" width="21.5703125" style="2" customWidth="1"/>
    <col min="1799" max="2046" width="11.42578125" style="2"/>
    <col min="2047" max="2047" width="6.140625" style="2" customWidth="1"/>
    <col min="2048" max="2048" width="102.42578125" style="2" customWidth="1"/>
    <col min="2049" max="2049" width="8.85546875" style="2" customWidth="1"/>
    <col min="2050" max="2050" width="14" style="2" customWidth="1"/>
    <col min="2051" max="2051" width="28.28515625" style="2" customWidth="1"/>
    <col min="2052" max="2052" width="25.7109375" style="2" customWidth="1"/>
    <col min="2053" max="2053" width="19.7109375" style="2" customWidth="1"/>
    <col min="2054" max="2054" width="21.5703125" style="2" customWidth="1"/>
    <col min="2055" max="2302" width="11.42578125" style="2"/>
    <col min="2303" max="2303" width="6.140625" style="2" customWidth="1"/>
    <col min="2304" max="2304" width="102.42578125" style="2" customWidth="1"/>
    <col min="2305" max="2305" width="8.85546875" style="2" customWidth="1"/>
    <col min="2306" max="2306" width="14" style="2" customWidth="1"/>
    <col min="2307" max="2307" width="28.28515625" style="2" customWidth="1"/>
    <col min="2308" max="2308" width="25.7109375" style="2" customWidth="1"/>
    <col min="2309" max="2309" width="19.7109375" style="2" customWidth="1"/>
    <col min="2310" max="2310" width="21.5703125" style="2" customWidth="1"/>
    <col min="2311" max="2558" width="11.42578125" style="2"/>
    <col min="2559" max="2559" width="6.140625" style="2" customWidth="1"/>
    <col min="2560" max="2560" width="102.42578125" style="2" customWidth="1"/>
    <col min="2561" max="2561" width="8.85546875" style="2" customWidth="1"/>
    <col min="2562" max="2562" width="14" style="2" customWidth="1"/>
    <col min="2563" max="2563" width="28.28515625" style="2" customWidth="1"/>
    <col min="2564" max="2564" width="25.7109375" style="2" customWidth="1"/>
    <col min="2565" max="2565" width="19.7109375" style="2" customWidth="1"/>
    <col min="2566" max="2566" width="21.5703125" style="2" customWidth="1"/>
    <col min="2567" max="2814" width="11.42578125" style="2"/>
    <col min="2815" max="2815" width="6.140625" style="2" customWidth="1"/>
    <col min="2816" max="2816" width="102.42578125" style="2" customWidth="1"/>
    <col min="2817" max="2817" width="8.85546875" style="2" customWidth="1"/>
    <col min="2818" max="2818" width="14" style="2" customWidth="1"/>
    <col min="2819" max="2819" width="28.28515625" style="2" customWidth="1"/>
    <col min="2820" max="2820" width="25.7109375" style="2" customWidth="1"/>
    <col min="2821" max="2821" width="19.7109375" style="2" customWidth="1"/>
    <col min="2822" max="2822" width="21.5703125" style="2" customWidth="1"/>
    <col min="2823" max="3070" width="11.42578125" style="2"/>
    <col min="3071" max="3071" width="6.140625" style="2" customWidth="1"/>
    <col min="3072" max="3072" width="102.42578125" style="2" customWidth="1"/>
    <col min="3073" max="3073" width="8.85546875" style="2" customWidth="1"/>
    <col min="3074" max="3074" width="14" style="2" customWidth="1"/>
    <col min="3075" max="3075" width="28.28515625" style="2" customWidth="1"/>
    <col min="3076" max="3076" width="25.7109375" style="2" customWidth="1"/>
    <col min="3077" max="3077" width="19.7109375" style="2" customWidth="1"/>
    <col min="3078" max="3078" width="21.5703125" style="2" customWidth="1"/>
    <col min="3079" max="3326" width="11.42578125" style="2"/>
    <col min="3327" max="3327" width="6.140625" style="2" customWidth="1"/>
    <col min="3328" max="3328" width="102.42578125" style="2" customWidth="1"/>
    <col min="3329" max="3329" width="8.85546875" style="2" customWidth="1"/>
    <col min="3330" max="3330" width="14" style="2" customWidth="1"/>
    <col min="3331" max="3331" width="28.28515625" style="2" customWidth="1"/>
    <col min="3332" max="3332" width="25.7109375" style="2" customWidth="1"/>
    <col min="3333" max="3333" width="19.7109375" style="2" customWidth="1"/>
    <col min="3334" max="3334" width="21.5703125" style="2" customWidth="1"/>
    <col min="3335" max="3582" width="11.42578125" style="2"/>
    <col min="3583" max="3583" width="6.140625" style="2" customWidth="1"/>
    <col min="3584" max="3584" width="102.42578125" style="2" customWidth="1"/>
    <col min="3585" max="3585" width="8.85546875" style="2" customWidth="1"/>
    <col min="3586" max="3586" width="14" style="2" customWidth="1"/>
    <col min="3587" max="3587" width="28.28515625" style="2" customWidth="1"/>
    <col min="3588" max="3588" width="25.7109375" style="2" customWidth="1"/>
    <col min="3589" max="3589" width="19.7109375" style="2" customWidth="1"/>
    <col min="3590" max="3590" width="21.5703125" style="2" customWidth="1"/>
    <col min="3591" max="3838" width="11.42578125" style="2"/>
    <col min="3839" max="3839" width="6.140625" style="2" customWidth="1"/>
    <col min="3840" max="3840" width="102.42578125" style="2" customWidth="1"/>
    <col min="3841" max="3841" width="8.85546875" style="2" customWidth="1"/>
    <col min="3842" max="3842" width="14" style="2" customWidth="1"/>
    <col min="3843" max="3843" width="28.28515625" style="2" customWidth="1"/>
    <col min="3844" max="3844" width="25.7109375" style="2" customWidth="1"/>
    <col min="3845" max="3845" width="19.7109375" style="2" customWidth="1"/>
    <col min="3846" max="3846" width="21.5703125" style="2" customWidth="1"/>
    <col min="3847" max="4094" width="11.42578125" style="2"/>
    <col min="4095" max="4095" width="6.140625" style="2" customWidth="1"/>
    <col min="4096" max="4096" width="102.42578125" style="2" customWidth="1"/>
    <col min="4097" max="4097" width="8.85546875" style="2" customWidth="1"/>
    <col min="4098" max="4098" width="14" style="2" customWidth="1"/>
    <col min="4099" max="4099" width="28.28515625" style="2" customWidth="1"/>
    <col min="4100" max="4100" width="25.7109375" style="2" customWidth="1"/>
    <col min="4101" max="4101" width="19.7109375" style="2" customWidth="1"/>
    <col min="4102" max="4102" width="21.5703125" style="2" customWidth="1"/>
    <col min="4103" max="4350" width="11.42578125" style="2"/>
    <col min="4351" max="4351" width="6.140625" style="2" customWidth="1"/>
    <col min="4352" max="4352" width="102.42578125" style="2" customWidth="1"/>
    <col min="4353" max="4353" width="8.85546875" style="2" customWidth="1"/>
    <col min="4354" max="4354" width="14" style="2" customWidth="1"/>
    <col min="4355" max="4355" width="28.28515625" style="2" customWidth="1"/>
    <col min="4356" max="4356" width="25.7109375" style="2" customWidth="1"/>
    <col min="4357" max="4357" width="19.7109375" style="2" customWidth="1"/>
    <col min="4358" max="4358" width="21.5703125" style="2" customWidth="1"/>
    <col min="4359" max="4606" width="11.42578125" style="2"/>
    <col min="4607" max="4607" width="6.140625" style="2" customWidth="1"/>
    <col min="4608" max="4608" width="102.42578125" style="2" customWidth="1"/>
    <col min="4609" max="4609" width="8.85546875" style="2" customWidth="1"/>
    <col min="4610" max="4610" width="14" style="2" customWidth="1"/>
    <col min="4611" max="4611" width="28.28515625" style="2" customWidth="1"/>
    <col min="4612" max="4612" width="25.7109375" style="2" customWidth="1"/>
    <col min="4613" max="4613" width="19.7109375" style="2" customWidth="1"/>
    <col min="4614" max="4614" width="21.5703125" style="2" customWidth="1"/>
    <col min="4615" max="4862" width="11.42578125" style="2"/>
    <col min="4863" max="4863" width="6.140625" style="2" customWidth="1"/>
    <col min="4864" max="4864" width="102.42578125" style="2" customWidth="1"/>
    <col min="4865" max="4865" width="8.85546875" style="2" customWidth="1"/>
    <col min="4866" max="4866" width="14" style="2" customWidth="1"/>
    <col min="4867" max="4867" width="28.28515625" style="2" customWidth="1"/>
    <col min="4868" max="4868" width="25.7109375" style="2" customWidth="1"/>
    <col min="4869" max="4869" width="19.7109375" style="2" customWidth="1"/>
    <col min="4870" max="4870" width="21.5703125" style="2" customWidth="1"/>
    <col min="4871" max="5118" width="11.42578125" style="2"/>
    <col min="5119" max="5119" width="6.140625" style="2" customWidth="1"/>
    <col min="5120" max="5120" width="102.42578125" style="2" customWidth="1"/>
    <col min="5121" max="5121" width="8.85546875" style="2" customWidth="1"/>
    <col min="5122" max="5122" width="14" style="2" customWidth="1"/>
    <col min="5123" max="5123" width="28.28515625" style="2" customWidth="1"/>
    <col min="5124" max="5124" width="25.7109375" style="2" customWidth="1"/>
    <col min="5125" max="5125" width="19.7109375" style="2" customWidth="1"/>
    <col min="5126" max="5126" width="21.5703125" style="2" customWidth="1"/>
    <col min="5127" max="5374" width="11.42578125" style="2"/>
    <col min="5375" max="5375" width="6.140625" style="2" customWidth="1"/>
    <col min="5376" max="5376" width="102.42578125" style="2" customWidth="1"/>
    <col min="5377" max="5377" width="8.85546875" style="2" customWidth="1"/>
    <col min="5378" max="5378" width="14" style="2" customWidth="1"/>
    <col min="5379" max="5379" width="28.28515625" style="2" customWidth="1"/>
    <col min="5380" max="5380" width="25.7109375" style="2" customWidth="1"/>
    <col min="5381" max="5381" width="19.7109375" style="2" customWidth="1"/>
    <col min="5382" max="5382" width="21.5703125" style="2" customWidth="1"/>
    <col min="5383" max="5630" width="11.42578125" style="2"/>
    <col min="5631" max="5631" width="6.140625" style="2" customWidth="1"/>
    <col min="5632" max="5632" width="102.42578125" style="2" customWidth="1"/>
    <col min="5633" max="5633" width="8.85546875" style="2" customWidth="1"/>
    <col min="5634" max="5634" width="14" style="2" customWidth="1"/>
    <col min="5635" max="5635" width="28.28515625" style="2" customWidth="1"/>
    <col min="5636" max="5636" width="25.7109375" style="2" customWidth="1"/>
    <col min="5637" max="5637" width="19.7109375" style="2" customWidth="1"/>
    <col min="5638" max="5638" width="21.5703125" style="2" customWidth="1"/>
    <col min="5639" max="5886" width="11.42578125" style="2"/>
    <col min="5887" max="5887" width="6.140625" style="2" customWidth="1"/>
    <col min="5888" max="5888" width="102.42578125" style="2" customWidth="1"/>
    <col min="5889" max="5889" width="8.85546875" style="2" customWidth="1"/>
    <col min="5890" max="5890" width="14" style="2" customWidth="1"/>
    <col min="5891" max="5891" width="28.28515625" style="2" customWidth="1"/>
    <col min="5892" max="5892" width="25.7109375" style="2" customWidth="1"/>
    <col min="5893" max="5893" width="19.7109375" style="2" customWidth="1"/>
    <col min="5894" max="5894" width="21.5703125" style="2" customWidth="1"/>
    <col min="5895" max="6142" width="11.42578125" style="2"/>
    <col min="6143" max="6143" width="6.140625" style="2" customWidth="1"/>
    <col min="6144" max="6144" width="102.42578125" style="2" customWidth="1"/>
    <col min="6145" max="6145" width="8.85546875" style="2" customWidth="1"/>
    <col min="6146" max="6146" width="14" style="2" customWidth="1"/>
    <col min="6147" max="6147" width="28.28515625" style="2" customWidth="1"/>
    <col min="6148" max="6148" width="25.7109375" style="2" customWidth="1"/>
    <col min="6149" max="6149" width="19.7109375" style="2" customWidth="1"/>
    <col min="6150" max="6150" width="21.5703125" style="2" customWidth="1"/>
    <col min="6151" max="6398" width="11.42578125" style="2"/>
    <col min="6399" max="6399" width="6.140625" style="2" customWidth="1"/>
    <col min="6400" max="6400" width="102.42578125" style="2" customWidth="1"/>
    <col min="6401" max="6401" width="8.85546875" style="2" customWidth="1"/>
    <col min="6402" max="6402" width="14" style="2" customWidth="1"/>
    <col min="6403" max="6403" width="28.28515625" style="2" customWidth="1"/>
    <col min="6404" max="6404" width="25.7109375" style="2" customWidth="1"/>
    <col min="6405" max="6405" width="19.7109375" style="2" customWidth="1"/>
    <col min="6406" max="6406" width="21.5703125" style="2" customWidth="1"/>
    <col min="6407" max="6654" width="11.42578125" style="2"/>
    <col min="6655" max="6655" width="6.140625" style="2" customWidth="1"/>
    <col min="6656" max="6656" width="102.42578125" style="2" customWidth="1"/>
    <col min="6657" max="6657" width="8.85546875" style="2" customWidth="1"/>
    <col min="6658" max="6658" width="14" style="2" customWidth="1"/>
    <col min="6659" max="6659" width="28.28515625" style="2" customWidth="1"/>
    <col min="6660" max="6660" width="25.7109375" style="2" customWidth="1"/>
    <col min="6661" max="6661" width="19.7109375" style="2" customWidth="1"/>
    <col min="6662" max="6662" width="21.5703125" style="2" customWidth="1"/>
    <col min="6663" max="6910" width="11.42578125" style="2"/>
    <col min="6911" max="6911" width="6.140625" style="2" customWidth="1"/>
    <col min="6912" max="6912" width="102.42578125" style="2" customWidth="1"/>
    <col min="6913" max="6913" width="8.85546875" style="2" customWidth="1"/>
    <col min="6914" max="6914" width="14" style="2" customWidth="1"/>
    <col min="6915" max="6915" width="28.28515625" style="2" customWidth="1"/>
    <col min="6916" max="6916" width="25.7109375" style="2" customWidth="1"/>
    <col min="6917" max="6917" width="19.7109375" style="2" customWidth="1"/>
    <col min="6918" max="6918" width="21.5703125" style="2" customWidth="1"/>
    <col min="6919" max="7166" width="11.42578125" style="2"/>
    <col min="7167" max="7167" width="6.140625" style="2" customWidth="1"/>
    <col min="7168" max="7168" width="102.42578125" style="2" customWidth="1"/>
    <col min="7169" max="7169" width="8.85546875" style="2" customWidth="1"/>
    <col min="7170" max="7170" width="14" style="2" customWidth="1"/>
    <col min="7171" max="7171" width="28.28515625" style="2" customWidth="1"/>
    <col min="7172" max="7172" width="25.7109375" style="2" customWidth="1"/>
    <col min="7173" max="7173" width="19.7109375" style="2" customWidth="1"/>
    <col min="7174" max="7174" width="21.5703125" style="2" customWidth="1"/>
    <col min="7175" max="7422" width="11.42578125" style="2"/>
    <col min="7423" max="7423" width="6.140625" style="2" customWidth="1"/>
    <col min="7424" max="7424" width="102.42578125" style="2" customWidth="1"/>
    <col min="7425" max="7425" width="8.85546875" style="2" customWidth="1"/>
    <col min="7426" max="7426" width="14" style="2" customWidth="1"/>
    <col min="7427" max="7427" width="28.28515625" style="2" customWidth="1"/>
    <col min="7428" max="7428" width="25.7109375" style="2" customWidth="1"/>
    <col min="7429" max="7429" width="19.7109375" style="2" customWidth="1"/>
    <col min="7430" max="7430" width="21.5703125" style="2" customWidth="1"/>
    <col min="7431" max="7678" width="11.42578125" style="2"/>
    <col min="7679" max="7679" width="6.140625" style="2" customWidth="1"/>
    <col min="7680" max="7680" width="102.42578125" style="2" customWidth="1"/>
    <col min="7681" max="7681" width="8.85546875" style="2" customWidth="1"/>
    <col min="7682" max="7682" width="14" style="2" customWidth="1"/>
    <col min="7683" max="7683" width="28.28515625" style="2" customWidth="1"/>
    <col min="7684" max="7684" width="25.7109375" style="2" customWidth="1"/>
    <col min="7685" max="7685" width="19.7109375" style="2" customWidth="1"/>
    <col min="7686" max="7686" width="21.5703125" style="2" customWidth="1"/>
    <col min="7687" max="7934" width="11.42578125" style="2"/>
    <col min="7935" max="7935" width="6.140625" style="2" customWidth="1"/>
    <col min="7936" max="7936" width="102.42578125" style="2" customWidth="1"/>
    <col min="7937" max="7937" width="8.85546875" style="2" customWidth="1"/>
    <col min="7938" max="7938" width="14" style="2" customWidth="1"/>
    <col min="7939" max="7939" width="28.28515625" style="2" customWidth="1"/>
    <col min="7940" max="7940" width="25.7109375" style="2" customWidth="1"/>
    <col min="7941" max="7941" width="19.7109375" style="2" customWidth="1"/>
    <col min="7942" max="7942" width="21.5703125" style="2" customWidth="1"/>
    <col min="7943" max="8190" width="11.42578125" style="2"/>
    <col min="8191" max="8191" width="6.140625" style="2" customWidth="1"/>
    <col min="8192" max="8192" width="102.42578125" style="2" customWidth="1"/>
    <col min="8193" max="8193" width="8.85546875" style="2" customWidth="1"/>
    <col min="8194" max="8194" width="14" style="2" customWidth="1"/>
    <col min="8195" max="8195" width="28.28515625" style="2" customWidth="1"/>
    <col min="8196" max="8196" width="25.7109375" style="2" customWidth="1"/>
    <col min="8197" max="8197" width="19.7109375" style="2" customWidth="1"/>
    <col min="8198" max="8198" width="21.5703125" style="2" customWidth="1"/>
    <col min="8199" max="8446" width="11.42578125" style="2"/>
    <col min="8447" max="8447" width="6.140625" style="2" customWidth="1"/>
    <col min="8448" max="8448" width="102.42578125" style="2" customWidth="1"/>
    <col min="8449" max="8449" width="8.85546875" style="2" customWidth="1"/>
    <col min="8450" max="8450" width="14" style="2" customWidth="1"/>
    <col min="8451" max="8451" width="28.28515625" style="2" customWidth="1"/>
    <col min="8452" max="8452" width="25.7109375" style="2" customWidth="1"/>
    <col min="8453" max="8453" width="19.7109375" style="2" customWidth="1"/>
    <col min="8454" max="8454" width="21.5703125" style="2" customWidth="1"/>
    <col min="8455" max="8702" width="11.42578125" style="2"/>
    <col min="8703" max="8703" width="6.140625" style="2" customWidth="1"/>
    <col min="8704" max="8704" width="102.42578125" style="2" customWidth="1"/>
    <col min="8705" max="8705" width="8.85546875" style="2" customWidth="1"/>
    <col min="8706" max="8706" width="14" style="2" customWidth="1"/>
    <col min="8707" max="8707" width="28.28515625" style="2" customWidth="1"/>
    <col min="8708" max="8708" width="25.7109375" style="2" customWidth="1"/>
    <col min="8709" max="8709" width="19.7109375" style="2" customWidth="1"/>
    <col min="8710" max="8710" width="21.5703125" style="2" customWidth="1"/>
    <col min="8711" max="8958" width="11.42578125" style="2"/>
    <col min="8959" max="8959" width="6.140625" style="2" customWidth="1"/>
    <col min="8960" max="8960" width="102.42578125" style="2" customWidth="1"/>
    <col min="8961" max="8961" width="8.85546875" style="2" customWidth="1"/>
    <col min="8962" max="8962" width="14" style="2" customWidth="1"/>
    <col min="8963" max="8963" width="28.28515625" style="2" customWidth="1"/>
    <col min="8964" max="8964" width="25.7109375" style="2" customWidth="1"/>
    <col min="8965" max="8965" width="19.7109375" style="2" customWidth="1"/>
    <col min="8966" max="8966" width="21.5703125" style="2" customWidth="1"/>
    <col min="8967" max="9214" width="11.42578125" style="2"/>
    <col min="9215" max="9215" width="6.140625" style="2" customWidth="1"/>
    <col min="9216" max="9216" width="102.42578125" style="2" customWidth="1"/>
    <col min="9217" max="9217" width="8.85546875" style="2" customWidth="1"/>
    <col min="9218" max="9218" width="14" style="2" customWidth="1"/>
    <col min="9219" max="9219" width="28.28515625" style="2" customWidth="1"/>
    <col min="9220" max="9220" width="25.7109375" style="2" customWidth="1"/>
    <col min="9221" max="9221" width="19.7109375" style="2" customWidth="1"/>
    <col min="9222" max="9222" width="21.5703125" style="2" customWidth="1"/>
    <col min="9223" max="9470" width="11.42578125" style="2"/>
    <col min="9471" max="9471" width="6.140625" style="2" customWidth="1"/>
    <col min="9472" max="9472" width="102.42578125" style="2" customWidth="1"/>
    <col min="9473" max="9473" width="8.85546875" style="2" customWidth="1"/>
    <col min="9474" max="9474" width="14" style="2" customWidth="1"/>
    <col min="9475" max="9475" width="28.28515625" style="2" customWidth="1"/>
    <col min="9476" max="9476" width="25.7109375" style="2" customWidth="1"/>
    <col min="9477" max="9477" width="19.7109375" style="2" customWidth="1"/>
    <col min="9478" max="9478" width="21.5703125" style="2" customWidth="1"/>
    <col min="9479" max="9726" width="11.42578125" style="2"/>
    <col min="9727" max="9727" width="6.140625" style="2" customWidth="1"/>
    <col min="9728" max="9728" width="102.42578125" style="2" customWidth="1"/>
    <col min="9729" max="9729" width="8.85546875" style="2" customWidth="1"/>
    <col min="9730" max="9730" width="14" style="2" customWidth="1"/>
    <col min="9731" max="9731" width="28.28515625" style="2" customWidth="1"/>
    <col min="9732" max="9732" width="25.7109375" style="2" customWidth="1"/>
    <col min="9733" max="9733" width="19.7109375" style="2" customWidth="1"/>
    <col min="9734" max="9734" width="21.5703125" style="2" customWidth="1"/>
    <col min="9735" max="9982" width="11.42578125" style="2"/>
    <col min="9983" max="9983" width="6.140625" style="2" customWidth="1"/>
    <col min="9984" max="9984" width="102.42578125" style="2" customWidth="1"/>
    <col min="9985" max="9985" width="8.85546875" style="2" customWidth="1"/>
    <col min="9986" max="9986" width="14" style="2" customWidth="1"/>
    <col min="9987" max="9987" width="28.28515625" style="2" customWidth="1"/>
    <col min="9988" max="9988" width="25.7109375" style="2" customWidth="1"/>
    <col min="9989" max="9989" width="19.7109375" style="2" customWidth="1"/>
    <col min="9990" max="9990" width="21.5703125" style="2" customWidth="1"/>
    <col min="9991" max="10238" width="11.42578125" style="2"/>
    <col min="10239" max="10239" width="6.140625" style="2" customWidth="1"/>
    <col min="10240" max="10240" width="102.42578125" style="2" customWidth="1"/>
    <col min="10241" max="10241" width="8.85546875" style="2" customWidth="1"/>
    <col min="10242" max="10242" width="14" style="2" customWidth="1"/>
    <col min="10243" max="10243" width="28.28515625" style="2" customWidth="1"/>
    <col min="10244" max="10244" width="25.7109375" style="2" customWidth="1"/>
    <col min="10245" max="10245" width="19.7109375" style="2" customWidth="1"/>
    <col min="10246" max="10246" width="21.5703125" style="2" customWidth="1"/>
    <col min="10247" max="10494" width="11.42578125" style="2"/>
    <col min="10495" max="10495" width="6.140625" style="2" customWidth="1"/>
    <col min="10496" max="10496" width="102.42578125" style="2" customWidth="1"/>
    <col min="10497" max="10497" width="8.85546875" style="2" customWidth="1"/>
    <col min="10498" max="10498" width="14" style="2" customWidth="1"/>
    <col min="10499" max="10499" width="28.28515625" style="2" customWidth="1"/>
    <col min="10500" max="10500" width="25.7109375" style="2" customWidth="1"/>
    <col min="10501" max="10501" width="19.7109375" style="2" customWidth="1"/>
    <col min="10502" max="10502" width="21.5703125" style="2" customWidth="1"/>
    <col min="10503" max="10750" width="11.42578125" style="2"/>
    <col min="10751" max="10751" width="6.140625" style="2" customWidth="1"/>
    <col min="10752" max="10752" width="102.42578125" style="2" customWidth="1"/>
    <col min="10753" max="10753" width="8.85546875" style="2" customWidth="1"/>
    <col min="10754" max="10754" width="14" style="2" customWidth="1"/>
    <col min="10755" max="10755" width="28.28515625" style="2" customWidth="1"/>
    <col min="10756" max="10756" width="25.7109375" style="2" customWidth="1"/>
    <col min="10757" max="10757" width="19.7109375" style="2" customWidth="1"/>
    <col min="10758" max="10758" width="21.5703125" style="2" customWidth="1"/>
    <col min="10759" max="11006" width="11.42578125" style="2"/>
    <col min="11007" max="11007" width="6.140625" style="2" customWidth="1"/>
    <col min="11008" max="11008" width="102.42578125" style="2" customWidth="1"/>
    <col min="11009" max="11009" width="8.85546875" style="2" customWidth="1"/>
    <col min="11010" max="11010" width="14" style="2" customWidth="1"/>
    <col min="11011" max="11011" width="28.28515625" style="2" customWidth="1"/>
    <col min="11012" max="11012" width="25.7109375" style="2" customWidth="1"/>
    <col min="11013" max="11013" width="19.7109375" style="2" customWidth="1"/>
    <col min="11014" max="11014" width="21.5703125" style="2" customWidth="1"/>
    <col min="11015" max="11262" width="11.42578125" style="2"/>
    <col min="11263" max="11263" width="6.140625" style="2" customWidth="1"/>
    <col min="11264" max="11264" width="102.42578125" style="2" customWidth="1"/>
    <col min="11265" max="11265" width="8.85546875" style="2" customWidth="1"/>
    <col min="11266" max="11266" width="14" style="2" customWidth="1"/>
    <col min="11267" max="11267" width="28.28515625" style="2" customWidth="1"/>
    <col min="11268" max="11268" width="25.7109375" style="2" customWidth="1"/>
    <col min="11269" max="11269" width="19.7109375" style="2" customWidth="1"/>
    <col min="11270" max="11270" width="21.5703125" style="2" customWidth="1"/>
    <col min="11271" max="11518" width="11.42578125" style="2"/>
    <col min="11519" max="11519" width="6.140625" style="2" customWidth="1"/>
    <col min="11520" max="11520" width="102.42578125" style="2" customWidth="1"/>
    <col min="11521" max="11521" width="8.85546875" style="2" customWidth="1"/>
    <col min="11522" max="11522" width="14" style="2" customWidth="1"/>
    <col min="11523" max="11523" width="28.28515625" style="2" customWidth="1"/>
    <col min="11524" max="11524" width="25.7109375" style="2" customWidth="1"/>
    <col min="11525" max="11525" width="19.7109375" style="2" customWidth="1"/>
    <col min="11526" max="11526" width="21.5703125" style="2" customWidth="1"/>
    <col min="11527" max="11774" width="11.42578125" style="2"/>
    <col min="11775" max="11775" width="6.140625" style="2" customWidth="1"/>
    <col min="11776" max="11776" width="102.42578125" style="2" customWidth="1"/>
    <col min="11777" max="11777" width="8.85546875" style="2" customWidth="1"/>
    <col min="11778" max="11778" width="14" style="2" customWidth="1"/>
    <col min="11779" max="11779" width="28.28515625" style="2" customWidth="1"/>
    <col min="11780" max="11780" width="25.7109375" style="2" customWidth="1"/>
    <col min="11781" max="11781" width="19.7109375" style="2" customWidth="1"/>
    <col min="11782" max="11782" width="21.5703125" style="2" customWidth="1"/>
    <col min="11783" max="12030" width="11.42578125" style="2"/>
    <col min="12031" max="12031" width="6.140625" style="2" customWidth="1"/>
    <col min="12032" max="12032" width="102.42578125" style="2" customWidth="1"/>
    <col min="12033" max="12033" width="8.85546875" style="2" customWidth="1"/>
    <col min="12034" max="12034" width="14" style="2" customWidth="1"/>
    <col min="12035" max="12035" width="28.28515625" style="2" customWidth="1"/>
    <col min="12036" max="12036" width="25.7109375" style="2" customWidth="1"/>
    <col min="12037" max="12037" width="19.7109375" style="2" customWidth="1"/>
    <col min="12038" max="12038" width="21.5703125" style="2" customWidth="1"/>
    <col min="12039" max="12286" width="11.42578125" style="2"/>
    <col min="12287" max="12287" width="6.140625" style="2" customWidth="1"/>
    <col min="12288" max="12288" width="102.42578125" style="2" customWidth="1"/>
    <col min="12289" max="12289" width="8.85546875" style="2" customWidth="1"/>
    <col min="12290" max="12290" width="14" style="2" customWidth="1"/>
    <col min="12291" max="12291" width="28.28515625" style="2" customWidth="1"/>
    <col min="12292" max="12292" width="25.7109375" style="2" customWidth="1"/>
    <col min="12293" max="12293" width="19.7109375" style="2" customWidth="1"/>
    <col min="12294" max="12294" width="21.5703125" style="2" customWidth="1"/>
    <col min="12295" max="12542" width="11.42578125" style="2"/>
    <col min="12543" max="12543" width="6.140625" style="2" customWidth="1"/>
    <col min="12544" max="12544" width="102.42578125" style="2" customWidth="1"/>
    <col min="12545" max="12545" width="8.85546875" style="2" customWidth="1"/>
    <col min="12546" max="12546" width="14" style="2" customWidth="1"/>
    <col min="12547" max="12547" width="28.28515625" style="2" customWidth="1"/>
    <col min="12548" max="12548" width="25.7109375" style="2" customWidth="1"/>
    <col min="12549" max="12549" width="19.7109375" style="2" customWidth="1"/>
    <col min="12550" max="12550" width="21.5703125" style="2" customWidth="1"/>
    <col min="12551" max="12798" width="11.42578125" style="2"/>
    <col min="12799" max="12799" width="6.140625" style="2" customWidth="1"/>
    <col min="12800" max="12800" width="102.42578125" style="2" customWidth="1"/>
    <col min="12801" max="12801" width="8.85546875" style="2" customWidth="1"/>
    <col min="12802" max="12802" width="14" style="2" customWidth="1"/>
    <col min="12803" max="12803" width="28.28515625" style="2" customWidth="1"/>
    <col min="12804" max="12804" width="25.7109375" style="2" customWidth="1"/>
    <col min="12805" max="12805" width="19.7109375" style="2" customWidth="1"/>
    <col min="12806" max="12806" width="21.5703125" style="2" customWidth="1"/>
    <col min="12807" max="13054" width="11.42578125" style="2"/>
    <col min="13055" max="13055" width="6.140625" style="2" customWidth="1"/>
    <col min="13056" max="13056" width="102.42578125" style="2" customWidth="1"/>
    <col min="13057" max="13057" width="8.85546875" style="2" customWidth="1"/>
    <col min="13058" max="13058" width="14" style="2" customWidth="1"/>
    <col min="13059" max="13059" width="28.28515625" style="2" customWidth="1"/>
    <col min="13060" max="13060" width="25.7109375" style="2" customWidth="1"/>
    <col min="13061" max="13061" width="19.7109375" style="2" customWidth="1"/>
    <col min="13062" max="13062" width="21.5703125" style="2" customWidth="1"/>
    <col min="13063" max="13310" width="11.42578125" style="2"/>
    <col min="13311" max="13311" width="6.140625" style="2" customWidth="1"/>
    <col min="13312" max="13312" width="102.42578125" style="2" customWidth="1"/>
    <col min="13313" max="13313" width="8.85546875" style="2" customWidth="1"/>
    <col min="13314" max="13314" width="14" style="2" customWidth="1"/>
    <col min="13315" max="13315" width="28.28515625" style="2" customWidth="1"/>
    <col min="13316" max="13316" width="25.7109375" style="2" customWidth="1"/>
    <col min="13317" max="13317" width="19.7109375" style="2" customWidth="1"/>
    <col min="13318" max="13318" width="21.5703125" style="2" customWidth="1"/>
    <col min="13319" max="13566" width="11.42578125" style="2"/>
    <col min="13567" max="13567" width="6.140625" style="2" customWidth="1"/>
    <col min="13568" max="13568" width="102.42578125" style="2" customWidth="1"/>
    <col min="13569" max="13569" width="8.85546875" style="2" customWidth="1"/>
    <col min="13570" max="13570" width="14" style="2" customWidth="1"/>
    <col min="13571" max="13571" width="28.28515625" style="2" customWidth="1"/>
    <col min="13572" max="13572" width="25.7109375" style="2" customWidth="1"/>
    <col min="13573" max="13573" width="19.7109375" style="2" customWidth="1"/>
    <col min="13574" max="13574" width="21.5703125" style="2" customWidth="1"/>
    <col min="13575" max="13822" width="11.42578125" style="2"/>
    <col min="13823" max="13823" width="6.140625" style="2" customWidth="1"/>
    <col min="13824" max="13824" width="102.42578125" style="2" customWidth="1"/>
    <col min="13825" max="13825" width="8.85546875" style="2" customWidth="1"/>
    <col min="13826" max="13826" width="14" style="2" customWidth="1"/>
    <col min="13827" max="13827" width="28.28515625" style="2" customWidth="1"/>
    <col min="13828" max="13828" width="25.7109375" style="2" customWidth="1"/>
    <col min="13829" max="13829" width="19.7109375" style="2" customWidth="1"/>
    <col min="13830" max="13830" width="21.5703125" style="2" customWidth="1"/>
    <col min="13831" max="14078" width="11.42578125" style="2"/>
    <col min="14079" max="14079" width="6.140625" style="2" customWidth="1"/>
    <col min="14080" max="14080" width="102.42578125" style="2" customWidth="1"/>
    <col min="14081" max="14081" width="8.85546875" style="2" customWidth="1"/>
    <col min="14082" max="14082" width="14" style="2" customWidth="1"/>
    <col min="14083" max="14083" width="28.28515625" style="2" customWidth="1"/>
    <col min="14084" max="14084" width="25.7109375" style="2" customWidth="1"/>
    <col min="14085" max="14085" width="19.7109375" style="2" customWidth="1"/>
    <col min="14086" max="14086" width="21.5703125" style="2" customWidth="1"/>
    <col min="14087" max="14334" width="11.42578125" style="2"/>
    <col min="14335" max="14335" width="6.140625" style="2" customWidth="1"/>
    <col min="14336" max="14336" width="102.42578125" style="2" customWidth="1"/>
    <col min="14337" max="14337" width="8.85546875" style="2" customWidth="1"/>
    <col min="14338" max="14338" width="14" style="2" customWidth="1"/>
    <col min="14339" max="14339" width="28.28515625" style="2" customWidth="1"/>
    <col min="14340" max="14340" width="25.7109375" style="2" customWidth="1"/>
    <col min="14341" max="14341" width="19.7109375" style="2" customWidth="1"/>
    <col min="14342" max="14342" width="21.5703125" style="2" customWidth="1"/>
    <col min="14343" max="14590" width="11.42578125" style="2"/>
    <col min="14591" max="14591" width="6.140625" style="2" customWidth="1"/>
    <col min="14592" max="14592" width="102.42578125" style="2" customWidth="1"/>
    <col min="14593" max="14593" width="8.85546875" style="2" customWidth="1"/>
    <col min="14594" max="14594" width="14" style="2" customWidth="1"/>
    <col min="14595" max="14595" width="28.28515625" style="2" customWidth="1"/>
    <col min="14596" max="14596" width="25.7109375" style="2" customWidth="1"/>
    <col min="14597" max="14597" width="19.7109375" style="2" customWidth="1"/>
    <col min="14598" max="14598" width="21.5703125" style="2" customWidth="1"/>
    <col min="14599" max="14846" width="11.42578125" style="2"/>
    <col min="14847" max="14847" width="6.140625" style="2" customWidth="1"/>
    <col min="14848" max="14848" width="102.42578125" style="2" customWidth="1"/>
    <col min="14849" max="14849" width="8.85546875" style="2" customWidth="1"/>
    <col min="14850" max="14850" width="14" style="2" customWidth="1"/>
    <col min="14851" max="14851" width="28.28515625" style="2" customWidth="1"/>
    <col min="14852" max="14852" width="25.7109375" style="2" customWidth="1"/>
    <col min="14853" max="14853" width="19.7109375" style="2" customWidth="1"/>
    <col min="14854" max="14854" width="21.5703125" style="2" customWidth="1"/>
    <col min="14855" max="15102" width="11.42578125" style="2"/>
    <col min="15103" max="15103" width="6.140625" style="2" customWidth="1"/>
    <col min="15104" max="15104" width="102.42578125" style="2" customWidth="1"/>
    <col min="15105" max="15105" width="8.85546875" style="2" customWidth="1"/>
    <col min="15106" max="15106" width="14" style="2" customWidth="1"/>
    <col min="15107" max="15107" width="28.28515625" style="2" customWidth="1"/>
    <col min="15108" max="15108" width="25.7109375" style="2" customWidth="1"/>
    <col min="15109" max="15109" width="19.7109375" style="2" customWidth="1"/>
    <col min="15110" max="15110" width="21.5703125" style="2" customWidth="1"/>
    <col min="15111" max="15358" width="11.42578125" style="2"/>
    <col min="15359" max="15359" width="6.140625" style="2" customWidth="1"/>
    <col min="15360" max="15360" width="102.42578125" style="2" customWidth="1"/>
    <col min="15361" max="15361" width="8.85546875" style="2" customWidth="1"/>
    <col min="15362" max="15362" width="14" style="2" customWidth="1"/>
    <col min="15363" max="15363" width="28.28515625" style="2" customWidth="1"/>
    <col min="15364" max="15364" width="25.7109375" style="2" customWidth="1"/>
    <col min="15365" max="15365" width="19.7109375" style="2" customWidth="1"/>
    <col min="15366" max="15366" width="21.5703125" style="2" customWidth="1"/>
    <col min="15367" max="15614" width="11.42578125" style="2"/>
    <col min="15615" max="15615" width="6.140625" style="2" customWidth="1"/>
    <col min="15616" max="15616" width="102.42578125" style="2" customWidth="1"/>
    <col min="15617" max="15617" width="8.85546875" style="2" customWidth="1"/>
    <col min="15618" max="15618" width="14" style="2" customWidth="1"/>
    <col min="15619" max="15619" width="28.28515625" style="2" customWidth="1"/>
    <col min="15620" max="15620" width="25.7109375" style="2" customWidth="1"/>
    <col min="15621" max="15621" width="19.7109375" style="2" customWidth="1"/>
    <col min="15622" max="15622" width="21.5703125" style="2" customWidth="1"/>
    <col min="15623" max="15870" width="11.42578125" style="2"/>
    <col min="15871" max="15871" width="6.140625" style="2" customWidth="1"/>
    <col min="15872" max="15872" width="102.42578125" style="2" customWidth="1"/>
    <col min="15873" max="15873" width="8.85546875" style="2" customWidth="1"/>
    <col min="15874" max="15874" width="14" style="2" customWidth="1"/>
    <col min="15875" max="15875" width="28.28515625" style="2" customWidth="1"/>
    <col min="15876" max="15876" width="25.7109375" style="2" customWidth="1"/>
    <col min="15877" max="15877" width="19.7109375" style="2" customWidth="1"/>
    <col min="15878" max="15878" width="21.5703125" style="2" customWidth="1"/>
    <col min="15879" max="16126" width="11.42578125" style="2"/>
    <col min="16127" max="16127" width="6.140625" style="2" customWidth="1"/>
    <col min="16128" max="16128" width="102.42578125" style="2" customWidth="1"/>
    <col min="16129" max="16129" width="8.85546875" style="2" customWidth="1"/>
    <col min="16130" max="16130" width="14" style="2" customWidth="1"/>
    <col min="16131" max="16131" width="28.28515625" style="2" customWidth="1"/>
    <col min="16132" max="16132" width="25.7109375" style="2" customWidth="1"/>
    <col min="16133" max="16133" width="19.7109375" style="2" customWidth="1"/>
    <col min="16134" max="16134" width="21.5703125" style="2" customWidth="1"/>
    <col min="16135" max="16384" width="11.42578125" style="2"/>
  </cols>
  <sheetData>
    <row r="1" spans="1:13" x14ac:dyDescent="0.25">
      <c r="A1" s="234" t="s">
        <v>0</v>
      </c>
      <c r="B1" s="222"/>
      <c r="C1" s="222"/>
      <c r="D1" s="222"/>
      <c r="E1" s="222"/>
      <c r="F1" s="223"/>
    </row>
    <row r="2" spans="1:13" x14ac:dyDescent="0.25">
      <c r="A2" s="235" t="s">
        <v>13</v>
      </c>
      <c r="B2" s="236"/>
      <c r="C2" s="236"/>
      <c r="D2" s="236"/>
      <c r="E2" s="236"/>
      <c r="F2" s="237"/>
    </row>
    <row r="3" spans="1:13" x14ac:dyDescent="0.25">
      <c r="A3" s="238" t="s">
        <v>1</v>
      </c>
      <c r="B3" s="239"/>
      <c r="C3" s="239"/>
      <c r="D3" s="239"/>
      <c r="E3" s="239"/>
      <c r="F3" s="240"/>
    </row>
    <row r="4" spans="1:13" x14ac:dyDescent="0.25">
      <c r="A4" s="241" t="s">
        <v>228</v>
      </c>
      <c r="B4" s="242"/>
      <c r="C4" s="242"/>
      <c r="D4" s="242"/>
      <c r="E4" s="242"/>
      <c r="F4" s="243"/>
    </row>
    <row r="5" spans="1:13" ht="13.5" thickBot="1" x14ac:dyDescent="0.3">
      <c r="A5" s="244" t="s">
        <v>2</v>
      </c>
      <c r="B5" s="245"/>
      <c r="C5" s="245"/>
      <c r="D5" s="245"/>
      <c r="E5" s="245"/>
      <c r="F5" s="246"/>
    </row>
    <row r="6" spans="1:13" x14ac:dyDescent="0.25">
      <c r="A6" s="249" t="s">
        <v>25</v>
      </c>
      <c r="B6" s="251" t="s">
        <v>3</v>
      </c>
      <c r="C6" s="251" t="s">
        <v>4</v>
      </c>
      <c r="D6" s="251" t="s">
        <v>5</v>
      </c>
      <c r="E6" s="253" t="s">
        <v>6</v>
      </c>
      <c r="F6" s="247" t="s">
        <v>7</v>
      </c>
    </row>
    <row r="7" spans="1:13" x14ac:dyDescent="0.25">
      <c r="A7" s="250"/>
      <c r="B7" s="252"/>
      <c r="C7" s="252"/>
      <c r="D7" s="252"/>
      <c r="E7" s="254"/>
      <c r="F7" s="248"/>
    </row>
    <row r="8" spans="1:13" ht="13.5" thickBot="1" x14ac:dyDescent="0.3">
      <c r="A8" s="104"/>
      <c r="B8" s="105"/>
      <c r="C8" s="105"/>
      <c r="D8" s="105"/>
      <c r="E8" s="106"/>
      <c r="F8" s="107"/>
      <c r="H8" s="1"/>
      <c r="I8" s="1"/>
      <c r="J8" s="1"/>
      <c r="K8" s="1"/>
      <c r="L8" s="1"/>
      <c r="M8" s="1"/>
    </row>
    <row r="9" spans="1:13" x14ac:dyDescent="0.25">
      <c r="A9" s="124">
        <v>1</v>
      </c>
      <c r="B9" s="125" t="s">
        <v>14</v>
      </c>
      <c r="C9" s="126"/>
      <c r="D9" s="126"/>
      <c r="E9" s="127"/>
      <c r="F9" s="128"/>
      <c r="G9" s="6">
        <v>2</v>
      </c>
    </row>
    <row r="10" spans="1:13" x14ac:dyDescent="0.2">
      <c r="A10" s="129">
        <v>10106</v>
      </c>
      <c r="B10" s="130" t="s">
        <v>34</v>
      </c>
      <c r="C10" s="131" t="s">
        <v>23</v>
      </c>
      <c r="D10" s="190">
        <f>+MEMORIAS!L18</f>
        <v>88.2</v>
      </c>
      <c r="E10" s="133">
        <v>2707</v>
      </c>
      <c r="F10" s="134">
        <f>ROUND(D10*E10,$G$9)</f>
        <v>238757.4</v>
      </c>
      <c r="G10" s="9"/>
    </row>
    <row r="11" spans="1:13" x14ac:dyDescent="0.2">
      <c r="A11" s="129">
        <v>100124</v>
      </c>
      <c r="B11" s="135" t="s">
        <v>60</v>
      </c>
      <c r="C11" s="131" t="s">
        <v>23</v>
      </c>
      <c r="D11" s="190">
        <f>+MEMORIAS!L19</f>
        <v>193.4</v>
      </c>
      <c r="E11" s="133">
        <v>18271</v>
      </c>
      <c r="F11" s="134">
        <f t="shared" ref="F11:F22" si="0">ROUND(D11*E11,$G$9)</f>
        <v>3533611.4</v>
      </c>
      <c r="G11" s="9"/>
    </row>
    <row r="12" spans="1:13" ht="25.5" x14ac:dyDescent="0.2">
      <c r="A12" s="129" t="s">
        <v>102</v>
      </c>
      <c r="B12" s="136" t="s">
        <v>103</v>
      </c>
      <c r="C12" s="131" t="s">
        <v>68</v>
      </c>
      <c r="D12" s="190">
        <v>2</v>
      </c>
      <c r="E12" s="133">
        <v>1537765.4</v>
      </c>
      <c r="F12" s="134">
        <f t="shared" si="0"/>
        <v>3075530.8</v>
      </c>
      <c r="G12" s="9"/>
    </row>
    <row r="13" spans="1:13" x14ac:dyDescent="0.2">
      <c r="A13" s="137" t="s">
        <v>27</v>
      </c>
      <c r="B13" s="138" t="s">
        <v>35</v>
      </c>
      <c r="C13" s="139" t="s">
        <v>23</v>
      </c>
      <c r="D13" s="190">
        <f>+MEMORIAS!L20</f>
        <v>369.20000000000005</v>
      </c>
      <c r="E13" s="133">
        <v>7731</v>
      </c>
      <c r="F13" s="134">
        <f t="shared" si="0"/>
        <v>2854285.2</v>
      </c>
      <c r="G13" s="9"/>
    </row>
    <row r="14" spans="1:13" x14ac:dyDescent="0.2">
      <c r="A14" s="140" t="s">
        <v>122</v>
      </c>
      <c r="B14" s="141" t="s">
        <v>123</v>
      </c>
      <c r="C14" s="142" t="s">
        <v>15</v>
      </c>
      <c r="D14" s="190">
        <f>+MEMORIAS!L23</f>
        <v>117.98</v>
      </c>
      <c r="E14" s="133">
        <v>28827</v>
      </c>
      <c r="F14" s="134">
        <f t="shared" si="0"/>
        <v>3401009.46</v>
      </c>
      <c r="G14" s="9"/>
    </row>
    <row r="15" spans="1:13" x14ac:dyDescent="0.2">
      <c r="A15" s="140" t="s">
        <v>55</v>
      </c>
      <c r="B15" s="141" t="s">
        <v>56</v>
      </c>
      <c r="C15" s="142" t="s">
        <v>15</v>
      </c>
      <c r="D15" s="190">
        <f>+MEMORIAS!L26</f>
        <v>90.44</v>
      </c>
      <c r="E15" s="133">
        <v>21448</v>
      </c>
      <c r="F15" s="134">
        <f t="shared" si="0"/>
        <v>1939757.12</v>
      </c>
      <c r="G15" s="9"/>
    </row>
    <row r="16" spans="1:13" x14ac:dyDescent="0.2">
      <c r="A16" s="140" t="s">
        <v>124</v>
      </c>
      <c r="B16" s="141" t="s">
        <v>156</v>
      </c>
      <c r="C16" s="142" t="s">
        <v>4</v>
      </c>
      <c r="D16" s="143">
        <f>+MEMORIAS!L28</f>
        <v>2</v>
      </c>
      <c r="E16" s="133">
        <v>337789</v>
      </c>
      <c r="F16" s="134">
        <f t="shared" si="0"/>
        <v>675578</v>
      </c>
      <c r="G16" s="9"/>
    </row>
    <row r="17" spans="1:8" x14ac:dyDescent="0.2">
      <c r="A17" s="137" t="s">
        <v>126</v>
      </c>
      <c r="B17" s="138" t="s">
        <v>157</v>
      </c>
      <c r="C17" s="139" t="s">
        <v>21</v>
      </c>
      <c r="D17" s="190">
        <f>+MEMORIAS!L29</f>
        <v>119.07000000000002</v>
      </c>
      <c r="E17" s="133">
        <v>7349</v>
      </c>
      <c r="F17" s="134">
        <f t="shared" si="0"/>
        <v>875045.43</v>
      </c>
      <c r="G17" s="9"/>
    </row>
    <row r="18" spans="1:8" x14ac:dyDescent="0.2">
      <c r="A18" s="140" t="s">
        <v>28</v>
      </c>
      <c r="B18" s="144" t="s">
        <v>128</v>
      </c>
      <c r="C18" s="142" t="s">
        <v>21</v>
      </c>
      <c r="D18" s="190">
        <f>+MEMORIAS!L30</f>
        <v>68.951999999999998</v>
      </c>
      <c r="E18" s="133">
        <v>35900</v>
      </c>
      <c r="F18" s="134">
        <f t="shared" si="0"/>
        <v>2475376.7999999998</v>
      </c>
      <c r="G18" s="9"/>
    </row>
    <row r="19" spans="1:8" x14ac:dyDescent="0.2">
      <c r="A19" s="140" t="s">
        <v>129</v>
      </c>
      <c r="B19" s="138" t="s">
        <v>158</v>
      </c>
      <c r="C19" s="142" t="s">
        <v>4</v>
      </c>
      <c r="D19" s="190">
        <f>+MEMORIAS!L31</f>
        <v>17</v>
      </c>
      <c r="E19" s="133">
        <v>27209</v>
      </c>
      <c r="F19" s="134">
        <f t="shared" si="0"/>
        <v>462553</v>
      </c>
      <c r="G19" s="9"/>
    </row>
    <row r="20" spans="1:8" x14ac:dyDescent="0.2">
      <c r="A20" s="137" t="s">
        <v>29</v>
      </c>
      <c r="B20" s="141" t="s">
        <v>131</v>
      </c>
      <c r="C20" s="142" t="s">
        <v>23</v>
      </c>
      <c r="D20" s="190">
        <f>+MEMORIAS!L32</f>
        <v>166.4</v>
      </c>
      <c r="E20" s="133">
        <v>13067</v>
      </c>
      <c r="F20" s="134">
        <f t="shared" si="0"/>
        <v>2174348.7999999998</v>
      </c>
      <c r="G20" s="9"/>
    </row>
    <row r="21" spans="1:8" x14ac:dyDescent="0.2">
      <c r="A21" s="140" t="s">
        <v>33</v>
      </c>
      <c r="B21" s="141" t="s">
        <v>132</v>
      </c>
      <c r="C21" s="142" t="s">
        <v>21</v>
      </c>
      <c r="D21" s="190">
        <f>+MEMORIAS!L34</f>
        <v>258.66079999999999</v>
      </c>
      <c r="E21" s="133">
        <v>30507</v>
      </c>
      <c r="F21" s="134">
        <f t="shared" si="0"/>
        <v>7890965.0300000003</v>
      </c>
      <c r="G21" s="9"/>
    </row>
    <row r="22" spans="1:8" x14ac:dyDescent="0.2">
      <c r="A22" s="140" t="s">
        <v>30</v>
      </c>
      <c r="B22" s="141" t="s">
        <v>36</v>
      </c>
      <c r="C22" s="142" t="s">
        <v>23</v>
      </c>
      <c r="D22" s="190">
        <f>+MEMORIAS!L41</f>
        <v>78</v>
      </c>
      <c r="E22" s="133">
        <v>18295</v>
      </c>
      <c r="F22" s="134">
        <f t="shared" si="0"/>
        <v>1427010</v>
      </c>
      <c r="G22" s="9"/>
    </row>
    <row r="23" spans="1:8" x14ac:dyDescent="0.2">
      <c r="A23" s="129"/>
      <c r="B23" s="145"/>
      <c r="C23" s="131"/>
      <c r="D23" s="132"/>
      <c r="E23" s="146"/>
      <c r="F23" s="134"/>
      <c r="G23" s="9"/>
    </row>
    <row r="24" spans="1:8" ht="14.45" customHeight="1" x14ac:dyDescent="0.25">
      <c r="A24" s="108"/>
      <c r="B24" s="209" t="str">
        <f>IF(B9="ESCRIBA AQUÍ EL NOMBRE DEL CAPITULO","SUBTOTAL","SUBTOTAL CAP. "&amp;A9&amp;"  "&amp;B9&amp;":")</f>
        <v>SUBTOTAL CAP. 1  PRELIMINARES:</v>
      </c>
      <c r="C24" s="209"/>
      <c r="D24" s="209"/>
      <c r="E24" s="210"/>
      <c r="F24" s="109">
        <f>SUM(F10:F23)</f>
        <v>31023828.440000005</v>
      </c>
      <c r="G24" s="7"/>
    </row>
    <row r="25" spans="1:8" x14ac:dyDescent="0.25">
      <c r="A25" s="147">
        <f>+A9+1</f>
        <v>2</v>
      </c>
      <c r="B25" s="125" t="s">
        <v>57</v>
      </c>
      <c r="C25" s="148"/>
      <c r="D25" s="149"/>
      <c r="E25" s="149"/>
      <c r="F25" s="128"/>
      <c r="G25" s="9"/>
    </row>
    <row r="26" spans="1:8" x14ac:dyDescent="0.2">
      <c r="A26" s="140" t="s">
        <v>52</v>
      </c>
      <c r="B26" s="141" t="s">
        <v>138</v>
      </c>
      <c r="C26" s="142" t="s">
        <v>23</v>
      </c>
      <c r="D26" s="191">
        <f>+MEMORIAS!L44</f>
        <v>88.4</v>
      </c>
      <c r="E26" s="133">
        <v>78807</v>
      </c>
      <c r="F26" s="134">
        <f>ROUND(D26*E26,$G$9)</f>
        <v>6966538.7999999998</v>
      </c>
      <c r="G26" s="7"/>
      <c r="H26" s="17"/>
    </row>
    <row r="27" spans="1:8" x14ac:dyDescent="0.2">
      <c r="A27" s="151" t="s">
        <v>53</v>
      </c>
      <c r="B27" s="141" t="s">
        <v>159</v>
      </c>
      <c r="C27" s="152" t="s">
        <v>4</v>
      </c>
      <c r="D27" s="191">
        <f>+MEMORIAS!L45</f>
        <v>17</v>
      </c>
      <c r="E27" s="133">
        <v>81436</v>
      </c>
      <c r="F27" s="134">
        <f t="shared" ref="F27:F30" si="1">ROUND(D27*E27,$G$9)</f>
        <v>1384412</v>
      </c>
      <c r="G27" s="7"/>
      <c r="H27" s="17"/>
    </row>
    <row r="28" spans="1:8" x14ac:dyDescent="0.2">
      <c r="A28" s="140" t="s">
        <v>139</v>
      </c>
      <c r="B28" s="141" t="s">
        <v>140</v>
      </c>
      <c r="C28" s="142" t="s">
        <v>4</v>
      </c>
      <c r="D28" s="191">
        <f>+MEMORIAS!L46</f>
        <v>17</v>
      </c>
      <c r="E28" s="133">
        <v>193228</v>
      </c>
      <c r="F28" s="134">
        <f t="shared" si="1"/>
        <v>3284876</v>
      </c>
      <c r="G28" s="7"/>
      <c r="H28" s="17"/>
    </row>
    <row r="29" spans="1:8" x14ac:dyDescent="0.2">
      <c r="A29" s="142">
        <v>110107</v>
      </c>
      <c r="B29" s="144" t="s">
        <v>141</v>
      </c>
      <c r="C29" s="142" t="s">
        <v>4</v>
      </c>
      <c r="D29" s="191">
        <f>+MEMORIAS!L47</f>
        <v>17</v>
      </c>
      <c r="E29" s="133">
        <v>605827</v>
      </c>
      <c r="F29" s="134">
        <f t="shared" si="1"/>
        <v>10299059</v>
      </c>
      <c r="G29" s="7"/>
      <c r="H29" s="17"/>
    </row>
    <row r="30" spans="1:8" x14ac:dyDescent="0.2">
      <c r="A30" s="153"/>
      <c r="B30" s="154"/>
      <c r="C30" s="155"/>
      <c r="D30" s="150"/>
      <c r="E30" s="133"/>
      <c r="F30" s="134">
        <f t="shared" si="1"/>
        <v>0</v>
      </c>
      <c r="G30" s="7"/>
      <c r="H30" s="17"/>
    </row>
    <row r="31" spans="1:8" ht="14.45" customHeight="1" x14ac:dyDescent="0.25">
      <c r="A31" s="108"/>
      <c r="B31" s="209" t="str">
        <f>IF(B25="ESCRIBA AQUÍ EL NOMBRE DEL CAPITULO","SUBTOTAL","SUBTOTAL CAP. "&amp;A25&amp;"  "&amp;B25&amp;":")</f>
        <v>SUBTOTAL CAP. 2  OBRAS DE DOMICILIARIAS :</v>
      </c>
      <c r="C31" s="209"/>
      <c r="D31" s="209"/>
      <c r="E31" s="210"/>
      <c r="F31" s="109">
        <f>SUM(F26:F30)</f>
        <v>21934885.800000001</v>
      </c>
      <c r="G31" s="7"/>
    </row>
    <row r="32" spans="1:8" x14ac:dyDescent="0.25">
      <c r="A32" s="147">
        <f>+A25+1</f>
        <v>3</v>
      </c>
      <c r="B32" s="125" t="s">
        <v>58</v>
      </c>
      <c r="C32" s="156"/>
      <c r="D32" s="157"/>
      <c r="E32" s="158"/>
      <c r="F32" s="128"/>
      <c r="G32" s="7"/>
    </row>
    <row r="33" spans="1:8" ht="15" x14ac:dyDescent="0.2">
      <c r="A33" s="151" t="s">
        <v>134</v>
      </c>
      <c r="B33" s="159" t="s">
        <v>135</v>
      </c>
      <c r="C33" s="152" t="s">
        <v>21</v>
      </c>
      <c r="D33" s="190">
        <f>+MEMORIAS!L42</f>
        <v>11.907000000000002</v>
      </c>
      <c r="E33" s="133">
        <v>98458</v>
      </c>
      <c r="F33" s="134">
        <f>ROUND(D33*E33,$G$9)</f>
        <v>1172339.4099999999</v>
      </c>
      <c r="G33" s="7"/>
      <c r="H33" s="19"/>
    </row>
    <row r="34" spans="1:8" ht="15" x14ac:dyDescent="0.2">
      <c r="A34" s="140" t="s">
        <v>136</v>
      </c>
      <c r="B34" s="141" t="s">
        <v>137</v>
      </c>
      <c r="C34" s="142" t="s">
        <v>23</v>
      </c>
      <c r="D34" s="190">
        <f>+MEMORIAS!L43</f>
        <v>88.2</v>
      </c>
      <c r="E34" s="133">
        <v>137786</v>
      </c>
      <c r="F34" s="134">
        <f t="shared" ref="F34:F47" si="2">ROUND(D34*E34,$G$9)</f>
        <v>12152725.199999999</v>
      </c>
      <c r="G34" s="7"/>
      <c r="H34" s="19"/>
    </row>
    <row r="35" spans="1:8" ht="15" x14ac:dyDescent="0.2">
      <c r="A35" s="160" t="s">
        <v>31</v>
      </c>
      <c r="B35" s="144" t="s">
        <v>37</v>
      </c>
      <c r="C35" s="142" t="s">
        <v>4</v>
      </c>
      <c r="D35" s="190">
        <f>+MEMORIAS!L48</f>
        <v>1</v>
      </c>
      <c r="E35" s="133">
        <v>2071694</v>
      </c>
      <c r="F35" s="134">
        <f t="shared" si="2"/>
        <v>2071694</v>
      </c>
      <c r="G35" s="7"/>
      <c r="H35" s="19"/>
    </row>
    <row r="36" spans="1:8" ht="15" x14ac:dyDescent="0.2">
      <c r="A36" s="160" t="s">
        <v>142</v>
      </c>
      <c r="B36" s="99" t="s">
        <v>143</v>
      </c>
      <c r="C36" s="131" t="s">
        <v>4</v>
      </c>
      <c r="D36" s="192">
        <f>+MEMORIAS!L49</f>
        <v>1</v>
      </c>
      <c r="E36" s="161">
        <v>2276274</v>
      </c>
      <c r="F36" s="134">
        <f t="shared" si="2"/>
        <v>2276274</v>
      </c>
      <c r="G36" s="7"/>
      <c r="H36" s="20"/>
    </row>
    <row r="37" spans="1:8" ht="15" x14ac:dyDescent="0.2">
      <c r="A37" s="153" t="s">
        <v>193</v>
      </c>
      <c r="B37" s="99" t="s">
        <v>192</v>
      </c>
      <c r="C37" s="199" t="s">
        <v>21</v>
      </c>
      <c r="D37" s="192">
        <f>+MEMORIAS!L50</f>
        <v>20.638800000000003</v>
      </c>
      <c r="E37" s="161">
        <v>40768</v>
      </c>
      <c r="F37" s="134">
        <f t="shared" si="2"/>
        <v>841402.6</v>
      </c>
      <c r="G37" s="7"/>
      <c r="H37" s="20"/>
    </row>
    <row r="38" spans="1:8" ht="15" x14ac:dyDescent="0.2">
      <c r="A38" s="137" t="s">
        <v>32</v>
      </c>
      <c r="B38" s="141" t="s">
        <v>38</v>
      </c>
      <c r="C38" s="139" t="s">
        <v>21</v>
      </c>
      <c r="D38" s="192">
        <f>+MEMORIAS!L51</f>
        <v>136.222438307</v>
      </c>
      <c r="E38" s="161">
        <v>88524</v>
      </c>
      <c r="F38" s="134">
        <f t="shared" si="2"/>
        <v>12058955.130000001</v>
      </c>
      <c r="G38" s="7"/>
      <c r="H38" s="20"/>
    </row>
    <row r="39" spans="1:8" ht="15" x14ac:dyDescent="0.2">
      <c r="A39" s="137" t="s">
        <v>187</v>
      </c>
      <c r="B39" s="135" t="s">
        <v>185</v>
      </c>
      <c r="C39" s="139" t="s">
        <v>21</v>
      </c>
      <c r="D39" s="192">
        <f>+MEMORIAS!L62</f>
        <v>43.036500000000004</v>
      </c>
      <c r="E39" s="161">
        <v>120884</v>
      </c>
      <c r="F39" s="134">
        <f t="shared" si="2"/>
        <v>5202424.2699999996</v>
      </c>
      <c r="G39" s="7"/>
      <c r="H39" s="20"/>
    </row>
    <row r="40" spans="1:8" ht="15" x14ac:dyDescent="0.2">
      <c r="A40" s="160" t="s">
        <v>144</v>
      </c>
      <c r="B40" s="162" t="s">
        <v>145</v>
      </c>
      <c r="C40" s="131" t="s">
        <v>146</v>
      </c>
      <c r="D40" s="190">
        <f>+MEMORIAS!L53</f>
        <v>36.887400000000007</v>
      </c>
      <c r="E40" s="133">
        <v>6098</v>
      </c>
      <c r="F40" s="134">
        <f>ROUND(D40*E40,$G$9)</f>
        <v>224939.37</v>
      </c>
      <c r="G40" s="7"/>
      <c r="H40" s="19"/>
    </row>
    <row r="41" spans="1:8" ht="15" x14ac:dyDescent="0.2">
      <c r="A41" s="153" t="s">
        <v>163</v>
      </c>
      <c r="B41" s="154" t="s">
        <v>162</v>
      </c>
      <c r="C41" s="131" t="s">
        <v>68</v>
      </c>
      <c r="D41" s="190">
        <v>4</v>
      </c>
      <c r="E41" s="133">
        <v>302344</v>
      </c>
      <c r="F41" s="134">
        <f t="shared" si="2"/>
        <v>1209376</v>
      </c>
      <c r="G41" s="7"/>
      <c r="H41" s="19"/>
    </row>
    <row r="42" spans="1:8" ht="15" x14ac:dyDescent="0.2">
      <c r="A42" s="153" t="s">
        <v>175</v>
      </c>
      <c r="B42" s="163" t="s">
        <v>174</v>
      </c>
      <c r="C42" s="131" t="s">
        <v>176</v>
      </c>
      <c r="D42" s="190">
        <v>4</v>
      </c>
      <c r="E42" s="133">
        <v>99509</v>
      </c>
      <c r="F42" s="134">
        <f>ROUND(D42*E42,$G$9)</f>
        <v>398036</v>
      </c>
      <c r="G42" s="7"/>
      <c r="H42" s="19"/>
    </row>
    <row r="43" spans="1:8" ht="15" x14ac:dyDescent="0.2">
      <c r="A43" s="153"/>
      <c r="B43" s="154"/>
      <c r="C43" s="131"/>
      <c r="D43" s="132"/>
      <c r="E43" s="133"/>
      <c r="F43" s="134">
        <f t="shared" si="2"/>
        <v>0</v>
      </c>
      <c r="G43" s="7"/>
      <c r="H43" s="19"/>
    </row>
    <row r="44" spans="1:8" ht="14.45" customHeight="1" x14ac:dyDescent="0.25">
      <c r="A44" s="108"/>
      <c r="B44" s="209" t="str">
        <f>IF(B32="ESCRIBA AQUÍ EL NOMBRE DEL CAPITULO","SUBTOTAL","SUBTOTAL CAP. "&amp;A32&amp;"  "&amp;B32&amp;":")</f>
        <v>SUBTOTAL CAP. 3  OBRAS DE ALCANTARILLADO :</v>
      </c>
      <c r="C44" s="209"/>
      <c r="D44" s="209"/>
      <c r="E44" s="210"/>
      <c r="F44" s="109">
        <f>SUM(F33:F43)</f>
        <v>37608165.979999997</v>
      </c>
      <c r="G44" s="7"/>
    </row>
    <row r="45" spans="1:8" x14ac:dyDescent="0.25">
      <c r="A45" s="147">
        <f>1+A32</f>
        <v>4</v>
      </c>
      <c r="B45" s="125" t="s">
        <v>160</v>
      </c>
      <c r="C45" s="156"/>
      <c r="D45" s="157"/>
      <c r="E45" s="158"/>
      <c r="F45" s="128"/>
      <c r="G45" s="7"/>
    </row>
    <row r="46" spans="1:8" ht="25.5" x14ac:dyDescent="0.2">
      <c r="A46" s="137" t="s">
        <v>188</v>
      </c>
      <c r="B46" s="164" t="s">
        <v>189</v>
      </c>
      <c r="C46" s="142" t="s">
        <v>21</v>
      </c>
      <c r="D46" s="190">
        <f>+MEMORIAS!L54</f>
        <v>23.076000000000001</v>
      </c>
      <c r="E46" s="133">
        <v>991231</v>
      </c>
      <c r="F46" s="165">
        <f t="shared" si="2"/>
        <v>22873646.559999999</v>
      </c>
      <c r="G46" s="7"/>
      <c r="H46" s="19"/>
    </row>
    <row r="47" spans="1:8" ht="15" x14ac:dyDescent="0.2">
      <c r="A47" s="166" t="s">
        <v>182</v>
      </c>
      <c r="B47" s="154" t="s">
        <v>181</v>
      </c>
      <c r="C47" s="142" t="s">
        <v>183</v>
      </c>
      <c r="D47" s="190">
        <f>+MEMORIAS!L58</f>
        <v>26.819100000000002</v>
      </c>
      <c r="E47" s="133">
        <v>14411</v>
      </c>
      <c r="F47" s="165">
        <f t="shared" si="2"/>
        <v>386490.05</v>
      </c>
      <c r="G47" s="7"/>
      <c r="H47" s="19"/>
    </row>
    <row r="48" spans="1:8" ht="15" x14ac:dyDescent="0.2">
      <c r="A48" s="166"/>
      <c r="B48" s="167"/>
      <c r="C48" s="142"/>
      <c r="D48" s="132"/>
      <c r="E48" s="133"/>
      <c r="F48" s="165"/>
      <c r="G48" s="7"/>
      <c r="H48" s="19"/>
    </row>
    <row r="49" spans="1:12" ht="14.45" customHeight="1" x14ac:dyDescent="0.25">
      <c r="A49" s="108"/>
      <c r="B49" s="209" t="str">
        <f>IF(B45="ESCRIBA AQUÍ EL NOMBRE DEL CAPITULO","SUBTOTAL","SUBTOTAL CAP. "&amp;A45&amp;"  "&amp;B45&amp;":")</f>
        <v>SUBTOTAL CAP. 4  REPOSICION PAVIMENTO RIGIDO VIAL:</v>
      </c>
      <c r="C49" s="209"/>
      <c r="D49" s="209"/>
      <c r="E49" s="210"/>
      <c r="F49" s="109">
        <f>SUM(F46:F48)</f>
        <v>23260136.609999999</v>
      </c>
      <c r="G49" s="7"/>
    </row>
    <row r="50" spans="1:12" s="7" customFormat="1" ht="14.45" customHeight="1" thickBot="1" x14ac:dyDescent="0.3">
      <c r="A50" s="110"/>
      <c r="B50" s="111"/>
      <c r="C50" s="111"/>
      <c r="D50" s="111"/>
      <c r="E50" s="112"/>
      <c r="F50" s="113"/>
      <c r="H50" s="8"/>
      <c r="I50" s="8"/>
      <c r="J50" s="8"/>
      <c r="K50" s="8"/>
      <c r="L50" s="8"/>
    </row>
    <row r="51" spans="1:12" x14ac:dyDescent="0.25">
      <c r="A51" s="168">
        <f>+A45+1</f>
        <v>5</v>
      </c>
      <c r="B51" s="169" t="s">
        <v>161</v>
      </c>
      <c r="C51" s="170"/>
      <c r="D51" s="171"/>
      <c r="E51" s="172"/>
      <c r="F51" s="173"/>
      <c r="G51" s="7"/>
    </row>
    <row r="52" spans="1:12" s="43" customFormat="1" ht="14.45" customHeight="1" x14ac:dyDescent="0.25">
      <c r="A52" s="174" t="s">
        <v>59</v>
      </c>
      <c r="B52" s="167" t="s">
        <v>151</v>
      </c>
      <c r="C52" s="152" t="s">
        <v>15</v>
      </c>
      <c r="D52" s="193">
        <f>+MEMORIAS!L59</f>
        <v>53.04</v>
      </c>
      <c r="E52" s="175">
        <v>93973</v>
      </c>
      <c r="F52" s="176">
        <f>+E52*D52</f>
        <v>4984327.92</v>
      </c>
      <c r="H52" s="44"/>
      <c r="I52" s="44"/>
      <c r="J52" s="44"/>
      <c r="K52" s="44"/>
      <c r="L52" s="44"/>
    </row>
    <row r="53" spans="1:12" s="43" customFormat="1" ht="14.45" customHeight="1" x14ac:dyDescent="0.25">
      <c r="A53" s="174" t="s">
        <v>152</v>
      </c>
      <c r="B53" s="177" t="s">
        <v>153</v>
      </c>
      <c r="C53" s="152" t="s">
        <v>15</v>
      </c>
      <c r="D53" s="194">
        <f>+MEMORIAS!L60</f>
        <v>16.632000000000001</v>
      </c>
      <c r="E53" s="179">
        <v>110870</v>
      </c>
      <c r="F53" s="176">
        <f>+E53*D53</f>
        <v>1843989.84</v>
      </c>
      <c r="H53" s="44"/>
      <c r="I53" s="44"/>
      <c r="J53" s="44"/>
      <c r="K53" s="44"/>
      <c r="L53" s="44"/>
    </row>
    <row r="54" spans="1:12" s="43" customFormat="1" ht="14.45" customHeight="1" x14ac:dyDescent="0.25">
      <c r="A54" s="180"/>
      <c r="B54" s="181"/>
      <c r="C54" s="182"/>
      <c r="D54" s="194"/>
      <c r="E54" s="179"/>
      <c r="F54" s="183"/>
      <c r="H54" s="44"/>
      <c r="I54" s="44"/>
      <c r="J54" s="44"/>
      <c r="K54" s="44"/>
      <c r="L54" s="44"/>
    </row>
    <row r="55" spans="1:12" ht="14.45" customHeight="1" thickBot="1" x14ac:dyDescent="0.3">
      <c r="A55" s="108"/>
      <c r="B55" s="209" t="str">
        <f>IF(B51="ESCRIBA AQUÍ EL NOMBRE DEL CAPITULO","SUBTOTAL","SUBTOTAL CAP. "&amp;A51&amp;"  "&amp;B51&amp;":")</f>
        <v>SUBTOTAL CAP. 5  ANDEN  :</v>
      </c>
      <c r="C55" s="209"/>
      <c r="D55" s="209"/>
      <c r="E55" s="210"/>
      <c r="F55" s="109">
        <f>SUM(F52:F54)</f>
        <v>6828317.7599999998</v>
      </c>
      <c r="G55" s="7"/>
    </row>
    <row r="56" spans="1:12" x14ac:dyDescent="0.25">
      <c r="A56" s="168">
        <f>+A51+1</f>
        <v>6</v>
      </c>
      <c r="B56" s="169" t="s">
        <v>115</v>
      </c>
      <c r="C56" s="170"/>
      <c r="D56" s="171"/>
      <c r="E56" s="172"/>
      <c r="F56" s="173"/>
      <c r="G56" s="7"/>
    </row>
    <row r="57" spans="1:12" s="43" customFormat="1" ht="14.45" customHeight="1" x14ac:dyDescent="0.25">
      <c r="A57" s="184">
        <v>310104</v>
      </c>
      <c r="B57" s="185" t="s">
        <v>116</v>
      </c>
      <c r="C57" s="186" t="s">
        <v>15</v>
      </c>
      <c r="D57" s="193">
        <f>+MEMORIAS!L61</f>
        <v>530.70000000000005</v>
      </c>
      <c r="E57" s="175">
        <v>5186</v>
      </c>
      <c r="F57" s="176">
        <f>+E57*D57</f>
        <v>2752210.2</v>
      </c>
      <c r="H57" s="44"/>
      <c r="I57" s="44"/>
      <c r="J57" s="44"/>
      <c r="K57" s="44"/>
      <c r="L57" s="44"/>
    </row>
    <row r="58" spans="1:12" s="43" customFormat="1" ht="14.45" customHeight="1" x14ac:dyDescent="0.25">
      <c r="A58" s="180"/>
      <c r="B58" s="181"/>
      <c r="C58" s="182"/>
      <c r="D58" s="178"/>
      <c r="E58" s="179"/>
      <c r="F58" s="183"/>
      <c r="H58" s="44"/>
      <c r="I58" s="44"/>
      <c r="J58" s="44"/>
      <c r="K58" s="44"/>
      <c r="L58" s="44"/>
    </row>
    <row r="59" spans="1:12" s="7" customFormat="1" ht="14.45" customHeight="1" thickBot="1" x14ac:dyDescent="0.3">
      <c r="A59" s="187"/>
      <c r="B59" s="188"/>
      <c r="C59" s="188"/>
      <c r="D59" s="188"/>
      <c r="E59" s="188"/>
      <c r="F59" s="189"/>
      <c r="H59" s="8"/>
      <c r="I59" s="8"/>
      <c r="J59" s="8"/>
      <c r="K59" s="8"/>
      <c r="L59" s="8"/>
    </row>
    <row r="60" spans="1:12" ht="14.45" customHeight="1" thickBot="1" x14ac:dyDescent="0.3">
      <c r="A60" s="114"/>
      <c r="B60" s="232" t="str">
        <f>IF(B56="ESCRIBA AQUÍ EL NOMBRE DEL CAPITULO","SUBTOTAL","SUBTOTAL CAP. "&amp;A56&amp;"  "&amp;B56&amp;":")</f>
        <v>SUBTOTAL CAP. 6  LIMPIEZA :</v>
      </c>
      <c r="C60" s="232"/>
      <c r="D60" s="232"/>
      <c r="E60" s="233"/>
      <c r="F60" s="115">
        <f>SUM(F57:F59)</f>
        <v>2752210.2</v>
      </c>
      <c r="G60" s="7"/>
    </row>
    <row r="61" spans="1:12" x14ac:dyDescent="0.25">
      <c r="A61" s="211" t="s">
        <v>17</v>
      </c>
      <c r="B61" s="212"/>
      <c r="C61" s="212"/>
      <c r="D61" s="212"/>
      <c r="E61" s="212"/>
      <c r="F61" s="202">
        <f>ROUND(F24+F31+F44+F49+F55+F60,$G$9)</f>
        <v>123407544.79000001</v>
      </c>
      <c r="G61" s="7"/>
    </row>
    <row r="62" spans="1:12" ht="13.5" thickBot="1" x14ac:dyDescent="0.3">
      <c r="A62" s="213" t="s">
        <v>18</v>
      </c>
      <c r="B62" s="214"/>
      <c r="C62" s="214"/>
      <c r="D62" s="214"/>
      <c r="E62" s="215"/>
      <c r="F62" s="203">
        <f>ROUND(SUM(F61:F61),G9)</f>
        <v>123407544.79000001</v>
      </c>
      <c r="G62" s="9"/>
    </row>
    <row r="63" spans="1:12" ht="13.5" thickBot="1" x14ac:dyDescent="0.3">
      <c r="A63" s="216"/>
      <c r="B63" s="217"/>
      <c r="C63" s="222"/>
      <c r="D63" s="222"/>
      <c r="E63" s="222"/>
      <c r="F63" s="223"/>
      <c r="G63" s="7"/>
    </row>
    <row r="64" spans="1:12" x14ac:dyDescent="0.25">
      <c r="A64" s="218"/>
      <c r="B64" s="219"/>
      <c r="C64" s="224" t="s">
        <v>8</v>
      </c>
      <c r="D64" s="225"/>
      <c r="E64" s="116">
        <v>0.28999999999999998</v>
      </c>
      <c r="F64" s="204">
        <f>ROUND($F$61*E64,$G$9)</f>
        <v>35788187.990000002</v>
      </c>
      <c r="G64" s="7"/>
    </row>
    <row r="65" spans="1:8" x14ac:dyDescent="0.25">
      <c r="A65" s="218"/>
      <c r="B65" s="219"/>
      <c r="C65" s="226" t="s">
        <v>9</v>
      </c>
      <c r="D65" s="227"/>
      <c r="E65" s="117">
        <v>0.06</v>
      </c>
      <c r="F65" s="205">
        <f>ROUND($F$61*E65,$G$9)</f>
        <v>7404452.6900000004</v>
      </c>
      <c r="G65" s="10"/>
      <c r="H65" s="195"/>
    </row>
    <row r="66" spans="1:8" ht="13.5" thickBot="1" x14ac:dyDescent="0.3">
      <c r="A66" s="218"/>
      <c r="B66" s="219"/>
      <c r="C66" s="228" t="s">
        <v>10</v>
      </c>
      <c r="D66" s="229"/>
      <c r="E66" s="118">
        <v>0</v>
      </c>
      <c r="F66" s="119">
        <f>ROUND($F$61*E66,$G$9)</f>
        <v>0</v>
      </c>
      <c r="G66" s="7"/>
    </row>
    <row r="67" spans="1:8" ht="13.5" thickBot="1" x14ac:dyDescent="0.3">
      <c r="A67" s="218"/>
      <c r="B67" s="219"/>
      <c r="C67" s="230" t="s">
        <v>11</v>
      </c>
      <c r="D67" s="231"/>
      <c r="E67" s="231"/>
      <c r="F67" s="206">
        <f>ROUND(SUM(F64:F66),$G$8)</f>
        <v>43192641</v>
      </c>
      <c r="G67" s="7"/>
    </row>
    <row r="68" spans="1:8" ht="13.5" thickBot="1" x14ac:dyDescent="0.3">
      <c r="A68" s="220"/>
      <c r="B68" s="221"/>
      <c r="C68" s="120"/>
      <c r="D68" s="120"/>
      <c r="E68" s="120"/>
      <c r="F68" s="121"/>
      <c r="G68" s="11"/>
    </row>
    <row r="69" spans="1:8" x14ac:dyDescent="0.25">
      <c r="A69" s="122"/>
      <c r="B69" s="123"/>
      <c r="C69" s="207" t="s">
        <v>12</v>
      </c>
      <c r="D69" s="208"/>
      <c r="E69" s="208"/>
      <c r="F69" s="201">
        <f>+F67+F62</f>
        <v>166600185.79000002</v>
      </c>
      <c r="G69" s="7"/>
    </row>
  </sheetData>
  <mergeCells count="26">
    <mergeCell ref="B24:E24"/>
    <mergeCell ref="A1:F1"/>
    <mergeCell ref="A2:F2"/>
    <mergeCell ref="A3:F3"/>
    <mergeCell ref="A4:F4"/>
    <mergeCell ref="A5:F5"/>
    <mergeCell ref="F6:F7"/>
    <mergeCell ref="A6:A7"/>
    <mergeCell ref="B6:B7"/>
    <mergeCell ref="C6:C7"/>
    <mergeCell ref="D6:D7"/>
    <mergeCell ref="E6:E7"/>
    <mergeCell ref="C69:E69"/>
    <mergeCell ref="B31:E31"/>
    <mergeCell ref="B49:E49"/>
    <mergeCell ref="A61:E61"/>
    <mergeCell ref="A62:E62"/>
    <mergeCell ref="A63:B68"/>
    <mergeCell ref="C63:F63"/>
    <mergeCell ref="C64:D64"/>
    <mergeCell ref="C65:D65"/>
    <mergeCell ref="C66:D66"/>
    <mergeCell ref="C67:E67"/>
    <mergeCell ref="B60:E60"/>
    <mergeCell ref="B44:E44"/>
    <mergeCell ref="B55:E55"/>
  </mergeCells>
  <phoneticPr fontId="9" type="noConversion"/>
  <pageMargins left="0.25" right="0.25" top="0.75" bottom="0.75" header="0.3" footer="0.3"/>
  <pageSetup paperSize="152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B20B1-E6A0-44FE-AFA0-2B0ECA4508E5}">
  <dimension ref="B1:I127"/>
  <sheetViews>
    <sheetView topLeftCell="A92" workbookViewId="0">
      <selection activeCell="D130" sqref="D130"/>
    </sheetView>
  </sheetViews>
  <sheetFormatPr baseColWidth="10" defaultRowHeight="15" x14ac:dyDescent="0.25"/>
  <cols>
    <col min="2" max="2" width="13.7109375" bestFit="1" customWidth="1"/>
    <col min="3" max="3" width="43" bestFit="1" customWidth="1"/>
    <col min="9" max="9" width="14.42578125" bestFit="1" customWidth="1"/>
  </cols>
  <sheetData>
    <row r="1" spans="2:9" ht="15.75" thickBot="1" x14ac:dyDescent="0.3"/>
    <row r="2" spans="2:9" ht="18.75" x14ac:dyDescent="0.25">
      <c r="B2" s="267" t="s">
        <v>61</v>
      </c>
      <c r="C2" s="263"/>
      <c r="D2" s="263"/>
      <c r="E2" s="263"/>
      <c r="F2" s="263"/>
      <c r="G2" s="263"/>
      <c r="H2" s="263"/>
      <c r="I2" s="264"/>
    </row>
    <row r="3" spans="2:9" x14ac:dyDescent="0.25">
      <c r="B3" s="37" t="s">
        <v>62</v>
      </c>
      <c r="I3" s="22"/>
    </row>
    <row r="4" spans="2:9" x14ac:dyDescent="0.25">
      <c r="B4" s="37" t="s">
        <v>63</v>
      </c>
      <c r="I4" s="22"/>
    </row>
    <row r="5" spans="2:9" x14ac:dyDescent="0.25">
      <c r="B5" s="37" t="s">
        <v>64</v>
      </c>
      <c r="I5" s="22"/>
    </row>
    <row r="6" spans="2:9" x14ac:dyDescent="0.25">
      <c r="B6" s="23"/>
      <c r="I6" s="22"/>
    </row>
    <row r="7" spans="2:9" x14ac:dyDescent="0.25">
      <c r="B7" s="23" t="s">
        <v>65</v>
      </c>
      <c r="C7" t="s">
        <v>104</v>
      </c>
      <c r="I7" s="22"/>
    </row>
    <row r="8" spans="2:9" x14ac:dyDescent="0.25">
      <c r="B8" s="23" t="s">
        <v>66</v>
      </c>
      <c r="C8" t="s">
        <v>105</v>
      </c>
      <c r="I8" s="22"/>
    </row>
    <row r="9" spans="2:9" x14ac:dyDescent="0.25">
      <c r="B9" s="23" t="s">
        <v>67</v>
      </c>
      <c r="C9" t="s">
        <v>68</v>
      </c>
      <c r="I9" s="22"/>
    </row>
    <row r="10" spans="2:9" x14ac:dyDescent="0.25">
      <c r="B10" s="23"/>
      <c r="I10" s="22"/>
    </row>
    <row r="11" spans="2:9" x14ac:dyDescent="0.25">
      <c r="B11" s="37" t="s">
        <v>69</v>
      </c>
      <c r="I11" s="22"/>
    </row>
    <row r="12" spans="2:9" x14ac:dyDescent="0.25">
      <c r="B12" s="38" t="s">
        <v>19</v>
      </c>
      <c r="C12" s="39" t="s">
        <v>70</v>
      </c>
      <c r="D12" s="39" t="s">
        <v>71</v>
      </c>
      <c r="E12" s="39" t="s">
        <v>20</v>
      </c>
      <c r="F12" s="39" t="s">
        <v>72</v>
      </c>
      <c r="G12" s="268" t="s">
        <v>73</v>
      </c>
      <c r="H12" s="266"/>
      <c r="I12" s="40" t="s">
        <v>74</v>
      </c>
    </row>
    <row r="13" spans="2:9" x14ac:dyDescent="0.25">
      <c r="B13" s="23"/>
      <c r="G13" s="255" t="s">
        <v>75</v>
      </c>
      <c r="H13" s="256"/>
      <c r="I13" s="41">
        <v>0</v>
      </c>
    </row>
    <row r="14" spans="2:9" x14ac:dyDescent="0.25">
      <c r="B14" s="23"/>
      <c r="I14" s="22"/>
    </row>
    <row r="15" spans="2:9" x14ac:dyDescent="0.25">
      <c r="B15" s="37" t="s">
        <v>76</v>
      </c>
      <c r="I15" s="22"/>
    </row>
    <row r="16" spans="2:9" x14ac:dyDescent="0.25">
      <c r="B16" s="38" t="s">
        <v>19</v>
      </c>
      <c r="C16" s="39" t="s">
        <v>70</v>
      </c>
      <c r="D16" s="39" t="s">
        <v>71</v>
      </c>
      <c r="E16" s="39" t="s">
        <v>77</v>
      </c>
      <c r="F16" s="39" t="s">
        <v>78</v>
      </c>
      <c r="G16" s="39" t="s">
        <v>79</v>
      </c>
      <c r="H16" s="39" t="s">
        <v>80</v>
      </c>
      <c r="I16" s="40" t="s">
        <v>74</v>
      </c>
    </row>
    <row r="17" spans="2:9" x14ac:dyDescent="0.25">
      <c r="B17" s="28" t="s">
        <v>106</v>
      </c>
      <c r="C17" s="29" t="s">
        <v>107</v>
      </c>
      <c r="D17" s="29" t="s">
        <v>77</v>
      </c>
      <c r="E17" s="30">
        <f>VLOOKUP(B17,[108]Insumos!B:E,4,FALSE)</f>
        <v>410407.09</v>
      </c>
      <c r="F17" s="29">
        <v>1.8</v>
      </c>
      <c r="G17" s="30">
        <f>E17*F17</f>
        <v>738732.7620000001</v>
      </c>
      <c r="H17" s="29">
        <v>1</v>
      </c>
      <c r="I17" s="31">
        <f>IF(D17&lt;&gt;"JORNAL",H17*E17,G17/H17)</f>
        <v>738732.7620000001</v>
      </c>
    </row>
    <row r="18" spans="2:9" x14ac:dyDescent="0.25">
      <c r="B18" s="23"/>
      <c r="G18" s="255" t="s">
        <v>81</v>
      </c>
      <c r="H18" s="256"/>
      <c r="I18" s="41">
        <f>SUM(I17:I17)</f>
        <v>738732.7620000001</v>
      </c>
    </row>
    <row r="19" spans="2:9" x14ac:dyDescent="0.25">
      <c r="B19" s="23"/>
      <c r="I19" s="22"/>
    </row>
    <row r="20" spans="2:9" x14ac:dyDescent="0.25">
      <c r="B20" s="37" t="s">
        <v>82</v>
      </c>
      <c r="I20" s="22"/>
    </row>
    <row r="21" spans="2:9" x14ac:dyDescent="0.25">
      <c r="B21" s="38" t="s">
        <v>19</v>
      </c>
      <c r="C21" s="39" t="s">
        <v>70</v>
      </c>
      <c r="D21" s="39" t="s">
        <v>71</v>
      </c>
      <c r="E21" s="268" t="s">
        <v>20</v>
      </c>
      <c r="F21" s="266"/>
      <c r="G21" s="39" t="s">
        <v>83</v>
      </c>
      <c r="H21" s="26"/>
      <c r="I21" s="40" t="s">
        <v>74</v>
      </c>
    </row>
    <row r="22" spans="2:9" x14ac:dyDescent="0.25">
      <c r="B22" s="28" t="s">
        <v>108</v>
      </c>
      <c r="C22" s="29" t="s">
        <v>109</v>
      </c>
      <c r="D22" s="29" t="s">
        <v>110</v>
      </c>
      <c r="E22" s="29">
        <v>8</v>
      </c>
      <c r="F22" s="29"/>
      <c r="G22" s="30">
        <f>VLOOKUP(B22,[108]Insumos!B:E,4,FALSE)</f>
        <v>66116</v>
      </c>
      <c r="H22" s="29"/>
      <c r="I22" s="31">
        <f>E22*G22</f>
        <v>528928</v>
      </c>
    </row>
    <row r="23" spans="2:9" x14ac:dyDescent="0.25">
      <c r="B23" s="28" t="s">
        <v>101</v>
      </c>
      <c r="C23" s="29" t="s">
        <v>84</v>
      </c>
      <c r="D23" s="29" t="s">
        <v>85</v>
      </c>
      <c r="E23" s="29">
        <v>5</v>
      </c>
      <c r="F23" s="29"/>
      <c r="G23" s="30">
        <f>SUM(I18)</f>
        <v>738732.7620000001</v>
      </c>
      <c r="H23" s="29"/>
      <c r="I23" s="31">
        <f>E23/100*G23</f>
        <v>36936.638100000004</v>
      </c>
    </row>
    <row r="24" spans="2:9" x14ac:dyDescent="0.25">
      <c r="B24" s="28" t="s">
        <v>111</v>
      </c>
      <c r="C24" s="29" t="s">
        <v>112</v>
      </c>
      <c r="D24" s="29" t="s">
        <v>110</v>
      </c>
      <c r="E24" s="29">
        <v>8</v>
      </c>
      <c r="F24" s="29"/>
      <c r="G24" s="30">
        <f>VLOOKUP(B24,[108]Insumos!B:E,4,FALSE)</f>
        <v>20179</v>
      </c>
      <c r="H24" s="29"/>
      <c r="I24" s="31">
        <f>E24*G24</f>
        <v>161432</v>
      </c>
    </row>
    <row r="25" spans="2:9" x14ac:dyDescent="0.25">
      <c r="B25" s="28" t="s">
        <v>113</v>
      </c>
      <c r="C25" s="29" t="s">
        <v>114</v>
      </c>
      <c r="D25" s="29" t="s">
        <v>110</v>
      </c>
      <c r="E25" s="29">
        <v>8</v>
      </c>
      <c r="F25" s="29"/>
      <c r="G25" s="30">
        <f>VLOOKUP(B25,[108]Insumos!B:E,4,FALSE)</f>
        <v>8967</v>
      </c>
      <c r="H25" s="29"/>
      <c r="I25" s="31">
        <f>E25*G25</f>
        <v>71736</v>
      </c>
    </row>
    <row r="26" spans="2:9" x14ac:dyDescent="0.25">
      <c r="B26" s="23"/>
      <c r="G26" s="255" t="s">
        <v>86</v>
      </c>
      <c r="H26" s="256"/>
      <c r="I26" s="41">
        <f>SUM(I22:I25)</f>
        <v>799032.63809999998</v>
      </c>
    </row>
    <row r="27" spans="2:9" x14ac:dyDescent="0.25">
      <c r="B27" s="23"/>
      <c r="I27" s="22"/>
    </row>
    <row r="28" spans="2:9" x14ac:dyDescent="0.25">
      <c r="B28" s="37" t="s">
        <v>87</v>
      </c>
      <c r="I28" s="22"/>
    </row>
    <row r="29" spans="2:9" x14ac:dyDescent="0.25">
      <c r="B29" s="38" t="s">
        <v>19</v>
      </c>
      <c r="C29" s="39" t="s">
        <v>70</v>
      </c>
      <c r="D29" s="39" t="s">
        <v>71</v>
      </c>
      <c r="E29" s="39" t="s">
        <v>20</v>
      </c>
      <c r="F29" s="39" t="s">
        <v>88</v>
      </c>
      <c r="G29" s="39" t="s">
        <v>89</v>
      </c>
      <c r="H29" s="39" t="s">
        <v>83</v>
      </c>
      <c r="I29" s="40" t="s">
        <v>74</v>
      </c>
    </row>
    <row r="30" spans="2:9" x14ac:dyDescent="0.25">
      <c r="B30" s="23"/>
      <c r="G30" s="255" t="s">
        <v>90</v>
      </c>
      <c r="H30" s="256"/>
      <c r="I30" s="41">
        <v>0</v>
      </c>
    </row>
    <row r="31" spans="2:9" x14ac:dyDescent="0.25">
      <c r="B31" s="23"/>
      <c r="I31" s="22"/>
    </row>
    <row r="32" spans="2:9" ht="16.5" thickBot="1" x14ac:dyDescent="0.3">
      <c r="B32" s="34"/>
      <c r="C32" s="35"/>
      <c r="D32" s="35"/>
      <c r="E32" s="35"/>
      <c r="F32" s="35"/>
      <c r="G32" s="257" t="s">
        <v>91</v>
      </c>
      <c r="H32" s="258"/>
      <c r="I32" s="42">
        <f>I13+I18+I26+I30</f>
        <v>1537765.4001000002</v>
      </c>
    </row>
    <row r="34" spans="2:9" ht="15.75" thickBot="1" x14ac:dyDescent="0.3"/>
    <row r="35" spans="2:9" ht="18.75" x14ac:dyDescent="0.25">
      <c r="B35" s="262" t="s">
        <v>61</v>
      </c>
      <c r="C35" s="263"/>
      <c r="D35" s="263"/>
      <c r="E35" s="263"/>
      <c r="F35" s="263"/>
      <c r="G35" s="263"/>
      <c r="H35" s="263"/>
      <c r="I35" s="264"/>
    </row>
    <row r="36" spans="2:9" x14ac:dyDescent="0.25">
      <c r="B36" s="21" t="s">
        <v>62</v>
      </c>
      <c r="I36" s="22"/>
    </row>
    <row r="37" spans="2:9" x14ac:dyDescent="0.25">
      <c r="B37" s="21" t="s">
        <v>63</v>
      </c>
      <c r="I37" s="22"/>
    </row>
    <row r="38" spans="2:9" x14ac:dyDescent="0.25">
      <c r="B38" s="21" t="s">
        <v>64</v>
      </c>
      <c r="I38" s="22"/>
    </row>
    <row r="39" spans="2:9" x14ac:dyDescent="0.25">
      <c r="B39" s="23"/>
      <c r="I39" s="22"/>
    </row>
    <row r="40" spans="2:9" x14ac:dyDescent="0.25">
      <c r="B40" s="23" t="s">
        <v>65</v>
      </c>
      <c r="C40" t="s">
        <v>92</v>
      </c>
      <c r="I40" s="22"/>
    </row>
    <row r="41" spans="2:9" x14ac:dyDescent="0.25">
      <c r="B41" s="23" t="s">
        <v>66</v>
      </c>
      <c r="C41" t="s">
        <v>93</v>
      </c>
      <c r="I41" s="22"/>
    </row>
    <row r="42" spans="2:9" x14ac:dyDescent="0.25">
      <c r="B42" s="23" t="s">
        <v>67</v>
      </c>
      <c r="C42" t="s">
        <v>4</v>
      </c>
      <c r="I42" s="22"/>
    </row>
    <row r="43" spans="2:9" x14ac:dyDescent="0.25">
      <c r="B43" s="23"/>
      <c r="I43" s="22"/>
    </row>
    <row r="44" spans="2:9" x14ac:dyDescent="0.25">
      <c r="B44" s="21" t="s">
        <v>69</v>
      </c>
      <c r="I44" s="22"/>
    </row>
    <row r="45" spans="2:9" x14ac:dyDescent="0.25">
      <c r="B45" s="24" t="s">
        <v>19</v>
      </c>
      <c r="C45" s="25" t="s">
        <v>70</v>
      </c>
      <c r="D45" s="25" t="s">
        <v>71</v>
      </c>
      <c r="E45" s="25" t="s">
        <v>20</v>
      </c>
      <c r="F45" s="25" t="s">
        <v>72</v>
      </c>
      <c r="G45" s="265" t="s">
        <v>73</v>
      </c>
      <c r="H45" s="266"/>
      <c r="I45" s="27" t="s">
        <v>74</v>
      </c>
    </row>
    <row r="46" spans="2:9" x14ac:dyDescent="0.25">
      <c r="B46" s="28" t="s">
        <v>94</v>
      </c>
      <c r="C46" s="29" t="str">
        <f>VLOOKUP(B46,[28]Insumos!B:E,2,FALSE)</f>
        <v>MEZCLA CONCRETO 1:2:3 3100 PSI - 22,0 Mpa</v>
      </c>
      <c r="D46" s="29" t="str">
        <f>VLOOKUP(B46,[28]Insumos!B:E,3,FALSE)</f>
        <v>M3</v>
      </c>
      <c r="E46" s="29">
        <v>0.44999998807907099</v>
      </c>
      <c r="F46" s="29">
        <v>0</v>
      </c>
      <c r="G46" s="30">
        <f>VLOOKUP(B46,[28]Insumos!B:E,4,FALSE)</f>
        <v>645000</v>
      </c>
      <c r="H46" s="29"/>
      <c r="I46" s="31">
        <f>E46*(1+F46/100)*G46</f>
        <v>290249.99231100077</v>
      </c>
    </row>
    <row r="47" spans="2:9" x14ac:dyDescent="0.25">
      <c r="B47" s="28" t="s">
        <v>95</v>
      </c>
      <c r="C47" s="29" t="str">
        <f>VLOOKUP(B47,[28]Insumos!B:E,2,FALSE)</f>
        <v>CUARTON 2" X 4" X 300 AMARILLO</v>
      </c>
      <c r="D47" s="29" t="str">
        <f>VLOOKUP(B47,[28]Insumos!B:E,3,FALSE)</f>
        <v>UND</v>
      </c>
      <c r="E47" s="29">
        <v>1</v>
      </c>
      <c r="F47" s="29">
        <v>0</v>
      </c>
      <c r="G47" s="30">
        <f>VLOOKUP(B47,[28]Insumos!B:E,4,FALSE)</f>
        <v>30765</v>
      </c>
      <c r="H47" s="29"/>
      <c r="I47" s="31">
        <f>E47*(1+F47/100)*G47</f>
        <v>30765</v>
      </c>
    </row>
    <row r="48" spans="2:9" x14ac:dyDescent="0.25">
      <c r="B48" s="28" t="s">
        <v>96</v>
      </c>
      <c r="C48" s="29" t="str">
        <f>VLOOKUP(B48,[28]Insumos!B:E,2,FALSE)</f>
        <v>HIERRO CHIPA 1/4"</v>
      </c>
      <c r="D48" s="29" t="str">
        <f>VLOOKUP(B48,[28]Insumos!B:E,3,FALSE)</f>
        <v>KG</v>
      </c>
      <c r="E48" s="29">
        <v>4</v>
      </c>
      <c r="F48" s="29">
        <v>3</v>
      </c>
      <c r="G48" s="30">
        <f>VLOOKUP(B48,[28]Insumos!B:E,4,FALSE)</f>
        <v>5900</v>
      </c>
      <c r="H48" s="29"/>
      <c r="I48" s="31">
        <f>E48*(1+F48/100)*G48</f>
        <v>24308</v>
      </c>
    </row>
    <row r="49" spans="2:9" x14ac:dyDescent="0.25">
      <c r="B49" s="28" t="s">
        <v>97</v>
      </c>
      <c r="C49" s="29" t="str">
        <f>VLOOKUP(B49,[28]Insumos!B:E,2,FALSE)</f>
        <v>ACERO DE REFUERZO 3/8" 60.000</v>
      </c>
      <c r="D49" s="29" t="str">
        <f>VLOOKUP(B49,[28]Insumos!B:E,3,FALSE)</f>
        <v>KG</v>
      </c>
      <c r="E49" s="29">
        <v>54</v>
      </c>
      <c r="F49" s="29">
        <v>0</v>
      </c>
      <c r="G49" s="30">
        <f>VLOOKUP(B49,[28]Insumos!B:E,4,FALSE)</f>
        <v>5800</v>
      </c>
      <c r="H49" s="29"/>
      <c r="I49" s="31">
        <f>E49*(1+F49/100)*G49</f>
        <v>313200</v>
      </c>
    </row>
    <row r="50" spans="2:9" x14ac:dyDescent="0.25">
      <c r="B50" s="28" t="s">
        <v>98</v>
      </c>
      <c r="C50" s="29" t="str">
        <f>VLOOKUP(B50,[28]Insumos!B:E,2,FALSE)</f>
        <v>TABLA OTOBO 1X10X300 CM</v>
      </c>
      <c r="D50" s="29" t="str">
        <f>VLOOKUP(B50,[28]Insumos!B:E,3,FALSE)</f>
        <v>UND</v>
      </c>
      <c r="E50" s="29">
        <v>2</v>
      </c>
      <c r="F50" s="29">
        <v>0</v>
      </c>
      <c r="G50" s="30">
        <f>VLOOKUP(B50,[28]Insumos!B:E,4,FALSE)</f>
        <v>21240</v>
      </c>
      <c r="H50" s="29"/>
      <c r="I50" s="31">
        <f>E50*(1+F50/100)*G50</f>
        <v>42480</v>
      </c>
    </row>
    <row r="51" spans="2:9" x14ac:dyDescent="0.25">
      <c r="B51" s="23"/>
      <c r="G51" s="259" t="s">
        <v>75</v>
      </c>
      <c r="H51" s="256"/>
      <c r="I51" s="32">
        <f>SUM(I46:I50)</f>
        <v>701002.99231100082</v>
      </c>
    </row>
    <row r="52" spans="2:9" x14ac:dyDescent="0.25">
      <c r="B52" s="23"/>
      <c r="I52" s="22"/>
    </row>
    <row r="53" spans="2:9" x14ac:dyDescent="0.25">
      <c r="B53" s="21" t="s">
        <v>76</v>
      </c>
      <c r="I53" s="22"/>
    </row>
    <row r="54" spans="2:9" x14ac:dyDescent="0.25">
      <c r="B54" s="24" t="s">
        <v>19</v>
      </c>
      <c r="C54" s="25" t="s">
        <v>70</v>
      </c>
      <c r="D54" s="25" t="s">
        <v>71</v>
      </c>
      <c r="E54" s="25" t="s">
        <v>77</v>
      </c>
      <c r="F54" s="25" t="s">
        <v>78</v>
      </c>
      <c r="G54" s="25" t="s">
        <v>79</v>
      </c>
      <c r="H54" s="25" t="s">
        <v>80</v>
      </c>
      <c r="I54" s="27" t="s">
        <v>74</v>
      </c>
    </row>
    <row r="55" spans="2:9" x14ac:dyDescent="0.25">
      <c r="B55" s="28" t="s">
        <v>99</v>
      </c>
      <c r="C55" s="29" t="str">
        <f>VLOOKUP(B55,[28]Insumos!B:E,2,FALSE)</f>
        <v>M.O. 1 AYUDANTE</v>
      </c>
      <c r="D55" s="29" t="str">
        <f>VLOOKUP(B55,[28]Insumos!B:E,3,FALSE)</f>
        <v>JORNAL</v>
      </c>
      <c r="E55" s="30">
        <f>VLOOKUP(B55,[28]Insumos!B:E,4,FALSE)</f>
        <v>78987.78</v>
      </c>
      <c r="F55" s="29">
        <v>1.8</v>
      </c>
      <c r="G55" s="30">
        <f>E55*F55</f>
        <v>142178.00400000002</v>
      </c>
      <c r="H55" s="29">
        <v>5.3299999237060502</v>
      </c>
      <c r="I55" s="31">
        <f>IF(D55&lt;&gt;"JORNAL",H55*E55,G55/H55)</f>
        <v>26675.04803661253</v>
      </c>
    </row>
    <row r="56" spans="2:9" x14ac:dyDescent="0.25">
      <c r="B56" s="28" t="s">
        <v>100</v>
      </c>
      <c r="C56" s="29" t="str">
        <f>VLOOKUP(B56,[28]Insumos!B:E,2,FALSE)</f>
        <v>M.O. 2 AYUDANTES + 1 OFICIAL</v>
      </c>
      <c r="D56" s="29" t="str">
        <f>VLOOKUP(B56,[28]Insumos!B:E,3,FALSE)</f>
        <v>JORNAL</v>
      </c>
      <c r="E56" s="30">
        <f>VLOOKUP(B56,[28]Insumos!B:E,4,FALSE)</f>
        <v>292255.56</v>
      </c>
      <c r="F56" s="29">
        <v>1.8</v>
      </c>
      <c r="G56" s="30">
        <f>E56*F56</f>
        <v>526060.00800000003</v>
      </c>
      <c r="H56" s="29">
        <v>5.3299999237060502</v>
      </c>
      <c r="I56" s="31">
        <f>IF(D56&lt;&gt;"JORNAL",H56*E56,G56/H56)</f>
        <v>98697.93912383783</v>
      </c>
    </row>
    <row r="57" spans="2:9" x14ac:dyDescent="0.25">
      <c r="B57" s="23"/>
      <c r="G57" s="259" t="s">
        <v>81</v>
      </c>
      <c r="H57" s="256"/>
      <c r="I57" s="32">
        <f>SUM(I55:I56)</f>
        <v>125372.98716045036</v>
      </c>
    </row>
    <row r="58" spans="2:9" x14ac:dyDescent="0.25">
      <c r="B58" s="23"/>
      <c r="I58" s="22"/>
    </row>
    <row r="59" spans="2:9" x14ac:dyDescent="0.25">
      <c r="B59" s="21" t="s">
        <v>82</v>
      </c>
      <c r="I59" s="22"/>
    </row>
    <row r="60" spans="2:9" x14ac:dyDescent="0.25">
      <c r="B60" s="24" t="s">
        <v>19</v>
      </c>
      <c r="C60" s="25" t="s">
        <v>70</v>
      </c>
      <c r="D60" s="25" t="s">
        <v>71</v>
      </c>
      <c r="E60" s="265" t="s">
        <v>20</v>
      </c>
      <c r="F60" s="266"/>
      <c r="G60" s="25" t="s">
        <v>83</v>
      </c>
      <c r="H60" s="26"/>
      <c r="I60" s="27" t="s">
        <v>74</v>
      </c>
    </row>
    <row r="61" spans="2:9" x14ac:dyDescent="0.25">
      <c r="B61" s="28" t="s">
        <v>101</v>
      </c>
      <c r="C61" s="29" t="s">
        <v>84</v>
      </c>
      <c r="D61" s="29" t="s">
        <v>85</v>
      </c>
      <c r="E61" s="29">
        <v>1</v>
      </c>
      <c r="F61" s="29"/>
      <c r="G61" s="30">
        <f>SUM(I57)</f>
        <v>125372.98716045036</v>
      </c>
      <c r="H61" s="29"/>
      <c r="I61" s="31">
        <f>E61/100*G61</f>
        <v>1253.7298716045036</v>
      </c>
    </row>
    <row r="62" spans="2:9" x14ac:dyDescent="0.25">
      <c r="B62" s="23"/>
      <c r="G62" s="259" t="s">
        <v>86</v>
      </c>
      <c r="H62" s="256"/>
      <c r="I62" s="32">
        <f>SUM(I61:I61)</f>
        <v>1253.7298716045036</v>
      </c>
    </row>
    <row r="63" spans="2:9" x14ac:dyDescent="0.25">
      <c r="B63" s="23"/>
      <c r="I63" s="22"/>
    </row>
    <row r="64" spans="2:9" x14ac:dyDescent="0.25">
      <c r="B64" s="21" t="s">
        <v>87</v>
      </c>
      <c r="I64" s="22"/>
    </row>
    <row r="65" spans="2:9" x14ac:dyDescent="0.25">
      <c r="B65" s="24" t="s">
        <v>19</v>
      </c>
      <c r="C65" s="25" t="s">
        <v>70</v>
      </c>
      <c r="D65" s="25" t="s">
        <v>71</v>
      </c>
      <c r="E65" s="25" t="s">
        <v>20</v>
      </c>
      <c r="F65" s="25" t="s">
        <v>88</v>
      </c>
      <c r="G65" s="25" t="s">
        <v>89</v>
      </c>
      <c r="H65" s="25" t="s">
        <v>83</v>
      </c>
      <c r="I65" s="27" t="s">
        <v>74</v>
      </c>
    </row>
    <row r="66" spans="2:9" x14ac:dyDescent="0.25">
      <c r="B66" s="23"/>
      <c r="G66" s="259" t="s">
        <v>90</v>
      </c>
      <c r="H66" s="256"/>
      <c r="I66" s="32">
        <v>0</v>
      </c>
    </row>
    <row r="67" spans="2:9" x14ac:dyDescent="0.25">
      <c r="B67" s="23"/>
      <c r="I67" s="22"/>
    </row>
    <row r="68" spans="2:9" ht="15.75" x14ac:dyDescent="0.25">
      <c r="B68" s="23"/>
      <c r="G68" s="260" t="s">
        <v>91</v>
      </c>
      <c r="H68" s="261"/>
      <c r="I68" s="33">
        <f>I51+I57+I62+I66</f>
        <v>827629.70934305561</v>
      </c>
    </row>
    <row r="69" spans="2:9" ht="15.75" thickBot="1" x14ac:dyDescent="0.3">
      <c r="B69" s="34"/>
      <c r="C69" s="35"/>
      <c r="D69" s="35"/>
      <c r="E69" s="35"/>
      <c r="F69" s="35"/>
      <c r="G69" s="35"/>
      <c r="H69" s="35"/>
      <c r="I69" s="36"/>
    </row>
    <row r="72" spans="2:9" ht="15.75" thickBot="1" x14ac:dyDescent="0.3"/>
    <row r="73" spans="2:9" x14ac:dyDescent="0.25">
      <c r="B73" s="85" t="s">
        <v>162</v>
      </c>
      <c r="C73" s="86"/>
      <c r="D73" s="86"/>
      <c r="E73" s="86"/>
      <c r="F73" s="86"/>
      <c r="G73" s="87"/>
    </row>
    <row r="74" spans="2:9" x14ac:dyDescent="0.25">
      <c r="B74" s="23" t="s">
        <v>164</v>
      </c>
      <c r="G74" s="22"/>
    </row>
    <row r="75" spans="2:9" x14ac:dyDescent="0.25">
      <c r="B75" s="23"/>
      <c r="G75" s="22"/>
    </row>
    <row r="76" spans="2:9" x14ac:dyDescent="0.25">
      <c r="B76" s="23">
        <v>330114</v>
      </c>
      <c r="G76" s="22"/>
    </row>
    <row r="77" spans="2:9" x14ac:dyDescent="0.25">
      <c r="B77" s="23" t="s">
        <v>165</v>
      </c>
      <c r="G77" s="22"/>
    </row>
    <row r="78" spans="2:9" x14ac:dyDescent="0.25">
      <c r="B78" s="23"/>
      <c r="G78" s="22"/>
    </row>
    <row r="79" spans="2:9" x14ac:dyDescent="0.25">
      <c r="B79" s="23" t="s">
        <v>166</v>
      </c>
      <c r="G79" s="22"/>
    </row>
    <row r="80" spans="2:9" x14ac:dyDescent="0.25">
      <c r="B80" s="23" t="s">
        <v>167</v>
      </c>
      <c r="G80" s="22"/>
    </row>
    <row r="81" spans="2:7" x14ac:dyDescent="0.25">
      <c r="B81" s="23" t="s">
        <v>19</v>
      </c>
      <c r="C81" t="s">
        <v>70</v>
      </c>
      <c r="D81" t="s">
        <v>71</v>
      </c>
      <c r="E81" t="s">
        <v>168</v>
      </c>
      <c r="F81" t="s">
        <v>83</v>
      </c>
      <c r="G81" s="22" t="s">
        <v>74</v>
      </c>
    </row>
    <row r="82" spans="2:7" x14ac:dyDescent="0.25">
      <c r="B82" s="23">
        <v>300032</v>
      </c>
      <c r="C82" t="s">
        <v>169</v>
      </c>
      <c r="D82" t="s">
        <v>110</v>
      </c>
      <c r="E82" t="s">
        <v>170</v>
      </c>
      <c r="F82" t="s">
        <v>171</v>
      </c>
      <c r="G82" s="22" t="s">
        <v>172</v>
      </c>
    </row>
    <row r="83" spans="2:7" x14ac:dyDescent="0.25">
      <c r="B83" s="23" t="s">
        <v>22</v>
      </c>
      <c r="G83" s="22" t="s">
        <v>172</v>
      </c>
    </row>
    <row r="84" spans="2:7" x14ac:dyDescent="0.25">
      <c r="B84" s="23" t="s">
        <v>91</v>
      </c>
      <c r="G84" s="22"/>
    </row>
    <row r="85" spans="2:7" ht="15.75" thickBot="1" x14ac:dyDescent="0.3">
      <c r="B85" s="34" t="s">
        <v>173</v>
      </c>
      <c r="C85" s="35"/>
      <c r="D85" s="35"/>
      <c r="E85" s="35"/>
      <c r="F85" s="35"/>
      <c r="G85" s="36"/>
    </row>
    <row r="88" spans="2:7" ht="15.75" thickBot="1" x14ac:dyDescent="0.3"/>
    <row r="89" spans="2:7" x14ac:dyDescent="0.25">
      <c r="B89" s="85" t="s">
        <v>174</v>
      </c>
      <c r="C89" s="86"/>
      <c r="D89" s="86"/>
      <c r="E89" s="86"/>
      <c r="F89" s="86"/>
      <c r="G89" s="87"/>
    </row>
    <row r="90" spans="2:7" x14ac:dyDescent="0.25">
      <c r="B90" s="23" t="s">
        <v>164</v>
      </c>
      <c r="G90" s="22"/>
    </row>
    <row r="91" spans="2:7" x14ac:dyDescent="0.25">
      <c r="B91" s="23"/>
      <c r="G91" s="22"/>
    </row>
    <row r="92" spans="2:7" x14ac:dyDescent="0.25">
      <c r="B92" s="23">
        <v>330132</v>
      </c>
      <c r="G92" s="22"/>
    </row>
    <row r="93" spans="2:7" x14ac:dyDescent="0.25">
      <c r="B93" s="23" t="s">
        <v>165</v>
      </c>
      <c r="G93" s="22"/>
    </row>
    <row r="94" spans="2:7" x14ac:dyDescent="0.25">
      <c r="B94" s="23"/>
      <c r="G94" s="22"/>
    </row>
    <row r="95" spans="2:7" x14ac:dyDescent="0.25">
      <c r="B95" s="23" t="s">
        <v>166</v>
      </c>
      <c r="G95" s="22"/>
    </row>
    <row r="96" spans="2:7" x14ac:dyDescent="0.25">
      <c r="B96" s="23" t="s">
        <v>167</v>
      </c>
      <c r="G96" s="22"/>
    </row>
    <row r="97" spans="2:9" x14ac:dyDescent="0.25">
      <c r="B97" s="23" t="s">
        <v>19</v>
      </c>
      <c r="C97" t="s">
        <v>70</v>
      </c>
      <c r="D97" t="s">
        <v>71</v>
      </c>
      <c r="E97" t="s">
        <v>168</v>
      </c>
      <c r="F97" t="s">
        <v>83</v>
      </c>
      <c r="G97" s="22" t="s">
        <v>74</v>
      </c>
    </row>
    <row r="98" spans="2:9" x14ac:dyDescent="0.25">
      <c r="B98" s="23">
        <v>300037</v>
      </c>
      <c r="C98" t="s">
        <v>177</v>
      </c>
      <c r="D98" t="s">
        <v>68</v>
      </c>
      <c r="E98" t="s">
        <v>178</v>
      </c>
      <c r="F98" t="s">
        <v>179</v>
      </c>
      <c r="G98" s="22" t="s">
        <v>179</v>
      </c>
    </row>
    <row r="99" spans="2:9" x14ac:dyDescent="0.25">
      <c r="B99" s="23" t="s">
        <v>22</v>
      </c>
      <c r="G99" s="22" t="s">
        <v>179</v>
      </c>
    </row>
    <row r="100" spans="2:9" x14ac:dyDescent="0.25">
      <c r="B100" s="23" t="s">
        <v>91</v>
      </c>
      <c r="G100" s="22"/>
    </row>
    <row r="101" spans="2:9" ht="15.75" thickBot="1" x14ac:dyDescent="0.3">
      <c r="B101" s="34" t="s">
        <v>180</v>
      </c>
      <c r="C101" s="35"/>
      <c r="D101" s="35"/>
      <c r="E101" s="35"/>
      <c r="F101" s="35"/>
      <c r="G101" s="36"/>
    </row>
    <row r="103" spans="2:9" ht="15.75" thickBot="1" x14ac:dyDescent="0.3"/>
    <row r="104" spans="2:9" x14ac:dyDescent="0.25">
      <c r="B104" s="85" t="s">
        <v>192</v>
      </c>
      <c r="C104" s="86"/>
      <c r="D104" s="86"/>
      <c r="E104" s="86"/>
      <c r="F104" s="86"/>
      <c r="G104" s="86"/>
      <c r="H104" s="86"/>
      <c r="I104" s="87"/>
    </row>
    <row r="105" spans="2:9" x14ac:dyDescent="0.25">
      <c r="B105" s="23" t="s">
        <v>164</v>
      </c>
      <c r="C105" s="200"/>
      <c r="D105" s="200"/>
      <c r="E105" s="200"/>
      <c r="F105" s="200"/>
      <c r="G105" s="200"/>
      <c r="H105" s="200"/>
      <c r="I105" s="22"/>
    </row>
    <row r="106" spans="2:9" x14ac:dyDescent="0.25">
      <c r="B106" s="23"/>
      <c r="C106" s="200"/>
      <c r="D106" s="200"/>
      <c r="E106" s="200"/>
      <c r="F106" s="200"/>
      <c r="G106" s="200"/>
      <c r="H106" s="200"/>
      <c r="I106" s="22"/>
    </row>
    <row r="107" spans="2:9" x14ac:dyDescent="0.25">
      <c r="B107" s="23">
        <v>100618</v>
      </c>
      <c r="C107" s="200"/>
      <c r="D107" s="200"/>
      <c r="E107" s="200"/>
      <c r="F107" s="200"/>
      <c r="G107" s="200"/>
      <c r="H107" s="200"/>
      <c r="I107" s="22"/>
    </row>
    <row r="108" spans="2:9" x14ac:dyDescent="0.25">
      <c r="B108" s="23" t="s">
        <v>165</v>
      </c>
      <c r="C108" s="200"/>
      <c r="D108" s="200"/>
      <c r="E108" s="200"/>
      <c r="F108" s="200"/>
      <c r="G108" s="200"/>
      <c r="H108" s="200"/>
      <c r="I108" s="22"/>
    </row>
    <row r="109" spans="2:9" x14ac:dyDescent="0.25">
      <c r="B109" s="23"/>
      <c r="C109" s="200"/>
      <c r="D109" s="200"/>
      <c r="E109" s="200"/>
      <c r="F109" s="200"/>
      <c r="G109" s="200"/>
      <c r="H109" s="200"/>
      <c r="I109" s="22"/>
    </row>
    <row r="110" spans="2:9" x14ac:dyDescent="0.25">
      <c r="B110" s="23" t="s">
        <v>21</v>
      </c>
      <c r="C110" s="200"/>
      <c r="D110" s="200"/>
      <c r="E110" s="200"/>
      <c r="F110" s="200"/>
      <c r="G110" s="200"/>
      <c r="H110" s="200"/>
      <c r="I110" s="22"/>
    </row>
    <row r="111" spans="2:9" x14ac:dyDescent="0.25">
      <c r="B111" s="23" t="s">
        <v>194</v>
      </c>
      <c r="C111" s="200"/>
      <c r="D111" s="200"/>
      <c r="E111" s="200"/>
      <c r="F111" s="200"/>
      <c r="G111" s="200"/>
      <c r="H111" s="200"/>
      <c r="I111" s="22"/>
    </row>
    <row r="112" spans="2:9" x14ac:dyDescent="0.25">
      <c r="B112" s="23" t="s">
        <v>19</v>
      </c>
      <c r="C112" s="200" t="s">
        <v>70</v>
      </c>
      <c r="D112" s="200" t="s">
        <v>71</v>
      </c>
      <c r="E112" s="200" t="s">
        <v>20</v>
      </c>
      <c r="F112" s="200" t="s">
        <v>195</v>
      </c>
      <c r="G112" s="200" t="s">
        <v>73</v>
      </c>
      <c r="H112" s="200" t="s">
        <v>74</v>
      </c>
      <c r="I112" s="22"/>
    </row>
    <row r="113" spans="2:9" x14ac:dyDescent="0.25">
      <c r="B113" s="23">
        <v>100011</v>
      </c>
      <c r="C113" s="200" t="s">
        <v>196</v>
      </c>
      <c r="D113" s="200" t="s">
        <v>197</v>
      </c>
      <c r="E113" s="200" t="s">
        <v>198</v>
      </c>
      <c r="F113" s="200" t="s">
        <v>199</v>
      </c>
      <c r="G113" s="200" t="s">
        <v>200</v>
      </c>
      <c r="H113" s="200" t="s">
        <v>201</v>
      </c>
      <c r="I113" s="22"/>
    </row>
    <row r="114" spans="2:9" x14ac:dyDescent="0.25">
      <c r="B114" s="23">
        <v>100053</v>
      </c>
      <c r="C114" s="200" t="s">
        <v>202</v>
      </c>
      <c r="D114" s="200" t="s">
        <v>203</v>
      </c>
      <c r="E114" s="200" t="s">
        <v>204</v>
      </c>
      <c r="F114" s="200" t="s">
        <v>199</v>
      </c>
      <c r="G114" s="200" t="s">
        <v>205</v>
      </c>
      <c r="H114" s="200" t="s">
        <v>206</v>
      </c>
      <c r="I114" s="22"/>
    </row>
    <row r="115" spans="2:9" x14ac:dyDescent="0.25">
      <c r="B115" s="23">
        <v>100932</v>
      </c>
      <c r="C115" s="200" t="s">
        <v>207</v>
      </c>
      <c r="D115" s="200" t="s">
        <v>197</v>
      </c>
      <c r="E115" s="200" t="s">
        <v>208</v>
      </c>
      <c r="F115" s="200" t="s">
        <v>199</v>
      </c>
      <c r="G115" s="200" t="s">
        <v>209</v>
      </c>
      <c r="H115" s="200" t="s">
        <v>210</v>
      </c>
      <c r="I115" s="22"/>
    </row>
    <row r="116" spans="2:9" x14ac:dyDescent="0.25">
      <c r="B116" s="23" t="s">
        <v>22</v>
      </c>
      <c r="C116" s="200"/>
      <c r="D116" s="200"/>
      <c r="E116" s="200"/>
      <c r="F116" s="200"/>
      <c r="G116" s="200"/>
      <c r="H116" s="200" t="s">
        <v>211</v>
      </c>
      <c r="I116" s="22"/>
    </row>
    <row r="117" spans="2:9" x14ac:dyDescent="0.25">
      <c r="B117" s="23" t="s">
        <v>212</v>
      </c>
      <c r="C117" s="200"/>
      <c r="D117" s="200"/>
      <c r="E117" s="200"/>
      <c r="F117" s="200"/>
      <c r="G117" s="200"/>
      <c r="H117" s="200"/>
      <c r="I117" s="22"/>
    </row>
    <row r="118" spans="2:9" x14ac:dyDescent="0.25">
      <c r="B118" s="23" t="s">
        <v>19</v>
      </c>
      <c r="C118" s="200" t="s">
        <v>70</v>
      </c>
      <c r="D118" s="200" t="s">
        <v>77</v>
      </c>
      <c r="E118" s="200" t="s">
        <v>71</v>
      </c>
      <c r="F118" s="200" t="s">
        <v>78</v>
      </c>
      <c r="G118" s="200" t="s">
        <v>213</v>
      </c>
      <c r="H118" s="200" t="s">
        <v>214</v>
      </c>
      <c r="I118" s="22" t="s">
        <v>74</v>
      </c>
    </row>
    <row r="119" spans="2:9" x14ac:dyDescent="0.25">
      <c r="B119" s="23">
        <v>200008</v>
      </c>
      <c r="C119" s="200" t="s">
        <v>215</v>
      </c>
      <c r="D119" s="200" t="s">
        <v>216</v>
      </c>
      <c r="E119" s="200" t="s">
        <v>77</v>
      </c>
      <c r="F119" s="200" t="s">
        <v>217</v>
      </c>
      <c r="G119" s="200" t="s">
        <v>216</v>
      </c>
      <c r="H119" s="200" t="s">
        <v>218</v>
      </c>
      <c r="I119" s="22" t="s">
        <v>219</v>
      </c>
    </row>
    <row r="120" spans="2:9" x14ac:dyDescent="0.25">
      <c r="B120" s="23" t="s">
        <v>22</v>
      </c>
      <c r="C120" s="200"/>
      <c r="D120" s="200"/>
      <c r="E120" s="200"/>
      <c r="F120" s="200"/>
      <c r="G120" s="200"/>
      <c r="H120" s="200"/>
      <c r="I120" s="22" t="s">
        <v>219</v>
      </c>
    </row>
    <row r="121" spans="2:9" x14ac:dyDescent="0.25">
      <c r="B121" s="23" t="s">
        <v>167</v>
      </c>
      <c r="C121" s="200"/>
      <c r="D121" s="200"/>
      <c r="E121" s="200"/>
      <c r="F121" s="200"/>
      <c r="G121" s="200"/>
      <c r="H121" s="200"/>
      <c r="I121" s="22"/>
    </row>
    <row r="122" spans="2:9" x14ac:dyDescent="0.25">
      <c r="B122" s="23" t="s">
        <v>19</v>
      </c>
      <c r="C122" s="200" t="s">
        <v>70</v>
      </c>
      <c r="D122" s="200" t="s">
        <v>71</v>
      </c>
      <c r="E122" s="200" t="s">
        <v>168</v>
      </c>
      <c r="F122" s="200" t="s">
        <v>83</v>
      </c>
      <c r="G122" s="200" t="s">
        <v>74</v>
      </c>
      <c r="H122" s="200"/>
      <c r="I122" s="22"/>
    </row>
    <row r="123" spans="2:9" x14ac:dyDescent="0.25">
      <c r="B123" s="23">
        <v>300026</v>
      </c>
      <c r="C123" s="200" t="s">
        <v>84</v>
      </c>
      <c r="D123" s="200" t="s">
        <v>220</v>
      </c>
      <c r="E123" s="200" t="s">
        <v>178</v>
      </c>
      <c r="F123" s="200" t="s">
        <v>219</v>
      </c>
      <c r="G123" s="200" t="s">
        <v>221</v>
      </c>
      <c r="H123" s="200"/>
      <c r="I123" s="22"/>
    </row>
    <row r="124" spans="2:9" x14ac:dyDescent="0.25">
      <c r="B124" s="23">
        <v>300057</v>
      </c>
      <c r="C124" s="200" t="s">
        <v>222</v>
      </c>
      <c r="D124" s="200" t="s">
        <v>110</v>
      </c>
      <c r="E124" s="200" t="s">
        <v>223</v>
      </c>
      <c r="F124" s="200" t="s">
        <v>224</v>
      </c>
      <c r="G124" s="200" t="s">
        <v>225</v>
      </c>
      <c r="H124" s="200"/>
      <c r="I124" s="22"/>
    </row>
    <row r="125" spans="2:9" x14ac:dyDescent="0.25">
      <c r="B125" s="23" t="s">
        <v>22</v>
      </c>
      <c r="C125" s="200"/>
      <c r="D125" s="200"/>
      <c r="E125" s="200"/>
      <c r="F125" s="200"/>
      <c r="G125" s="200" t="s">
        <v>226</v>
      </c>
      <c r="H125" s="200"/>
      <c r="I125" s="22"/>
    </row>
    <row r="126" spans="2:9" x14ac:dyDescent="0.25">
      <c r="B126" s="23" t="s">
        <v>91</v>
      </c>
      <c r="C126" s="200"/>
      <c r="D126" s="200"/>
      <c r="E126" s="200"/>
      <c r="F126" s="200"/>
      <c r="G126" s="200"/>
      <c r="H126" s="200"/>
      <c r="I126" s="22"/>
    </row>
    <row r="127" spans="2:9" ht="15.75" thickBot="1" x14ac:dyDescent="0.3">
      <c r="B127" s="34" t="s">
        <v>227</v>
      </c>
      <c r="C127" s="35"/>
      <c r="D127" s="35"/>
      <c r="E127" s="35"/>
      <c r="F127" s="35"/>
      <c r="G127" s="35"/>
      <c r="H127" s="35"/>
      <c r="I127" s="36"/>
    </row>
  </sheetData>
  <mergeCells count="16">
    <mergeCell ref="B2:I2"/>
    <mergeCell ref="G12:H12"/>
    <mergeCell ref="G13:H13"/>
    <mergeCell ref="G18:H18"/>
    <mergeCell ref="E21:F21"/>
    <mergeCell ref="G68:H68"/>
    <mergeCell ref="B35:I35"/>
    <mergeCell ref="G45:H45"/>
    <mergeCell ref="G51:H51"/>
    <mergeCell ref="G57:H57"/>
    <mergeCell ref="E60:F60"/>
    <mergeCell ref="G26:H26"/>
    <mergeCell ref="G30:H30"/>
    <mergeCell ref="G32:H32"/>
    <mergeCell ref="G62:H62"/>
    <mergeCell ref="G66:H6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931A0-F272-4033-B211-8953F663559C}">
  <dimension ref="A1:N67"/>
  <sheetViews>
    <sheetView topLeftCell="A37" workbookViewId="0">
      <selection activeCell="A50" sqref="A50"/>
    </sheetView>
  </sheetViews>
  <sheetFormatPr baseColWidth="10" defaultColWidth="11.5703125" defaultRowHeight="15" x14ac:dyDescent="0.25"/>
  <cols>
    <col min="1" max="1" width="10.5703125" style="102" customWidth="1"/>
    <col min="2" max="2" width="63.42578125" style="102" customWidth="1"/>
    <col min="3" max="3" width="7.5703125" style="102" customWidth="1"/>
    <col min="4" max="4" width="9.85546875" style="102" customWidth="1"/>
    <col min="5" max="10" width="11.5703125" style="102"/>
    <col min="11" max="11" width="13" style="102" bestFit="1" customWidth="1"/>
    <col min="12" max="12" width="13.28515625" style="102" customWidth="1"/>
    <col min="13" max="16384" width="11.5703125" style="102"/>
  </cols>
  <sheetData>
    <row r="1" spans="1:12" s="89" customFormat="1" ht="12.75" customHeight="1" x14ac:dyDescent="0.2">
      <c r="C1" s="12"/>
      <c r="D1" s="90"/>
      <c r="E1" s="91"/>
      <c r="F1" s="91"/>
      <c r="L1" s="92"/>
    </row>
    <row r="2" spans="1:12" s="89" customFormat="1" ht="15.75" customHeight="1" x14ac:dyDescent="0.2">
      <c r="B2" s="292" t="s">
        <v>39</v>
      </c>
      <c r="C2" s="292"/>
      <c r="D2" s="292"/>
      <c r="E2" s="292"/>
      <c r="F2" s="292"/>
      <c r="G2" s="292"/>
      <c r="H2" s="292"/>
      <c r="I2" s="292"/>
      <c r="J2" s="292"/>
      <c r="L2" s="92"/>
    </row>
    <row r="3" spans="1:12" s="89" customFormat="1" ht="15.75" customHeight="1" x14ac:dyDescent="0.2">
      <c r="B3" s="292" t="s">
        <v>40</v>
      </c>
      <c r="C3" s="292"/>
      <c r="D3" s="292"/>
      <c r="E3" s="292"/>
      <c r="F3" s="292"/>
      <c r="G3" s="292"/>
      <c r="H3" s="292"/>
      <c r="I3" s="292"/>
      <c r="J3" s="292"/>
      <c r="L3" s="92"/>
    </row>
    <row r="4" spans="1:12" s="89" customFormat="1" ht="12.75" x14ac:dyDescent="0.2">
      <c r="C4" s="93"/>
      <c r="D4" s="90"/>
      <c r="E4" s="91"/>
      <c r="F4" s="91"/>
      <c r="L4" s="92"/>
    </row>
    <row r="5" spans="1:12" s="89" customFormat="1" ht="12.75" x14ac:dyDescent="0.2">
      <c r="C5" s="94"/>
      <c r="D5" s="293"/>
      <c r="E5" s="293"/>
      <c r="F5" s="293"/>
      <c r="G5" s="293"/>
      <c r="L5" s="92"/>
    </row>
    <row r="6" spans="1:12" s="89" customFormat="1" ht="16.5" customHeight="1" x14ac:dyDescent="0.25">
      <c r="B6" s="294" t="s">
        <v>41</v>
      </c>
      <c r="C6" s="294"/>
      <c r="D6" s="294"/>
      <c r="E6" s="294"/>
      <c r="F6" s="294"/>
      <c r="G6" s="294"/>
      <c r="H6" s="294"/>
      <c r="I6" s="294"/>
      <c r="J6" s="294"/>
      <c r="L6" s="92"/>
    </row>
    <row r="7" spans="1:12" s="89" customFormat="1" ht="16.5" customHeight="1" x14ac:dyDescent="0.25">
      <c r="C7" s="14"/>
      <c r="D7" s="14"/>
      <c r="E7" s="15"/>
      <c r="F7" s="15"/>
      <c r="G7" s="14"/>
      <c r="H7" s="14"/>
      <c r="L7" s="92"/>
    </row>
    <row r="8" spans="1:12" s="89" customFormat="1" ht="16.5" customHeight="1" x14ac:dyDescent="0.2">
      <c r="A8" s="291" t="s">
        <v>1</v>
      </c>
      <c r="B8" s="291"/>
      <c r="C8" s="12"/>
      <c r="E8" s="95"/>
      <c r="F8" s="95"/>
      <c r="L8" s="92"/>
    </row>
    <row r="9" spans="1:12" s="89" customFormat="1" ht="18" customHeight="1" x14ac:dyDescent="0.2">
      <c r="A9" s="291" t="s">
        <v>42</v>
      </c>
      <c r="B9" s="291"/>
      <c r="C9" s="12"/>
      <c r="E9" s="95"/>
      <c r="F9" s="95"/>
      <c r="L9" s="92"/>
    </row>
    <row r="10" spans="1:12" s="89" customFormat="1" ht="18" customHeight="1" x14ac:dyDescent="0.2">
      <c r="A10" s="291" t="s">
        <v>43</v>
      </c>
      <c r="B10" s="291"/>
      <c r="C10" s="12"/>
      <c r="E10" s="95"/>
      <c r="F10" s="95"/>
      <c r="L10" s="92"/>
    </row>
    <row r="11" spans="1:12" s="89" customFormat="1" ht="15" customHeight="1" x14ac:dyDescent="0.2">
      <c r="B11" s="13"/>
      <c r="C11" s="13"/>
      <c r="E11" s="95"/>
      <c r="F11" s="95"/>
      <c r="L11" s="92"/>
    </row>
    <row r="12" spans="1:12" s="89" customFormat="1" ht="15" customHeight="1" x14ac:dyDescent="0.2">
      <c r="A12" s="45" t="s">
        <v>44</v>
      </c>
      <c r="B12" s="295" t="s">
        <v>117</v>
      </c>
      <c r="C12" s="295"/>
      <c r="D12" s="295"/>
      <c r="E12" s="295"/>
      <c r="F12" s="295"/>
      <c r="G12" s="295"/>
      <c r="H12" s="295"/>
      <c r="I12" s="295"/>
      <c r="J12" s="295"/>
      <c r="K12" s="295"/>
      <c r="L12" s="295"/>
    </row>
    <row r="13" spans="1:12" s="89" customFormat="1" ht="15" customHeight="1" x14ac:dyDescent="0.2">
      <c r="A13" s="45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</row>
    <row r="14" spans="1:12" s="89" customFormat="1" ht="15" customHeight="1" x14ac:dyDescent="0.2">
      <c r="A14" s="269" t="s">
        <v>118</v>
      </c>
      <c r="B14" s="269"/>
      <c r="C14" s="47"/>
      <c r="D14" s="48"/>
      <c r="E14" s="49"/>
      <c r="F14" s="49"/>
      <c r="G14" s="48"/>
      <c r="H14" s="48"/>
      <c r="I14" s="48"/>
      <c r="J14" s="48"/>
      <c r="K14" s="48"/>
      <c r="L14" s="50"/>
    </row>
    <row r="15" spans="1:12" s="89" customFormat="1" ht="15" customHeight="1" x14ac:dyDescent="0.2">
      <c r="A15" s="51"/>
      <c r="B15" s="52"/>
      <c r="C15" s="53"/>
      <c r="D15" s="54"/>
      <c r="E15" s="54"/>
      <c r="F15" s="54"/>
      <c r="G15" s="54"/>
      <c r="H15" s="54"/>
      <c r="I15" s="54"/>
      <c r="J15" s="54"/>
      <c r="K15" s="54"/>
      <c r="L15" s="55"/>
    </row>
    <row r="16" spans="1:12" s="89" customFormat="1" ht="15" customHeight="1" x14ac:dyDescent="0.2">
      <c r="A16" s="270" t="s">
        <v>14</v>
      </c>
      <c r="B16" s="270"/>
      <c r="C16" s="270"/>
      <c r="D16" s="270"/>
      <c r="E16" s="270"/>
      <c r="F16" s="270"/>
      <c r="G16" s="270"/>
      <c r="H16" s="270"/>
      <c r="I16" s="270"/>
      <c r="J16" s="270"/>
      <c r="K16" s="270"/>
      <c r="L16" s="270"/>
    </row>
    <row r="17" spans="1:12" s="89" customFormat="1" ht="15" customHeight="1" x14ac:dyDescent="0.2">
      <c r="A17" s="56" t="s">
        <v>19</v>
      </c>
      <c r="B17" s="57" t="s">
        <v>45</v>
      </c>
      <c r="C17" s="57" t="s">
        <v>46</v>
      </c>
      <c r="D17" s="56" t="s">
        <v>16</v>
      </c>
      <c r="E17" s="56" t="s">
        <v>47</v>
      </c>
      <c r="F17" s="56" t="s">
        <v>48</v>
      </c>
      <c r="G17" s="56" t="s">
        <v>49</v>
      </c>
      <c r="H17" s="56" t="s">
        <v>20</v>
      </c>
      <c r="I17" s="56" t="s">
        <v>50</v>
      </c>
      <c r="J17" s="58" t="s">
        <v>51</v>
      </c>
      <c r="K17" s="56" t="s">
        <v>22</v>
      </c>
      <c r="L17" s="56" t="s">
        <v>24</v>
      </c>
    </row>
    <row r="18" spans="1:12" s="89" customFormat="1" ht="15" customHeight="1" x14ac:dyDescent="0.2">
      <c r="A18" s="59" t="s">
        <v>26</v>
      </c>
      <c r="B18" s="60" t="s">
        <v>119</v>
      </c>
      <c r="C18" s="61" t="s">
        <v>23</v>
      </c>
      <c r="D18" s="62">
        <f>30+30+18+10.2</f>
        <v>88.2</v>
      </c>
      <c r="E18" s="62"/>
      <c r="F18" s="62"/>
      <c r="G18" s="62"/>
      <c r="H18" s="62"/>
      <c r="I18" s="62"/>
      <c r="J18" s="62"/>
      <c r="K18" s="62">
        <f>D18</f>
        <v>88.2</v>
      </c>
      <c r="L18" s="62">
        <f>K18</f>
        <v>88.2</v>
      </c>
    </row>
    <row r="19" spans="1:12" s="89" customFormat="1" ht="15" customHeight="1" x14ac:dyDescent="0.2">
      <c r="A19" s="59" t="s">
        <v>120</v>
      </c>
      <c r="B19" s="63" t="s">
        <v>121</v>
      </c>
      <c r="C19" s="61" t="s">
        <v>23</v>
      </c>
      <c r="D19" s="62">
        <v>90</v>
      </c>
      <c r="E19" s="62">
        <v>6.7</v>
      </c>
      <c r="F19" s="62"/>
      <c r="G19" s="62"/>
      <c r="H19" s="62"/>
      <c r="I19" s="62"/>
      <c r="J19" s="62"/>
      <c r="K19" s="62">
        <f>(D19*2)+(E19*2)</f>
        <v>193.4</v>
      </c>
      <c r="L19" s="64">
        <f>K19</f>
        <v>193.4</v>
      </c>
    </row>
    <row r="20" spans="1:12" s="89" customFormat="1" ht="15" customHeight="1" x14ac:dyDescent="0.2">
      <c r="A20" s="271" t="s">
        <v>27</v>
      </c>
      <c r="B20" s="273" t="s">
        <v>35</v>
      </c>
      <c r="C20" s="275" t="s">
        <v>23</v>
      </c>
      <c r="D20" s="62">
        <f>+D18</f>
        <v>88.2</v>
      </c>
      <c r="E20" s="62"/>
      <c r="F20" s="62" t="s">
        <v>184</v>
      </c>
      <c r="G20" s="62"/>
      <c r="H20" s="62">
        <v>2</v>
      </c>
      <c r="I20" s="62"/>
      <c r="J20" s="62"/>
      <c r="K20" s="62">
        <f>D20*H20</f>
        <v>176.4</v>
      </c>
      <c r="L20" s="277">
        <f>K20+K21+K22</f>
        <v>369.20000000000005</v>
      </c>
    </row>
    <row r="21" spans="1:12" s="89" customFormat="1" ht="15" customHeight="1" x14ac:dyDescent="0.2">
      <c r="A21" s="279"/>
      <c r="B21" s="288"/>
      <c r="C21" s="281"/>
      <c r="D21" s="62">
        <v>8</v>
      </c>
      <c r="E21" s="62"/>
      <c r="F21" s="62"/>
      <c r="G21" s="62"/>
      <c r="H21" s="62">
        <v>2</v>
      </c>
      <c r="I21" s="62"/>
      <c r="J21" s="62"/>
      <c r="K21" s="62">
        <f>D21*H21</f>
        <v>16</v>
      </c>
      <c r="L21" s="282"/>
    </row>
    <row r="22" spans="1:12" s="89" customFormat="1" ht="15" customHeight="1" x14ac:dyDescent="0.2">
      <c r="A22" s="272"/>
      <c r="B22" s="274"/>
      <c r="C22" s="276"/>
      <c r="D22" s="62">
        <v>10.4</v>
      </c>
      <c r="E22" s="62"/>
      <c r="F22" s="62"/>
      <c r="G22" s="62"/>
      <c r="H22" s="62">
        <v>17</v>
      </c>
      <c r="I22" s="62"/>
      <c r="J22" s="62"/>
      <c r="K22" s="62">
        <f>D22*H22</f>
        <v>176.8</v>
      </c>
      <c r="L22" s="278"/>
    </row>
    <row r="23" spans="1:12" s="89" customFormat="1" ht="15" customHeight="1" x14ac:dyDescent="0.2">
      <c r="A23" s="271" t="s">
        <v>122</v>
      </c>
      <c r="B23" s="273" t="s">
        <v>123</v>
      </c>
      <c r="C23" s="275" t="s">
        <v>15</v>
      </c>
      <c r="D23" s="62">
        <f>+D20</f>
        <v>88.2</v>
      </c>
      <c r="E23" s="62">
        <v>0.9</v>
      </c>
      <c r="F23" s="62"/>
      <c r="G23" s="62"/>
      <c r="H23" s="62"/>
      <c r="I23" s="62"/>
      <c r="J23" s="62"/>
      <c r="K23" s="62">
        <f>D23*E23</f>
        <v>79.38000000000001</v>
      </c>
      <c r="L23" s="277">
        <f>K23+K24+K25</f>
        <v>117.98</v>
      </c>
    </row>
    <row r="24" spans="1:12" s="89" customFormat="1" ht="15" customHeight="1" x14ac:dyDescent="0.2">
      <c r="A24" s="279"/>
      <c r="B24" s="288"/>
      <c r="C24" s="281"/>
      <c r="D24" s="62">
        <v>2</v>
      </c>
      <c r="E24" s="62">
        <v>2</v>
      </c>
      <c r="F24" s="62"/>
      <c r="G24" s="62"/>
      <c r="H24" s="62">
        <v>2</v>
      </c>
      <c r="I24" s="62"/>
      <c r="J24" s="62"/>
      <c r="K24" s="62">
        <f>D24*E24*H24</f>
        <v>8</v>
      </c>
      <c r="L24" s="282"/>
    </row>
    <row r="25" spans="1:12" s="89" customFormat="1" ht="15" customHeight="1" x14ac:dyDescent="0.2">
      <c r="A25" s="272"/>
      <c r="B25" s="274"/>
      <c r="C25" s="276"/>
      <c r="D25" s="70">
        <v>3</v>
      </c>
      <c r="E25" s="62">
        <v>0.6</v>
      </c>
      <c r="F25" s="62"/>
      <c r="G25" s="62"/>
      <c r="H25" s="62">
        <v>17</v>
      </c>
      <c r="I25" s="62"/>
      <c r="J25" s="62"/>
      <c r="K25" s="62">
        <f>D25*E25*H25</f>
        <v>30.599999999999998</v>
      </c>
      <c r="L25" s="278"/>
    </row>
    <row r="26" spans="1:12" s="89" customFormat="1" ht="15" customHeight="1" x14ac:dyDescent="0.2">
      <c r="A26" s="271" t="s">
        <v>55</v>
      </c>
      <c r="B26" s="273" t="s">
        <v>56</v>
      </c>
      <c r="C26" s="275" t="s">
        <v>15</v>
      </c>
      <c r="D26" s="70">
        <v>2.2000000000000002</v>
      </c>
      <c r="E26" s="62">
        <v>0.6</v>
      </c>
      <c r="F26" s="62"/>
      <c r="G26" s="62"/>
      <c r="H26" s="62">
        <v>17</v>
      </c>
      <c r="I26" s="62"/>
      <c r="J26" s="62"/>
      <c r="K26" s="62">
        <f>D26*E26*H26</f>
        <v>22.44</v>
      </c>
      <c r="L26" s="277">
        <f>K26+K27</f>
        <v>90.44</v>
      </c>
    </row>
    <row r="27" spans="1:12" s="89" customFormat="1" ht="15" customHeight="1" x14ac:dyDescent="0.2">
      <c r="A27" s="272"/>
      <c r="B27" s="274"/>
      <c r="C27" s="276"/>
      <c r="D27" s="70">
        <v>4</v>
      </c>
      <c r="E27" s="62"/>
      <c r="F27" s="62"/>
      <c r="G27" s="62"/>
      <c r="H27" s="62">
        <v>17</v>
      </c>
      <c r="I27" s="62"/>
      <c r="J27" s="62"/>
      <c r="K27" s="62">
        <f>D27*H27</f>
        <v>68</v>
      </c>
      <c r="L27" s="278"/>
    </row>
    <row r="28" spans="1:12" s="89" customFormat="1" ht="15" customHeight="1" x14ac:dyDescent="0.2">
      <c r="A28" s="59" t="s">
        <v>124</v>
      </c>
      <c r="B28" s="63" t="s">
        <v>125</v>
      </c>
      <c r="C28" s="61" t="s">
        <v>4</v>
      </c>
      <c r="D28" s="70"/>
      <c r="E28" s="62"/>
      <c r="F28" s="62"/>
      <c r="G28" s="62"/>
      <c r="H28" s="62">
        <v>2</v>
      </c>
      <c r="I28" s="62"/>
      <c r="J28" s="62"/>
      <c r="K28" s="62">
        <f>H28</f>
        <v>2</v>
      </c>
      <c r="L28" s="62">
        <f>K28</f>
        <v>2</v>
      </c>
    </row>
    <row r="29" spans="1:12" s="89" customFormat="1" ht="15" customHeight="1" x14ac:dyDescent="0.2">
      <c r="A29" s="65" t="s">
        <v>126</v>
      </c>
      <c r="B29" s="60" t="s">
        <v>127</v>
      </c>
      <c r="C29" s="66" t="s">
        <v>21</v>
      </c>
      <c r="D29" s="62">
        <f>+D18</f>
        <v>88.2</v>
      </c>
      <c r="E29" s="62">
        <v>0.9</v>
      </c>
      <c r="F29" s="62"/>
      <c r="G29" s="62">
        <v>1.5</v>
      </c>
      <c r="H29" s="62"/>
      <c r="I29" s="62"/>
      <c r="J29" s="62"/>
      <c r="K29" s="62">
        <f>D29*E29*G29</f>
        <v>119.07000000000002</v>
      </c>
      <c r="L29" s="64">
        <f>K29</f>
        <v>119.07000000000002</v>
      </c>
    </row>
    <row r="30" spans="1:12" s="89" customFormat="1" ht="15" customHeight="1" x14ac:dyDescent="0.2">
      <c r="A30" s="59" t="s">
        <v>28</v>
      </c>
      <c r="B30" s="71" t="s">
        <v>128</v>
      </c>
      <c r="C30" s="61" t="s">
        <v>21</v>
      </c>
      <c r="D30" s="62">
        <v>5.2</v>
      </c>
      <c r="E30" s="62">
        <v>0.6</v>
      </c>
      <c r="F30" s="62"/>
      <c r="G30" s="62">
        <v>1.3</v>
      </c>
      <c r="H30" s="62">
        <v>17</v>
      </c>
      <c r="I30" s="62"/>
      <c r="J30" s="62"/>
      <c r="K30" s="62">
        <f>D30*E30*G30*H30</f>
        <v>68.951999999999998</v>
      </c>
      <c r="L30" s="62">
        <f>K30</f>
        <v>68.951999999999998</v>
      </c>
    </row>
    <row r="31" spans="1:12" s="89" customFormat="1" ht="15" customHeight="1" x14ac:dyDescent="0.2">
      <c r="A31" s="59" t="s">
        <v>129</v>
      </c>
      <c r="B31" s="60" t="s">
        <v>130</v>
      </c>
      <c r="C31" s="61" t="s">
        <v>4</v>
      </c>
      <c r="D31" s="62"/>
      <c r="E31" s="62"/>
      <c r="F31" s="62"/>
      <c r="G31" s="62"/>
      <c r="H31" s="62">
        <v>17</v>
      </c>
      <c r="I31" s="62"/>
      <c r="J31" s="62"/>
      <c r="K31" s="62">
        <f>H31</f>
        <v>17</v>
      </c>
      <c r="L31" s="62">
        <f>K31</f>
        <v>17</v>
      </c>
    </row>
    <row r="32" spans="1:12" s="89" customFormat="1" ht="15" customHeight="1" x14ac:dyDescent="0.2">
      <c r="A32" s="271" t="s">
        <v>29</v>
      </c>
      <c r="B32" s="287" t="s">
        <v>131</v>
      </c>
      <c r="C32" s="285" t="s">
        <v>23</v>
      </c>
      <c r="D32" s="62">
        <f>30+30+18</f>
        <v>78</v>
      </c>
      <c r="E32" s="62"/>
      <c r="F32" s="62"/>
      <c r="G32" s="62"/>
      <c r="H32" s="62"/>
      <c r="I32" s="62"/>
      <c r="J32" s="62"/>
      <c r="K32" s="62">
        <f>D32</f>
        <v>78</v>
      </c>
      <c r="L32" s="277">
        <f>K32+K33</f>
        <v>166.4</v>
      </c>
    </row>
    <row r="33" spans="1:14" s="89" customFormat="1" ht="15" customHeight="1" x14ac:dyDescent="0.2">
      <c r="A33" s="272"/>
      <c r="B33" s="287"/>
      <c r="C33" s="285"/>
      <c r="D33" s="62">
        <v>5.2</v>
      </c>
      <c r="E33" s="62"/>
      <c r="F33" s="62"/>
      <c r="G33" s="62"/>
      <c r="H33" s="62">
        <v>17</v>
      </c>
      <c r="I33" s="62"/>
      <c r="J33" s="62"/>
      <c r="K33" s="62">
        <f>D33*H33</f>
        <v>88.4</v>
      </c>
      <c r="L33" s="278"/>
    </row>
    <row r="34" spans="1:14" s="89" customFormat="1" ht="15" customHeight="1" x14ac:dyDescent="0.2">
      <c r="A34" s="284" t="s">
        <v>33</v>
      </c>
      <c r="B34" s="287" t="s">
        <v>132</v>
      </c>
      <c r="C34" s="285" t="s">
        <v>21</v>
      </c>
      <c r="D34" s="62"/>
      <c r="E34" s="62"/>
      <c r="F34" s="62"/>
      <c r="G34" s="62"/>
      <c r="H34" s="62">
        <f>L23*1.4</f>
        <v>165.172</v>
      </c>
      <c r="I34" s="62">
        <v>0.2</v>
      </c>
      <c r="J34" s="62"/>
      <c r="K34" s="62">
        <f>H34*I34</f>
        <v>33.034399999999998</v>
      </c>
      <c r="L34" s="286">
        <f>K34+K35+K36</f>
        <v>258.66079999999999</v>
      </c>
      <c r="M34" s="289" t="s">
        <v>191</v>
      </c>
      <c r="N34" s="290"/>
    </row>
    <row r="35" spans="1:14" s="89" customFormat="1" ht="15" customHeight="1" x14ac:dyDescent="0.2">
      <c r="A35" s="284"/>
      <c r="B35" s="287"/>
      <c r="C35" s="285"/>
      <c r="D35" s="62"/>
      <c r="E35" s="62"/>
      <c r="F35" s="62"/>
      <c r="G35" s="62"/>
      <c r="H35" s="62">
        <f>L29*1.2</f>
        <v>142.88400000000001</v>
      </c>
      <c r="I35" s="62"/>
      <c r="J35" s="62"/>
      <c r="K35" s="62">
        <f>H35</f>
        <v>142.88400000000001</v>
      </c>
      <c r="L35" s="286"/>
      <c r="M35" s="289"/>
      <c r="N35" s="290"/>
    </row>
    <row r="36" spans="1:14" s="89" customFormat="1" ht="15" customHeight="1" x14ac:dyDescent="0.2">
      <c r="A36" s="284"/>
      <c r="B36" s="287"/>
      <c r="C36" s="285"/>
      <c r="D36" s="62"/>
      <c r="E36" s="62"/>
      <c r="F36" s="62"/>
      <c r="G36" s="62"/>
      <c r="H36" s="62">
        <f>L30*1.2</f>
        <v>82.742399999999989</v>
      </c>
      <c r="I36" s="62"/>
      <c r="J36" s="62"/>
      <c r="K36" s="62">
        <f>H36</f>
        <v>82.742399999999989</v>
      </c>
      <c r="L36" s="286"/>
      <c r="M36" s="289"/>
      <c r="N36" s="290"/>
    </row>
    <row r="37" spans="1:14" s="89" customFormat="1" ht="15" customHeight="1" x14ac:dyDescent="0.2">
      <c r="A37" s="72"/>
      <c r="B37" s="73"/>
      <c r="C37" s="74"/>
      <c r="D37" s="75"/>
      <c r="E37" s="75"/>
      <c r="F37" s="75"/>
      <c r="G37" s="75"/>
      <c r="H37" s="75"/>
      <c r="I37" s="75"/>
      <c r="J37" s="75"/>
      <c r="K37" s="75"/>
      <c r="L37" s="75"/>
    </row>
    <row r="38" spans="1:14" s="89" customFormat="1" ht="15" customHeight="1" x14ac:dyDescent="0.2">
      <c r="A38" s="72"/>
      <c r="B38" s="73"/>
      <c r="C38" s="74"/>
      <c r="D38" s="75"/>
      <c r="E38" s="75"/>
      <c r="F38" s="75"/>
      <c r="G38" s="75"/>
      <c r="H38" s="75"/>
      <c r="I38" s="75"/>
      <c r="J38" s="75"/>
      <c r="K38" s="75"/>
      <c r="L38" s="75"/>
    </row>
    <row r="39" spans="1:14" s="89" customFormat="1" ht="15" customHeight="1" x14ac:dyDescent="0.2">
      <c r="A39" s="270" t="s">
        <v>133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</row>
    <row r="40" spans="1:14" s="89" customFormat="1" ht="15" customHeight="1" x14ac:dyDescent="0.2">
      <c r="A40" s="56" t="s">
        <v>19</v>
      </c>
      <c r="B40" s="57" t="s">
        <v>45</v>
      </c>
      <c r="C40" s="57" t="s">
        <v>46</v>
      </c>
      <c r="D40" s="56" t="s">
        <v>16</v>
      </c>
      <c r="E40" s="56" t="s">
        <v>47</v>
      </c>
      <c r="F40" s="56" t="s">
        <v>48</v>
      </c>
      <c r="G40" s="56" t="s">
        <v>49</v>
      </c>
      <c r="H40" s="56" t="s">
        <v>20</v>
      </c>
      <c r="I40" s="56" t="s">
        <v>50</v>
      </c>
      <c r="J40" s="58" t="s">
        <v>51</v>
      </c>
      <c r="K40" s="56" t="s">
        <v>22</v>
      </c>
      <c r="L40" s="56" t="s">
        <v>24</v>
      </c>
    </row>
    <row r="41" spans="1:14" s="89" customFormat="1" ht="15" customHeight="1" x14ac:dyDescent="0.2">
      <c r="A41" s="67" t="s">
        <v>30</v>
      </c>
      <c r="B41" s="68" t="s">
        <v>36</v>
      </c>
      <c r="C41" s="69" t="s">
        <v>23</v>
      </c>
      <c r="D41" s="62">
        <f>+D32</f>
        <v>78</v>
      </c>
      <c r="E41" s="62"/>
      <c r="F41" s="62"/>
      <c r="G41" s="62"/>
      <c r="H41" s="62"/>
      <c r="I41" s="62"/>
      <c r="J41" s="62"/>
      <c r="K41" s="62">
        <f>D41</f>
        <v>78</v>
      </c>
      <c r="L41" s="70">
        <f t="shared" ref="L41:L46" si="0">K41</f>
        <v>78</v>
      </c>
    </row>
    <row r="42" spans="1:14" s="89" customFormat="1" ht="15" customHeight="1" x14ac:dyDescent="0.2">
      <c r="A42" s="67" t="s">
        <v>134</v>
      </c>
      <c r="B42" s="68" t="s">
        <v>135</v>
      </c>
      <c r="C42" s="69" t="s">
        <v>21</v>
      </c>
      <c r="D42" s="62">
        <f>+D18</f>
        <v>88.2</v>
      </c>
      <c r="E42" s="62">
        <v>0.9</v>
      </c>
      <c r="F42" s="62">
        <v>0.15</v>
      </c>
      <c r="G42" s="62"/>
      <c r="H42" s="62"/>
      <c r="I42" s="62"/>
      <c r="J42" s="62"/>
      <c r="K42" s="62">
        <f>D42*E42*F42</f>
        <v>11.907000000000002</v>
      </c>
      <c r="L42" s="70">
        <f t="shared" si="0"/>
        <v>11.907000000000002</v>
      </c>
    </row>
    <row r="43" spans="1:14" s="89" customFormat="1" ht="15" customHeight="1" x14ac:dyDescent="0.2">
      <c r="A43" s="59" t="s">
        <v>136</v>
      </c>
      <c r="B43" s="63" t="s">
        <v>137</v>
      </c>
      <c r="C43" s="61" t="s">
        <v>23</v>
      </c>
      <c r="D43" s="62">
        <f>+D18</f>
        <v>88.2</v>
      </c>
      <c r="E43" s="62"/>
      <c r="F43" s="62"/>
      <c r="G43" s="62"/>
      <c r="H43" s="62"/>
      <c r="I43" s="62"/>
      <c r="J43" s="62"/>
      <c r="K43" s="62">
        <f>D43</f>
        <v>88.2</v>
      </c>
      <c r="L43" s="62">
        <f t="shared" si="0"/>
        <v>88.2</v>
      </c>
    </row>
    <row r="44" spans="1:14" s="89" customFormat="1" ht="15" customHeight="1" x14ac:dyDescent="0.2">
      <c r="A44" s="59" t="s">
        <v>52</v>
      </c>
      <c r="B44" s="63" t="s">
        <v>138</v>
      </c>
      <c r="C44" s="61" t="s">
        <v>23</v>
      </c>
      <c r="D44" s="62">
        <v>5.2</v>
      </c>
      <c r="E44" s="62"/>
      <c r="F44" s="62"/>
      <c r="G44" s="62"/>
      <c r="H44" s="62">
        <v>17</v>
      </c>
      <c r="I44" s="62"/>
      <c r="J44" s="62"/>
      <c r="K44" s="62">
        <f>D44*H44</f>
        <v>88.4</v>
      </c>
      <c r="L44" s="62">
        <f t="shared" si="0"/>
        <v>88.4</v>
      </c>
    </row>
    <row r="45" spans="1:14" s="89" customFormat="1" ht="15" customHeight="1" x14ac:dyDescent="0.2">
      <c r="A45" s="67" t="s">
        <v>53</v>
      </c>
      <c r="B45" s="88" t="s">
        <v>54</v>
      </c>
      <c r="C45" s="69" t="s">
        <v>4</v>
      </c>
      <c r="D45" s="62"/>
      <c r="E45" s="62"/>
      <c r="F45" s="62"/>
      <c r="G45" s="62"/>
      <c r="H45" s="62">
        <v>17</v>
      </c>
      <c r="I45" s="62"/>
      <c r="J45" s="62"/>
      <c r="K45" s="62">
        <f>H45</f>
        <v>17</v>
      </c>
      <c r="L45" s="62">
        <f t="shared" si="0"/>
        <v>17</v>
      </c>
    </row>
    <row r="46" spans="1:14" s="89" customFormat="1" ht="15" customHeight="1" x14ac:dyDescent="0.2">
      <c r="A46" s="59" t="s">
        <v>139</v>
      </c>
      <c r="B46" s="63" t="s">
        <v>140</v>
      </c>
      <c r="C46" s="61" t="s">
        <v>4</v>
      </c>
      <c r="D46" s="62"/>
      <c r="E46" s="62"/>
      <c r="F46" s="62"/>
      <c r="G46" s="62"/>
      <c r="H46" s="62">
        <v>17</v>
      </c>
      <c r="I46" s="62"/>
      <c r="J46" s="62"/>
      <c r="K46" s="62">
        <f>H46</f>
        <v>17</v>
      </c>
      <c r="L46" s="62">
        <f t="shared" si="0"/>
        <v>17</v>
      </c>
    </row>
    <row r="47" spans="1:14" s="89" customFormat="1" ht="15" customHeight="1" x14ac:dyDescent="0.2">
      <c r="A47" s="61">
        <v>110107</v>
      </c>
      <c r="B47" s="71" t="s">
        <v>141</v>
      </c>
      <c r="C47" s="61" t="s">
        <v>4</v>
      </c>
      <c r="D47" s="62"/>
      <c r="E47" s="62"/>
      <c r="F47" s="62"/>
      <c r="G47" s="62"/>
      <c r="H47" s="62">
        <v>17</v>
      </c>
      <c r="I47" s="62"/>
      <c r="J47" s="62"/>
      <c r="K47" s="62">
        <f>H47</f>
        <v>17</v>
      </c>
      <c r="L47" s="62">
        <f t="shared" ref="L47" si="1">K47</f>
        <v>17</v>
      </c>
    </row>
    <row r="48" spans="1:14" s="89" customFormat="1" ht="15" customHeight="1" x14ac:dyDescent="0.2">
      <c r="A48" s="76" t="s">
        <v>31</v>
      </c>
      <c r="B48" s="71" t="s">
        <v>37</v>
      </c>
      <c r="C48" s="61" t="s">
        <v>4</v>
      </c>
      <c r="D48" s="62"/>
      <c r="E48" s="62"/>
      <c r="F48" s="62"/>
      <c r="G48" s="62"/>
      <c r="H48" s="62">
        <v>1</v>
      </c>
      <c r="I48" s="62"/>
      <c r="J48" s="62"/>
      <c r="K48" s="62">
        <f>H48</f>
        <v>1</v>
      </c>
      <c r="L48" s="62">
        <f>K48</f>
        <v>1</v>
      </c>
    </row>
    <row r="49" spans="1:13" s="89" customFormat="1" ht="15" customHeight="1" x14ac:dyDescent="0.2">
      <c r="A49" s="76" t="s">
        <v>142</v>
      </c>
      <c r="B49" s="77" t="s">
        <v>143</v>
      </c>
      <c r="C49" s="78" t="s">
        <v>4</v>
      </c>
      <c r="D49" s="62"/>
      <c r="E49" s="62"/>
      <c r="F49" s="62"/>
      <c r="G49" s="62"/>
      <c r="H49" s="62">
        <v>1</v>
      </c>
      <c r="I49" s="62"/>
      <c r="J49" s="62"/>
      <c r="K49" s="62">
        <f>H49</f>
        <v>1</v>
      </c>
      <c r="L49" s="62">
        <f>K49</f>
        <v>1</v>
      </c>
    </row>
    <row r="50" spans="1:13" s="89" customFormat="1" ht="15" customHeight="1" x14ac:dyDescent="0.2">
      <c r="A50" s="196" t="s">
        <v>193</v>
      </c>
      <c r="B50" s="197" t="s">
        <v>192</v>
      </c>
      <c r="C50" s="198" t="s">
        <v>21</v>
      </c>
      <c r="D50" s="62">
        <f>+D18</f>
        <v>88.2</v>
      </c>
      <c r="E50" s="62">
        <v>0.9</v>
      </c>
      <c r="F50" s="62">
        <v>0.2</v>
      </c>
      <c r="G50" s="62"/>
      <c r="H50" s="62"/>
      <c r="I50" s="62">
        <v>1.3</v>
      </c>
      <c r="J50" s="62"/>
      <c r="K50" s="62">
        <f>+D50*E50*F50*I50</f>
        <v>20.638800000000003</v>
      </c>
      <c r="L50" s="64">
        <f>K50</f>
        <v>20.638800000000003</v>
      </c>
    </row>
    <row r="51" spans="1:13" s="89" customFormat="1" ht="15" customHeight="1" x14ac:dyDescent="0.2">
      <c r="A51" s="271" t="s">
        <v>32</v>
      </c>
      <c r="B51" s="273" t="s">
        <v>38</v>
      </c>
      <c r="C51" s="275" t="s">
        <v>21</v>
      </c>
      <c r="D51" s="62">
        <f>L29</f>
        <v>119.07000000000002</v>
      </c>
      <c r="E51" s="62"/>
      <c r="F51" s="62"/>
      <c r="G51" s="62"/>
      <c r="H51" s="62">
        <v>4.1500000000000004</v>
      </c>
      <c r="I51" s="62"/>
      <c r="J51" s="62"/>
      <c r="K51" s="62">
        <f>D51-H51-K50</f>
        <v>94.281200000000013</v>
      </c>
      <c r="L51" s="277">
        <f>(+K51+K52-L62)*1.15</f>
        <v>136.222438307</v>
      </c>
    </row>
    <row r="52" spans="1:13" s="89" customFormat="1" ht="15" customHeight="1" x14ac:dyDescent="0.2">
      <c r="A52" s="272"/>
      <c r="B52" s="274"/>
      <c r="C52" s="276"/>
      <c r="D52" s="62">
        <v>5.2</v>
      </c>
      <c r="E52" s="62">
        <v>0.6</v>
      </c>
      <c r="F52" s="62">
        <v>1.3</v>
      </c>
      <c r="G52" s="62">
        <v>0.10249446</v>
      </c>
      <c r="H52" s="62">
        <v>17</v>
      </c>
      <c r="I52" s="62"/>
      <c r="J52" s="62"/>
      <c r="K52" s="62">
        <f>((D52*E52*F52)-G52)*H52</f>
        <v>67.209594179999996</v>
      </c>
      <c r="L52" s="278"/>
    </row>
    <row r="53" spans="1:13" s="89" customFormat="1" ht="15" customHeight="1" x14ac:dyDescent="0.2">
      <c r="A53" s="76" t="s">
        <v>144</v>
      </c>
      <c r="B53" s="18" t="s">
        <v>145</v>
      </c>
      <c r="C53" s="78" t="s">
        <v>146</v>
      </c>
      <c r="D53" s="62">
        <v>0.46</v>
      </c>
      <c r="E53" s="62"/>
      <c r="F53" s="62"/>
      <c r="G53" s="62"/>
      <c r="H53" s="62">
        <v>81</v>
      </c>
      <c r="I53" s="62">
        <v>0.99</v>
      </c>
      <c r="J53" s="62"/>
      <c r="K53" s="62">
        <f>D53*H53*I53</f>
        <v>36.887400000000007</v>
      </c>
      <c r="L53" s="64">
        <f>K53</f>
        <v>36.887400000000007</v>
      </c>
    </row>
    <row r="54" spans="1:13" s="89" customFormat="1" ht="15" customHeight="1" x14ac:dyDescent="0.2">
      <c r="A54" s="271" t="s">
        <v>147</v>
      </c>
      <c r="B54" s="280" t="s">
        <v>148</v>
      </c>
      <c r="C54" s="275" t="s">
        <v>21</v>
      </c>
      <c r="D54" s="62">
        <f>+D18</f>
        <v>88.2</v>
      </c>
      <c r="E54" s="62">
        <v>0.9</v>
      </c>
      <c r="F54" s="62">
        <v>0.2</v>
      </c>
      <c r="G54" s="62"/>
      <c r="H54" s="62"/>
      <c r="I54" s="62"/>
      <c r="J54" s="62"/>
      <c r="K54" s="62">
        <f>D54*E54*F54</f>
        <v>15.876000000000003</v>
      </c>
      <c r="L54" s="277">
        <f>K54+K56+K55</f>
        <v>23.076000000000001</v>
      </c>
    </row>
    <row r="55" spans="1:13" s="89" customFormat="1" ht="15" customHeight="1" x14ac:dyDescent="0.2">
      <c r="A55" s="279"/>
      <c r="B55" s="280"/>
      <c r="C55" s="281"/>
      <c r="D55" s="62">
        <v>6</v>
      </c>
      <c r="E55" s="62">
        <v>0.9</v>
      </c>
      <c r="F55" s="62">
        <v>0.2</v>
      </c>
      <c r="G55" s="62"/>
      <c r="H55" s="62"/>
      <c r="I55" s="62"/>
      <c r="J55" s="62"/>
      <c r="K55" s="62">
        <f>+D55*E55*F55</f>
        <v>1.08</v>
      </c>
      <c r="L55" s="282"/>
    </row>
    <row r="56" spans="1:13" s="89" customFormat="1" ht="15" customHeight="1" x14ac:dyDescent="0.2">
      <c r="A56" s="272"/>
      <c r="B56" s="280"/>
      <c r="C56" s="276"/>
      <c r="D56" s="62">
        <v>3</v>
      </c>
      <c r="E56" s="62">
        <v>0.6</v>
      </c>
      <c r="F56" s="62">
        <v>0.2</v>
      </c>
      <c r="G56" s="62"/>
      <c r="H56" s="62"/>
      <c r="I56" s="62">
        <v>17</v>
      </c>
      <c r="J56" s="62"/>
      <c r="K56" s="62">
        <f>D56*E56*F56*I56</f>
        <v>6.12</v>
      </c>
      <c r="L56" s="278"/>
    </row>
    <row r="57" spans="1:13" s="89" customFormat="1" ht="15" customHeight="1" x14ac:dyDescent="0.2">
      <c r="A57" s="59" t="s">
        <v>149</v>
      </c>
      <c r="B57" s="63" t="s">
        <v>150</v>
      </c>
      <c r="C57" s="61" t="s">
        <v>146</v>
      </c>
      <c r="D57" s="62">
        <f>+L54</f>
        <v>23.076000000000001</v>
      </c>
      <c r="E57" s="62"/>
      <c r="F57" s="62"/>
      <c r="G57" s="62"/>
      <c r="H57" s="62">
        <v>420</v>
      </c>
      <c r="I57" s="62">
        <v>1.4999999999999999E-2</v>
      </c>
      <c r="J57" s="62"/>
      <c r="K57" s="62">
        <f>D57*H57*I57</f>
        <v>145.37879999999998</v>
      </c>
      <c r="L57" s="64">
        <f>K57</f>
        <v>145.37879999999998</v>
      </c>
    </row>
    <row r="58" spans="1:13" s="89" customFormat="1" ht="15" customHeight="1" x14ac:dyDescent="0.2">
      <c r="A58" s="67" t="s">
        <v>182</v>
      </c>
      <c r="B58" s="18" t="s">
        <v>181</v>
      </c>
      <c r="C58" s="69" t="s">
        <v>183</v>
      </c>
      <c r="D58" s="62">
        <f>84.45+(3*17)</f>
        <v>135.44999999999999</v>
      </c>
      <c r="E58" s="62">
        <v>0.9</v>
      </c>
      <c r="F58" s="62"/>
      <c r="G58" s="62"/>
      <c r="H58" s="62"/>
      <c r="I58" s="62">
        <v>0.2</v>
      </c>
      <c r="J58" s="62"/>
      <c r="K58" s="62">
        <f>+D58*E58*I58*1.1</f>
        <v>26.819100000000002</v>
      </c>
      <c r="L58" s="64">
        <f>+K58</f>
        <v>26.819100000000002</v>
      </c>
    </row>
    <row r="59" spans="1:13" s="89" customFormat="1" ht="15" customHeight="1" x14ac:dyDescent="0.2">
      <c r="A59" s="67" t="s">
        <v>59</v>
      </c>
      <c r="B59" s="96" t="s">
        <v>151</v>
      </c>
      <c r="C59" s="69" t="s">
        <v>15</v>
      </c>
      <c r="D59" s="62">
        <v>5.2</v>
      </c>
      <c r="E59" s="62">
        <v>0.6</v>
      </c>
      <c r="F59" s="62"/>
      <c r="G59" s="62"/>
      <c r="H59" s="62"/>
      <c r="I59" s="62">
        <v>17</v>
      </c>
      <c r="J59" s="62"/>
      <c r="K59" s="62">
        <f>D59*E59*I59</f>
        <v>53.04</v>
      </c>
      <c r="L59" s="62">
        <f>K59</f>
        <v>53.04</v>
      </c>
    </row>
    <row r="60" spans="1:13" s="89" customFormat="1" ht="15" customHeight="1" x14ac:dyDescent="0.2">
      <c r="A60" s="67" t="s">
        <v>152</v>
      </c>
      <c r="B60" s="97" t="s">
        <v>153</v>
      </c>
      <c r="C60" s="69" t="s">
        <v>15</v>
      </c>
      <c r="D60" s="62">
        <v>2.2000000000000002</v>
      </c>
      <c r="E60" s="62">
        <v>0.6</v>
      </c>
      <c r="F60" s="62"/>
      <c r="G60" s="62"/>
      <c r="H60" s="62"/>
      <c r="I60" s="62">
        <v>12</v>
      </c>
      <c r="J60" s="62"/>
      <c r="K60" s="62">
        <f>D60*E60*I60*1.05</f>
        <v>16.632000000000001</v>
      </c>
      <c r="L60" s="62">
        <f>K60</f>
        <v>16.632000000000001</v>
      </c>
    </row>
    <row r="61" spans="1:13" s="89" customFormat="1" ht="15" customHeight="1" x14ac:dyDescent="0.2">
      <c r="A61" s="65" t="s">
        <v>154</v>
      </c>
      <c r="B61" s="60" t="s">
        <v>155</v>
      </c>
      <c r="C61" s="66" t="s">
        <v>15</v>
      </c>
      <c r="D61" s="64">
        <v>88.45</v>
      </c>
      <c r="E61" s="64">
        <v>6</v>
      </c>
      <c r="F61" s="64"/>
      <c r="G61" s="64"/>
      <c r="H61" s="64"/>
      <c r="I61" s="64"/>
      <c r="J61" s="64"/>
      <c r="K61" s="64">
        <f>D61*E61</f>
        <v>530.70000000000005</v>
      </c>
      <c r="L61" s="64">
        <f>K61</f>
        <v>530.70000000000005</v>
      </c>
    </row>
    <row r="62" spans="1:13" s="99" customFormat="1" ht="15" customHeight="1" x14ac:dyDescent="0.2">
      <c r="A62" s="284" t="s">
        <v>186</v>
      </c>
      <c r="B62" s="283" t="s">
        <v>185</v>
      </c>
      <c r="C62" s="285" t="s">
        <v>21</v>
      </c>
      <c r="D62" s="62">
        <f>+D18</f>
        <v>88.2</v>
      </c>
      <c r="E62" s="62">
        <v>0.9</v>
      </c>
      <c r="F62" s="62">
        <v>0.2</v>
      </c>
      <c r="G62" s="62"/>
      <c r="H62" s="62"/>
      <c r="I62" s="62"/>
      <c r="J62" s="62"/>
      <c r="K62" s="62">
        <f>+D62*E62*F62*1.25</f>
        <v>19.845000000000002</v>
      </c>
      <c r="L62" s="286">
        <f>(K62+K63)*1.3</f>
        <v>43.036500000000004</v>
      </c>
      <c r="M62" s="98"/>
    </row>
    <row r="63" spans="1:13" s="89" customFormat="1" ht="15" customHeight="1" x14ac:dyDescent="0.2">
      <c r="A63" s="284"/>
      <c r="B63" s="283"/>
      <c r="C63" s="285"/>
      <c r="D63" s="62">
        <v>5.2</v>
      </c>
      <c r="E63" s="62">
        <v>0.6</v>
      </c>
      <c r="F63" s="62">
        <v>0.2</v>
      </c>
      <c r="G63" s="62"/>
      <c r="H63" s="62">
        <v>17</v>
      </c>
      <c r="I63" s="62"/>
      <c r="J63" s="62"/>
      <c r="K63" s="62">
        <f>D63*E63*F63*H63*1.25</f>
        <v>13.260000000000003</v>
      </c>
      <c r="L63" s="286"/>
    </row>
    <row r="64" spans="1:13" s="89" customFormat="1" ht="15" customHeight="1" x14ac:dyDescent="0.2">
      <c r="A64" s="79"/>
      <c r="B64" s="80"/>
      <c r="C64" s="81"/>
      <c r="D64" s="82"/>
      <c r="E64" s="83"/>
      <c r="F64" s="83"/>
      <c r="G64" s="82"/>
      <c r="H64" s="82"/>
      <c r="I64" s="82"/>
      <c r="J64" s="82"/>
      <c r="K64" s="82"/>
      <c r="L64" s="84"/>
    </row>
    <row r="65" spans="1:14" s="89" customFormat="1" ht="13.5" customHeight="1" x14ac:dyDescent="0.2">
      <c r="A65" s="269" t="s">
        <v>190</v>
      </c>
      <c r="B65" s="269"/>
      <c r="C65" s="93"/>
      <c r="D65" s="100"/>
      <c r="E65" s="101"/>
      <c r="F65" s="101"/>
      <c r="J65" s="100"/>
      <c r="K65" s="100"/>
      <c r="L65" s="16"/>
      <c r="M65" s="90"/>
      <c r="N65" s="90"/>
    </row>
    <row r="67" spans="1:14" x14ac:dyDescent="0.25">
      <c r="K67" s="103">
        <f>+K52+K51</f>
        <v>161.49079418000002</v>
      </c>
      <c r="L67" s="103">
        <f>+K67-L62</f>
        <v>118.45429418000002</v>
      </c>
    </row>
  </sheetData>
  <mergeCells count="45">
    <mergeCell ref="M34:N36"/>
    <mergeCell ref="A9:B9"/>
    <mergeCell ref="B2:J2"/>
    <mergeCell ref="B3:J3"/>
    <mergeCell ref="D5:G5"/>
    <mergeCell ref="B6:J6"/>
    <mergeCell ref="A8:B8"/>
    <mergeCell ref="A10:B10"/>
    <mergeCell ref="B12:L12"/>
    <mergeCell ref="A14:B14"/>
    <mergeCell ref="A16:L16"/>
    <mergeCell ref="A20:A22"/>
    <mergeCell ref="B20:B22"/>
    <mergeCell ref="C20:C22"/>
    <mergeCell ref="L20:L22"/>
    <mergeCell ref="A23:A25"/>
    <mergeCell ref="B23:B25"/>
    <mergeCell ref="C23:C25"/>
    <mergeCell ref="L23:L25"/>
    <mergeCell ref="A26:A27"/>
    <mergeCell ref="B26:B27"/>
    <mergeCell ref="C26:C27"/>
    <mergeCell ref="L26:L27"/>
    <mergeCell ref="A32:A33"/>
    <mergeCell ref="B32:B33"/>
    <mergeCell ref="C32:C33"/>
    <mergeCell ref="L32:L33"/>
    <mergeCell ref="A34:A36"/>
    <mergeCell ref="B34:B36"/>
    <mergeCell ref="C34:C36"/>
    <mergeCell ref="L34:L36"/>
    <mergeCell ref="A65:B65"/>
    <mergeCell ref="A39:L39"/>
    <mergeCell ref="A51:A52"/>
    <mergeCell ref="B51:B52"/>
    <mergeCell ref="C51:C52"/>
    <mergeCell ref="L51:L52"/>
    <mergeCell ref="A54:A56"/>
    <mergeCell ref="B54:B56"/>
    <mergeCell ref="C54:C56"/>
    <mergeCell ref="L54:L56"/>
    <mergeCell ref="B62:B63"/>
    <mergeCell ref="A62:A63"/>
    <mergeCell ref="C62:C63"/>
    <mergeCell ref="L62:L63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</vt:lpstr>
      <vt:lpstr>APU´s</vt:lpstr>
      <vt:lpstr>MEMORIAS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dcterms:created xsi:type="dcterms:W3CDTF">2025-01-21T15:26:17Z</dcterms:created>
  <dcterms:modified xsi:type="dcterms:W3CDTF">2026-10-13T16:37:31Z</dcterms:modified>
</cp:coreProperties>
</file>