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3.xml" ContentType="application/vnd.openxmlformats-officedocument.drawing+xml"/>
  <Override PartName="/xl/pivotTables/pivotTable3.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82680DD9-3F13-7979-5B5F-3D2375947C00}"/>
  <workbookPr updateLinks="never" codeName="ThisWorkbook" defaultThemeVersion="202300"/>
  <mc:AlternateContent xmlns:mc="http://schemas.openxmlformats.org/markup-compatibility/2006">
    <mc:Choice Requires="x15">
      <x15ac:absPath xmlns:x15ac="http://schemas.microsoft.com/office/spreadsheetml/2010/11/ac" url="https://gobiernobogota-my.sharepoint.com/personal/planeacion_suba_gobiernobogota_gov_co/Documents/6.Archivo digital 2026/1.FORMULACIONES/2504 - Suba avanza en Participación (2026)/2. LP - Medios Comunitarios/"/>
    </mc:Choice>
  </mc:AlternateContent>
  <xr:revisionPtr revIDLastSave="18" documentId="13_ncr:1_{B3788036-1ADC-426D-9EAB-49E6AB8DA963}" xr6:coauthVersionLast="47" xr6:coauthVersionMax="47" xr10:uidLastSave="{32C9C9A5-7609-434E-AEFE-BFFE8079CB20}"/>
  <bookViews>
    <workbookView xWindow="-120" yWindow="-120" windowWidth="29040" windowHeight="15720" firstSheet="1" activeTab="1" xr2:uid="{6AE49A48-5C1E-49FE-96E4-86AAF7CA509A}"/>
  </bookViews>
  <sheets>
    <sheet name="Estudio_Mercado" sheetId="4" state="hidden" r:id="rId1"/>
    <sheet name="Estudio_Mercado_VF" sheetId="13" r:id="rId2"/>
    <sheet name="TablaD_3Provedores" sheetId="9" state="hidden" r:id="rId3"/>
    <sheet name="Tres_Entidad" sheetId="7" state="hidden" r:id="rId4"/>
    <sheet name="TablaDinamicaTres_Entidad" sheetId="8" state="hidden" r:id="rId5"/>
    <sheet name="Lista" sheetId="2" state="hidden" r:id="rId6"/>
    <sheet name="FORMATO DE OFERTA ECONÓMICA" sheetId="11" state="hidden" r:id="rId7"/>
    <sheet name="listaBolsa" sheetId="12" state="hidden" r:id="rId8"/>
  </sheets>
  <externalReferences>
    <externalReference r:id="rId9"/>
  </externalReferences>
  <definedNames>
    <definedName name="_xlnm._FilterDatabase" localSheetId="0" hidden="1">Estudio_Mercado!$A$10:$BH$148</definedName>
    <definedName name="_xlnm._FilterDatabase" localSheetId="1" hidden="1">Estudio_Mercado_VF!$A$10:$CR$19</definedName>
    <definedName name="_xlnm._FilterDatabase" localSheetId="6" hidden="1">'FORMATO DE OFERTA ECONÓMICA'!$D$11:$E$18</definedName>
    <definedName name="_xleta.ROUND" hidden="1" xlm="1">#NAME?</definedName>
    <definedName name="_xlnm.Print_Area" localSheetId="0">Estudio_Mercado!$A$1:$AE$168</definedName>
    <definedName name="_xlnm.Print_Area" localSheetId="1">Estudio_Mercado_VF!$A$1:$AE$49</definedName>
  </definedNames>
  <calcPr calcId="191028"/>
  <pivotCaches>
    <pivotCache cacheId="9" r:id="rId10"/>
    <pivotCache cacheId="10" r:id="rId11"/>
    <pivotCache cacheId="11" r:id="rId1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 i="11" l="1"/>
  <c r="C12" i="11"/>
  <c r="C13" i="11"/>
  <c r="C14" i="11"/>
  <c r="C15" i="11"/>
  <c r="C16" i="11"/>
  <c r="C17" i="11"/>
  <c r="C18" i="11"/>
  <c r="I25" i="13" l="1"/>
  <c r="C24" i="11" l="1"/>
  <c r="D24" i="11"/>
  <c r="C25" i="11"/>
  <c r="D25" i="11"/>
  <c r="C26" i="11"/>
  <c r="D26" i="11"/>
  <c r="C27" i="11"/>
  <c r="D27" i="11"/>
  <c r="F23" i="11"/>
  <c r="G23" i="11"/>
  <c r="F24" i="11"/>
  <c r="G24" i="11"/>
  <c r="F25" i="11"/>
  <c r="F26" i="11"/>
  <c r="F27" i="11"/>
  <c r="G22" i="11"/>
  <c r="F22" i="11"/>
  <c r="C23" i="11"/>
  <c r="D23" i="11"/>
  <c r="E23" i="11"/>
  <c r="E24" i="11"/>
  <c r="E25" i="11"/>
  <c r="E26" i="11"/>
  <c r="E27" i="11"/>
  <c r="D22" i="11"/>
  <c r="E22" i="11"/>
  <c r="C22" i="11"/>
  <c r="B12" i="11"/>
  <c r="D12" i="11"/>
  <c r="E12" i="11"/>
  <c r="F12" i="11"/>
  <c r="G12" i="11"/>
  <c r="B13" i="11"/>
  <c r="D13" i="11"/>
  <c r="E13" i="11"/>
  <c r="F13" i="11"/>
  <c r="G13" i="11"/>
  <c r="B14" i="11"/>
  <c r="D14" i="11"/>
  <c r="E14" i="11"/>
  <c r="F14" i="11"/>
  <c r="B15" i="11"/>
  <c r="D15" i="11"/>
  <c r="E15" i="11"/>
  <c r="F15" i="11"/>
  <c r="G15" i="11"/>
  <c r="B16" i="11"/>
  <c r="D16" i="11"/>
  <c r="E16" i="11"/>
  <c r="F16" i="11"/>
  <c r="G16" i="11"/>
  <c r="B17" i="11"/>
  <c r="D17" i="11"/>
  <c r="E17" i="11"/>
  <c r="F17" i="11"/>
  <c r="G17" i="11"/>
  <c r="B18" i="11"/>
  <c r="D18" i="11"/>
  <c r="E18" i="11"/>
  <c r="F18" i="11"/>
  <c r="G11" i="11"/>
  <c r="F11" i="11"/>
  <c r="E11" i="11"/>
  <c r="D11" i="11"/>
  <c r="B11" i="11"/>
  <c r="E7" i="11"/>
  <c r="J28" i="13"/>
  <c r="G27" i="11" s="1"/>
  <c r="J27" i="13"/>
  <c r="G26" i="11" s="1"/>
  <c r="J26" i="13"/>
  <c r="G25" i="11" s="1"/>
  <c r="J25" i="13"/>
  <c r="I29" i="13"/>
  <c r="J24" i="13"/>
  <c r="CI18" i="13"/>
  <c r="CR18" i="13" s="1"/>
  <c r="CH18" i="13"/>
  <c r="CQ18" i="13" s="1"/>
  <c r="CG18" i="13"/>
  <c r="CP18" i="13" s="1"/>
  <c r="CF18" i="13"/>
  <c r="CO18" i="13" s="1"/>
  <c r="CE18" i="13"/>
  <c r="CN18" i="13" s="1"/>
  <c r="CD18" i="13"/>
  <c r="CM18" i="13" s="1"/>
  <c r="CC18" i="13"/>
  <c r="CL18" i="13" s="1"/>
  <c r="CB18" i="13"/>
  <c r="CK18" i="13" s="1"/>
  <c r="CA18" i="13"/>
  <c r="CJ18" i="13" s="1"/>
  <c r="AF18" i="13"/>
  <c r="AA18" i="13"/>
  <c r="X17" i="13"/>
  <c r="V17" i="13"/>
  <c r="W17" i="13" s="1"/>
  <c r="Y17" i="13" s="1"/>
  <c r="R17" i="13"/>
  <c r="P17" i="13"/>
  <c r="Q17" i="13" s="1"/>
  <c r="S17" i="13" s="1"/>
  <c r="L17" i="13"/>
  <c r="J17" i="13"/>
  <c r="K17" i="13" s="1"/>
  <c r="D17" i="13"/>
  <c r="CI16" i="13"/>
  <c r="CH16" i="13"/>
  <c r="CG16" i="13"/>
  <c r="CF16" i="13"/>
  <c r="CE16" i="13"/>
  <c r="CD16" i="13"/>
  <c r="CC16" i="13"/>
  <c r="CB16" i="13"/>
  <c r="CA16" i="13"/>
  <c r="CJ16" i="13" s="1"/>
  <c r="AF16" i="13"/>
  <c r="O16" i="13"/>
  <c r="P16" i="13" s="1"/>
  <c r="N16" i="13"/>
  <c r="I16" i="13"/>
  <c r="L16" i="13" s="1"/>
  <c r="H16" i="13"/>
  <c r="D16" i="13"/>
  <c r="CI15" i="13"/>
  <c r="CH15" i="13"/>
  <c r="CG15" i="13"/>
  <c r="CF15" i="13"/>
  <c r="CE15" i="13"/>
  <c r="CD15" i="13"/>
  <c r="CC15" i="13"/>
  <c r="CB15" i="13"/>
  <c r="CA15" i="13"/>
  <c r="CJ15" i="13" s="1"/>
  <c r="AF15" i="13"/>
  <c r="U15" i="13"/>
  <c r="X15" i="13" s="1"/>
  <c r="T15" i="13"/>
  <c r="O15" i="13"/>
  <c r="R15" i="13" s="1"/>
  <c r="N15" i="13"/>
  <c r="I15" i="13"/>
  <c r="H15" i="13"/>
  <c r="D15" i="13"/>
  <c r="AA14" i="13"/>
  <c r="CI13" i="13"/>
  <c r="CH13" i="13"/>
  <c r="CG13" i="13"/>
  <c r="CF13" i="13"/>
  <c r="CO13" i="13" s="1"/>
  <c r="CE13" i="13"/>
  <c r="CD13" i="13"/>
  <c r="CC13" i="13"/>
  <c r="CB13" i="13"/>
  <c r="CA13" i="13"/>
  <c r="CJ13" i="13" s="1"/>
  <c r="AF13" i="13"/>
  <c r="R13" i="13"/>
  <c r="P13" i="13"/>
  <c r="Q13" i="13" s="1"/>
  <c r="S13" i="13" s="1"/>
  <c r="N13" i="13"/>
  <c r="I13" i="13"/>
  <c r="J13" i="13" s="1"/>
  <c r="K13" i="13" s="1"/>
  <c r="H13" i="13"/>
  <c r="D13" i="13"/>
  <c r="CI12" i="13"/>
  <c r="CH12" i="13"/>
  <c r="CQ12" i="13" s="1"/>
  <c r="CG12" i="13"/>
  <c r="CP12" i="13" s="1"/>
  <c r="CF12" i="13"/>
  <c r="CO12" i="13" s="1"/>
  <c r="CE12" i="13"/>
  <c r="CN12" i="13" s="1"/>
  <c r="CD12" i="13"/>
  <c r="CM12" i="13" s="1"/>
  <c r="CC12" i="13"/>
  <c r="CL12" i="13" s="1"/>
  <c r="CB12" i="13"/>
  <c r="CA12" i="13"/>
  <c r="CJ12" i="13" s="1"/>
  <c r="AF12" i="13"/>
  <c r="X12" i="13"/>
  <c r="V12" i="13"/>
  <c r="W12" i="13" s="1"/>
  <c r="Y12" i="13" s="1"/>
  <c r="R12" i="13"/>
  <c r="P12" i="13"/>
  <c r="Q12" i="13" s="1"/>
  <c r="S12" i="13" s="1"/>
  <c r="L12" i="13"/>
  <c r="J12" i="13"/>
  <c r="K12" i="13" s="1"/>
  <c r="D12" i="13"/>
  <c r="CI11" i="13"/>
  <c r="CH11" i="13"/>
  <c r="CG11" i="13"/>
  <c r="CF11" i="13"/>
  <c r="CE11" i="13"/>
  <c r="CD11" i="13"/>
  <c r="CM11" i="13" s="1"/>
  <c r="CC11" i="13"/>
  <c r="CL11" i="13" s="1"/>
  <c r="CB11" i="13"/>
  <c r="CK11" i="13" s="1"/>
  <c r="CA11" i="13"/>
  <c r="CJ11" i="13" s="1"/>
  <c r="AF11" i="13"/>
  <c r="O11" i="13"/>
  <c r="N11" i="13"/>
  <c r="L11" i="13"/>
  <c r="J11" i="13"/>
  <c r="K11" i="13" s="1"/>
  <c r="I144" i="4"/>
  <c r="R13" i="4"/>
  <c r="Q13" i="4"/>
  <c r="P13" i="4"/>
  <c r="J13" i="4"/>
  <c r="AB12" i="4"/>
  <c r="D13" i="4"/>
  <c r="AA14" i="4"/>
  <c r="AA18" i="4"/>
  <c r="X17" i="4"/>
  <c r="V17" i="4"/>
  <c r="W17" i="4" s="1"/>
  <c r="Y17" i="4" s="1"/>
  <c r="R17" i="4"/>
  <c r="P17" i="4"/>
  <c r="Q17" i="4" s="1"/>
  <c r="S17" i="4" s="1"/>
  <c r="L17" i="4"/>
  <c r="J17" i="4"/>
  <c r="K17" i="4" s="1"/>
  <c r="D17" i="4"/>
  <c r="G8" i="11" l="1"/>
  <c r="J29" i="13"/>
  <c r="AB5" i="13" s="1"/>
  <c r="CL16" i="13"/>
  <c r="CP11" i="13"/>
  <c r="CP13" i="13"/>
  <c r="CK13" i="13"/>
  <c r="CM13" i="13"/>
  <c r="CK15" i="13"/>
  <c r="CQ11" i="13"/>
  <c r="CN11" i="13"/>
  <c r="CO11" i="13"/>
  <c r="CL13" i="13"/>
  <c r="CK12" i="13"/>
  <c r="L13" i="13"/>
  <c r="CK16" i="13"/>
  <c r="CL15" i="13"/>
  <c r="CN15" i="13"/>
  <c r="CO15" i="13"/>
  <c r="CP15" i="13"/>
  <c r="M12" i="13"/>
  <c r="AB12" i="13" s="1"/>
  <c r="Z12" i="13"/>
  <c r="AA12" i="13" s="1"/>
  <c r="P15" i="13"/>
  <c r="Q15" i="13" s="1"/>
  <c r="S15" i="13" s="1"/>
  <c r="CP16" i="13"/>
  <c r="CQ16" i="13"/>
  <c r="CN13" i="13"/>
  <c r="J16" i="13"/>
  <c r="K16" i="13" s="1"/>
  <c r="M16" i="13" s="1"/>
  <c r="CN16" i="13"/>
  <c r="CQ15" i="13"/>
  <c r="CM16" i="13"/>
  <c r="CM15" i="13"/>
  <c r="M11" i="13"/>
  <c r="CQ13" i="13"/>
  <c r="M17" i="13"/>
  <c r="AB17" i="13" s="1"/>
  <c r="Z17" i="13"/>
  <c r="AA17" i="13" s="1"/>
  <c r="Z13" i="13"/>
  <c r="AA13" i="13" s="1"/>
  <c r="M13" i="13"/>
  <c r="AB13" i="13" s="1"/>
  <c r="Q16" i="13"/>
  <c r="S16" i="13" s="1"/>
  <c r="CO16" i="13"/>
  <c r="R16" i="13"/>
  <c r="W15" i="13"/>
  <c r="Y15" i="13" s="1"/>
  <c r="R11" i="13"/>
  <c r="J15" i="13"/>
  <c r="K15" i="13" s="1"/>
  <c r="L15" i="13"/>
  <c r="P11" i="13"/>
  <c r="Q11" i="13" s="1"/>
  <c r="Z17" i="4"/>
  <c r="AA17" i="4" s="1"/>
  <c r="M17" i="4"/>
  <c r="AB17" i="4" s="1"/>
  <c r="AC17" i="4" s="1"/>
  <c r="AC12" i="13" l="1"/>
  <c r="CR12" i="13" s="1"/>
  <c r="AB16" i="13"/>
  <c r="S11" i="13"/>
  <c r="Z11" i="13"/>
  <c r="AA11" i="13" s="1"/>
  <c r="AB11" i="13"/>
  <c r="M15" i="13"/>
  <c r="AB15" i="13" s="1"/>
  <c r="Z15" i="13"/>
  <c r="AA15" i="13" s="1"/>
  <c r="Z16" i="13"/>
  <c r="AA16" i="13" s="1"/>
  <c r="AC16" i="13" s="1"/>
  <c r="CR16" i="13" s="1"/>
  <c r="AC17" i="13"/>
  <c r="AC13" i="13"/>
  <c r="CR13" i="13" s="1"/>
  <c r="V12" i="4"/>
  <c r="W12" i="4" s="1"/>
  <c r="P12" i="4"/>
  <c r="Q12" i="4" s="1"/>
  <c r="J12" i="4"/>
  <c r="K12" i="4" s="1"/>
  <c r="Z12" i="4" s="1"/>
  <c r="AA12" i="4" s="1"/>
  <c r="J11" i="4"/>
  <c r="K11" i="4" s="1"/>
  <c r="L11" i="4"/>
  <c r="AC11" i="13" l="1"/>
  <c r="CR11" i="13" s="1"/>
  <c r="AA19" i="13"/>
  <c r="AA24" i="13"/>
  <c r="AB4" i="13"/>
  <c r="AB6" i="13" s="1"/>
  <c r="AC15" i="13"/>
  <c r="CR15" i="13" s="1"/>
  <c r="M11" i="4"/>
  <c r="N11" i="4" l="1"/>
  <c r="O11" i="4"/>
  <c r="P11" i="4" s="1"/>
  <c r="T11" i="4"/>
  <c r="U11" i="4"/>
  <c r="V11" i="4" s="1"/>
  <c r="L12" i="4"/>
  <c r="Y12" i="4"/>
  <c r="X12" i="4"/>
  <c r="H13" i="4"/>
  <c r="I13" i="4"/>
  <c r="N13" i="4"/>
  <c r="S13" i="4"/>
  <c r="T13" i="4"/>
  <c r="U13" i="4"/>
  <c r="X13" i="4" s="1"/>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c r="AX270" i="12"/>
  <c r="AV271" i="12"/>
  <c r="AW271" i="12"/>
  <c r="AX271" i="12"/>
  <c r="AV272" i="12"/>
  <c r="AW272" i="12"/>
  <c r="AX272" i="12"/>
  <c r="AV273" i="12"/>
  <c r="AW273" i="12"/>
  <c r="AX273" i="12"/>
  <c r="AV274" i="12"/>
  <c r="AW274" i="12"/>
  <c r="AX274" i="12"/>
  <c r="AV275" i="12"/>
  <c r="AW275" i="12"/>
  <c r="AX275" i="12"/>
  <c r="AV276" i="12"/>
  <c r="AW276" i="12"/>
  <c r="AX276" i="12"/>
  <c r="AV277" i="12"/>
  <c r="AW277" i="12"/>
  <c r="AX277" i="12"/>
  <c r="AV278" i="12"/>
  <c r="AW278" i="12" s="1"/>
  <c r="AX278" i="12"/>
  <c r="AV279" i="12"/>
  <c r="AW279" i="12"/>
  <c r="AX279" i="12"/>
  <c r="AV280" i="12"/>
  <c r="AW280" i="12" s="1"/>
  <c r="AX280" i="12"/>
  <c r="AV281" i="12"/>
  <c r="AW281" i="12" s="1"/>
  <c r="AX281" i="12"/>
  <c r="AV282" i="12"/>
  <c r="AW282" i="12"/>
  <c r="AX282" i="12"/>
  <c r="V13" i="4" l="1"/>
  <c r="W13" i="4" s="1"/>
  <c r="S12" i="4"/>
  <c r="K13" i="4"/>
  <c r="X11" i="4"/>
  <c r="W11" i="4"/>
  <c r="Y11" i="4" s="1"/>
  <c r="R12" i="4"/>
  <c r="L13" i="4"/>
  <c r="R11" i="4"/>
  <c r="Q11" i="4"/>
  <c r="Z11" i="4" s="1"/>
  <c r="AA11" i="4" s="1"/>
  <c r="AA19" i="4"/>
  <c r="AB19" i="4"/>
  <c r="AA20" i="4"/>
  <c r="AB20" i="4"/>
  <c r="AA21" i="4"/>
  <c r="AB21" i="4"/>
  <c r="AA22" i="4"/>
  <c r="AB22" i="4"/>
  <c r="AA23" i="4"/>
  <c r="AB23" i="4"/>
  <c r="AA24" i="4"/>
  <c r="AB24" i="4"/>
  <c r="AA25" i="4"/>
  <c r="AB25" i="4"/>
  <c r="AA26" i="4"/>
  <c r="AB26" i="4"/>
  <c r="AA27" i="4"/>
  <c r="AB27" i="4"/>
  <c r="AA28" i="4"/>
  <c r="AB28" i="4"/>
  <c r="AA29" i="4"/>
  <c r="AB29" i="4"/>
  <c r="AA30" i="4"/>
  <c r="AB30" i="4"/>
  <c r="AA31" i="4"/>
  <c r="AB31" i="4"/>
  <c r="AA32" i="4"/>
  <c r="AB32" i="4"/>
  <c r="AA33" i="4"/>
  <c r="AB33" i="4"/>
  <c r="AA34" i="4"/>
  <c r="AB34" i="4"/>
  <c r="AA35" i="4"/>
  <c r="AB35" i="4"/>
  <c r="AA36" i="4"/>
  <c r="AB36" i="4"/>
  <c r="AA37" i="4"/>
  <c r="AB37" i="4"/>
  <c r="AA38" i="4"/>
  <c r="AB38" i="4"/>
  <c r="AA39" i="4"/>
  <c r="AB39" i="4"/>
  <c r="AA40" i="4"/>
  <c r="AB40" i="4"/>
  <c r="AA41" i="4"/>
  <c r="AB41" i="4"/>
  <c r="AA42" i="4"/>
  <c r="AB42" i="4"/>
  <c r="AA43" i="4"/>
  <c r="AB43" i="4"/>
  <c r="AA44" i="4"/>
  <c r="AB44" i="4"/>
  <c r="AA45" i="4"/>
  <c r="AB45" i="4"/>
  <c r="AA46" i="4"/>
  <c r="AB46" i="4"/>
  <c r="AA47" i="4"/>
  <c r="AB47" i="4"/>
  <c r="AA48" i="4"/>
  <c r="AB48" i="4"/>
  <c r="AA49" i="4"/>
  <c r="AB49" i="4"/>
  <c r="AA50" i="4"/>
  <c r="AB50" i="4"/>
  <c r="AA51" i="4"/>
  <c r="AB51" i="4"/>
  <c r="AA52" i="4"/>
  <c r="AB52" i="4"/>
  <c r="AA53" i="4"/>
  <c r="AB53" i="4"/>
  <c r="AA54" i="4"/>
  <c r="AB54" i="4"/>
  <c r="AA55" i="4"/>
  <c r="AB55" i="4"/>
  <c r="AA56" i="4"/>
  <c r="AB56" i="4"/>
  <c r="AA57" i="4"/>
  <c r="AB57" i="4"/>
  <c r="AA58" i="4"/>
  <c r="AB58" i="4"/>
  <c r="AA59" i="4"/>
  <c r="AB59" i="4"/>
  <c r="AA60" i="4"/>
  <c r="AB60" i="4"/>
  <c r="AA61" i="4"/>
  <c r="AB61" i="4"/>
  <c r="AA62" i="4"/>
  <c r="AB62" i="4"/>
  <c r="AA63" i="4"/>
  <c r="AB63" i="4"/>
  <c r="AA64" i="4"/>
  <c r="AB64" i="4"/>
  <c r="AA65" i="4"/>
  <c r="AB65" i="4"/>
  <c r="AA66" i="4"/>
  <c r="AB66" i="4"/>
  <c r="AA67" i="4"/>
  <c r="AB67" i="4"/>
  <c r="AA68" i="4"/>
  <c r="AB68" i="4"/>
  <c r="AA69" i="4"/>
  <c r="AB69" i="4"/>
  <c r="AA70" i="4"/>
  <c r="AB70" i="4"/>
  <c r="AA71" i="4"/>
  <c r="AB71" i="4"/>
  <c r="AA72" i="4"/>
  <c r="AB72" i="4"/>
  <c r="AA73" i="4"/>
  <c r="AB73" i="4"/>
  <c r="AA74" i="4"/>
  <c r="AB74" i="4"/>
  <c r="AA75" i="4"/>
  <c r="AB75" i="4"/>
  <c r="AA76" i="4"/>
  <c r="AB76" i="4"/>
  <c r="AA77" i="4"/>
  <c r="AB77" i="4"/>
  <c r="AA78" i="4"/>
  <c r="AB78" i="4"/>
  <c r="AA79" i="4"/>
  <c r="AB79" i="4"/>
  <c r="AA80" i="4"/>
  <c r="AB80" i="4"/>
  <c r="AA81" i="4"/>
  <c r="AB81" i="4"/>
  <c r="AA82" i="4"/>
  <c r="AB82" i="4"/>
  <c r="AA83" i="4"/>
  <c r="AB83" i="4"/>
  <c r="AA84" i="4"/>
  <c r="AB84" i="4"/>
  <c r="AA85" i="4"/>
  <c r="AB85" i="4"/>
  <c r="AA86" i="4"/>
  <c r="AB86" i="4"/>
  <c r="AA87" i="4"/>
  <c r="AB87" i="4"/>
  <c r="AA88" i="4"/>
  <c r="AB88" i="4"/>
  <c r="AA89" i="4"/>
  <c r="AB89" i="4"/>
  <c r="AA90" i="4"/>
  <c r="AB90" i="4"/>
  <c r="AA91" i="4"/>
  <c r="AB91" i="4"/>
  <c r="AA92" i="4"/>
  <c r="AB92" i="4"/>
  <c r="AA93" i="4"/>
  <c r="AB93" i="4"/>
  <c r="AA94" i="4"/>
  <c r="AB94" i="4"/>
  <c r="AA95" i="4"/>
  <c r="AB95" i="4"/>
  <c r="AA96" i="4"/>
  <c r="AB96" i="4"/>
  <c r="AA97" i="4"/>
  <c r="AB97" i="4"/>
  <c r="AA98" i="4"/>
  <c r="AB98" i="4"/>
  <c r="AA99" i="4"/>
  <c r="AB99" i="4"/>
  <c r="AA100" i="4"/>
  <c r="AB100" i="4"/>
  <c r="AA101" i="4"/>
  <c r="AB101" i="4"/>
  <c r="AA102" i="4"/>
  <c r="AB102" i="4"/>
  <c r="AA103" i="4"/>
  <c r="AB103" i="4"/>
  <c r="AA104" i="4"/>
  <c r="AB104" i="4"/>
  <c r="AA105" i="4"/>
  <c r="AB105" i="4"/>
  <c r="AA106" i="4"/>
  <c r="AB106" i="4"/>
  <c r="AA107" i="4"/>
  <c r="AB107" i="4"/>
  <c r="AA108" i="4"/>
  <c r="AB108" i="4"/>
  <c r="AA109" i="4"/>
  <c r="AB109" i="4"/>
  <c r="AA110" i="4"/>
  <c r="AB110" i="4"/>
  <c r="AA111" i="4"/>
  <c r="AB111" i="4"/>
  <c r="AA112" i="4"/>
  <c r="AB112" i="4"/>
  <c r="AA113" i="4"/>
  <c r="AB113" i="4"/>
  <c r="AA114" i="4"/>
  <c r="AB114" i="4"/>
  <c r="AA115" i="4"/>
  <c r="AB115" i="4"/>
  <c r="AA116" i="4"/>
  <c r="AB116" i="4"/>
  <c r="AA117" i="4"/>
  <c r="AB117" i="4"/>
  <c r="AA118" i="4"/>
  <c r="AB118" i="4"/>
  <c r="AA119" i="4"/>
  <c r="AB119" i="4"/>
  <c r="AA120" i="4"/>
  <c r="AB120" i="4"/>
  <c r="AA121" i="4"/>
  <c r="AB121" i="4"/>
  <c r="AA122" i="4"/>
  <c r="AB122" i="4"/>
  <c r="AA123" i="4"/>
  <c r="AB123" i="4"/>
  <c r="AA124" i="4"/>
  <c r="AB124" i="4"/>
  <c r="AA125" i="4"/>
  <c r="AB125" i="4"/>
  <c r="AA126" i="4"/>
  <c r="AB126" i="4"/>
  <c r="AA127" i="4"/>
  <c r="AB127" i="4"/>
  <c r="AA128" i="4"/>
  <c r="AB128" i="4"/>
  <c r="AA129" i="4"/>
  <c r="AB129" i="4"/>
  <c r="AA130" i="4"/>
  <c r="AB130" i="4"/>
  <c r="AA131" i="4"/>
  <c r="AB131" i="4"/>
  <c r="AA132" i="4"/>
  <c r="AB132" i="4"/>
  <c r="AA133" i="4"/>
  <c r="AB133" i="4"/>
  <c r="AA134" i="4"/>
  <c r="AB134" i="4"/>
  <c r="AA135" i="4"/>
  <c r="AB135" i="4"/>
  <c r="AA136" i="4"/>
  <c r="AB136" i="4"/>
  <c r="AA137" i="4"/>
  <c r="AB137" i="4"/>
  <c r="M13" i="4" l="1"/>
  <c r="AB13" i="4" s="1"/>
  <c r="Z13" i="4"/>
  <c r="AA13" i="4" s="1"/>
  <c r="Y13" i="4"/>
  <c r="M12" i="4"/>
  <c r="AC12" i="4" s="1"/>
  <c r="S11" i="4"/>
  <c r="AB11" i="4" s="1"/>
  <c r="AC11" i="4" s="1"/>
  <c r="BA247" i="12"/>
  <c r="AT247" i="12"/>
  <c r="AR247" i="12"/>
  <c r="AQ247" i="12"/>
  <c r="AS247" i="12" s="1"/>
  <c r="AU247" i="12" s="1"/>
  <c r="AG247" i="12"/>
  <c r="AE247" i="12"/>
  <c r="AD247" i="12"/>
  <c r="AF247" i="12" s="1"/>
  <c r="AH247" i="12" s="1"/>
  <c r="T247" i="12"/>
  <c r="Q247" i="12"/>
  <c r="BA246" i="12"/>
  <c r="AT246" i="12"/>
  <c r="AR246" i="12"/>
  <c r="AQ246" i="12"/>
  <c r="AS246" i="12" s="1"/>
  <c r="AU246" i="12" s="1"/>
  <c r="AG246" i="12"/>
  <c r="AD246" i="12"/>
  <c r="T246" i="12"/>
  <c r="Q246" i="12"/>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AF227" i="12" s="1"/>
  <c r="T227" i="12"/>
  <c r="R227" i="12"/>
  <c r="Q227" i="12"/>
  <c r="BA226" i="12"/>
  <c r="AT226" i="12"/>
  <c r="AR226" i="12"/>
  <c r="AQ226" i="12"/>
  <c r="AS226" i="12" s="1"/>
  <c r="AU226" i="12" s="1"/>
  <c r="AG226" i="12"/>
  <c r="AE226" i="12"/>
  <c r="AD226" i="12"/>
  <c r="AF226" i="12" s="1"/>
  <c r="AH226" i="12" s="1"/>
  <c r="T226" i="12"/>
  <c r="R226" i="12"/>
  <c r="Q226" i="12"/>
  <c r="S226" i="12" s="1"/>
  <c r="BA225" i="12"/>
  <c r="AT225" i="12"/>
  <c r="AR225" i="12"/>
  <c r="AQ225" i="12"/>
  <c r="AS225" i="12" s="1"/>
  <c r="AU225" i="12" s="1"/>
  <c r="AG225" i="12"/>
  <c r="AE225" i="12"/>
  <c r="AD225" i="12"/>
  <c r="AF225" i="12" s="1"/>
  <c r="AH225" i="12" s="1"/>
  <c r="T225" i="12"/>
  <c r="R225" i="12"/>
  <c r="Q225" i="12"/>
  <c r="S225" i="12" s="1"/>
  <c r="AV225" i="12" s="1"/>
  <c r="AW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S223" i="12" s="1"/>
  <c r="AU223" i="12" s="1"/>
  <c r="AG223" i="12"/>
  <c r="AE223" i="12"/>
  <c r="AD223" i="12"/>
  <c r="AF223" i="12" s="1"/>
  <c r="AH223" i="12" s="1"/>
  <c r="T223" i="12"/>
  <c r="R223" i="12"/>
  <c r="Q223" i="12"/>
  <c r="BA222" i="12"/>
  <c r="AT222" i="12"/>
  <c r="AR222" i="12"/>
  <c r="AQ222" i="12"/>
  <c r="AS222" i="12" s="1"/>
  <c r="AU222" i="12" s="1"/>
  <c r="AG222" i="12"/>
  <c r="AE222" i="12"/>
  <c r="AD222" i="12"/>
  <c r="AF222" i="12" s="1"/>
  <c r="AH222" i="12" s="1"/>
  <c r="T222" i="12"/>
  <c r="R222" i="12"/>
  <c r="Q222" i="12"/>
  <c r="S222" i="12" s="1"/>
  <c r="BA221" i="12"/>
  <c r="AG221" i="12"/>
  <c r="AE221" i="12"/>
  <c r="AD221" i="12"/>
  <c r="AF221" i="12" s="1"/>
  <c r="AH221" i="12" s="1"/>
  <c r="T221" i="12"/>
  <c r="R221" i="12"/>
  <c r="Q221" i="12"/>
  <c r="S221" i="12" s="1"/>
  <c r="AV221" i="12" s="1"/>
  <c r="AW221" i="12" s="1"/>
  <c r="BA220" i="12"/>
  <c r="AG220" i="12"/>
  <c r="AE220" i="12"/>
  <c r="AD220" i="12"/>
  <c r="AF220" i="12" s="1"/>
  <c r="AH220" i="12" s="1"/>
  <c r="T220" i="12"/>
  <c r="R220" i="12"/>
  <c r="Q220" i="12"/>
  <c r="S220" i="12" s="1"/>
  <c r="AV220" i="12" s="1"/>
  <c r="AW220" i="12" s="1"/>
  <c r="BA219" i="12"/>
  <c r="AG219" i="12"/>
  <c r="AE219" i="12"/>
  <c r="AD219" i="12"/>
  <c r="AF219" i="12" s="1"/>
  <c r="AH219" i="12" s="1"/>
  <c r="T219" i="12"/>
  <c r="R219" i="12"/>
  <c r="Q219" i="12"/>
  <c r="S219" i="12" s="1"/>
  <c r="AV219" i="12" s="1"/>
  <c r="AW219" i="12" s="1"/>
  <c r="BA218" i="12"/>
  <c r="AT218" i="12"/>
  <c r="AR218" i="12"/>
  <c r="AQ218" i="12"/>
  <c r="AS218" i="12" s="1"/>
  <c r="AU218" i="12" s="1"/>
  <c r="AG218" i="12"/>
  <c r="AE218" i="12"/>
  <c r="AD218" i="12"/>
  <c r="T218" i="12"/>
  <c r="R218" i="12"/>
  <c r="Q218" i="12"/>
  <c r="S218" i="12" s="1"/>
  <c r="BA217" i="12"/>
  <c r="AT217" i="12"/>
  <c r="AR217" i="12"/>
  <c r="AQ217" i="12"/>
  <c r="AS217" i="12" s="1"/>
  <c r="AU217" i="12" s="1"/>
  <c r="AG217" i="12"/>
  <c r="AE217" i="12"/>
  <c r="AD217" i="12"/>
  <c r="AF217" i="12" s="1"/>
  <c r="AH217" i="12" s="1"/>
  <c r="T217" i="12"/>
  <c r="R217" i="12"/>
  <c r="Q217" i="12"/>
  <c r="S217" i="12" s="1"/>
  <c r="AV217" i="12" s="1"/>
  <c r="AW217" i="12" s="1"/>
  <c r="AF216" i="12"/>
  <c r="AF215" i="12"/>
  <c r="AF214" i="12"/>
  <c r="AF213" i="12"/>
  <c r="BA211" i="12"/>
  <c r="AG211" i="12"/>
  <c r="AD211" i="12"/>
  <c r="T211" i="12"/>
  <c r="Q211" i="12"/>
  <c r="R211" i="12" s="1"/>
  <c r="S211" i="12" s="1"/>
  <c r="BA210" i="12"/>
  <c r="AG210" i="12"/>
  <c r="AD210" i="12"/>
  <c r="T210" i="12"/>
  <c r="Q210" i="12"/>
  <c r="BA209" i="12"/>
  <c r="AG209" i="12"/>
  <c r="AD209" i="12"/>
  <c r="T209" i="12"/>
  <c r="Q209" i="12"/>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AG201" i="12"/>
  <c r="AD201" i="12"/>
  <c r="AE201" i="12" s="1"/>
  <c r="AF201" i="12" s="1"/>
  <c r="AH201" i="12" s="1"/>
  <c r="T201" i="12"/>
  <c r="Q201" i="12"/>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AG191" i="12"/>
  <c r="AD191" i="12"/>
  <c r="T191" i="12"/>
  <c r="Q191" i="12"/>
  <c r="R191" i="12" s="1"/>
  <c r="S191" i="12" s="1"/>
  <c r="BA190" i="12"/>
  <c r="AT190" i="12"/>
  <c r="AQ190" i="12"/>
  <c r="AR190" i="12" s="1"/>
  <c r="AS190" i="12" s="1"/>
  <c r="AU190" i="12" s="1"/>
  <c r="AG190" i="12"/>
  <c r="AD190" i="12"/>
  <c r="T190" i="12"/>
  <c r="Q190" i="12"/>
  <c r="R190" i="12" s="1"/>
  <c r="S190" i="12" s="1"/>
  <c r="BA189" i="12"/>
  <c r="AT189" i="12"/>
  <c r="AQ189" i="12"/>
  <c r="AG189" i="12"/>
  <c r="AD189" i="12"/>
  <c r="T189" i="12"/>
  <c r="Q189" i="12"/>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AG156" i="12"/>
  <c r="AD156" i="12"/>
  <c r="T156" i="12"/>
  <c r="Q156" i="12"/>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AG144" i="12"/>
  <c r="AD144" i="12"/>
  <c r="T144" i="12"/>
  <c r="Q144" i="12"/>
  <c r="R144" i="12" s="1"/>
  <c r="S144" i="12" s="1"/>
  <c r="BA143" i="12"/>
  <c r="AT143" i="12"/>
  <c r="AR143" i="12"/>
  <c r="AQ143" i="12"/>
  <c r="AS143" i="12" s="1"/>
  <c r="AU143" i="12" s="1"/>
  <c r="AG143" i="12"/>
  <c r="AD143" i="12"/>
  <c r="AE143" i="12" s="1"/>
  <c r="AF143" i="12" s="1"/>
  <c r="AH143" i="12" s="1"/>
  <c r="T143" i="12"/>
  <c r="R143" i="12"/>
  <c r="S143" i="12" s="1"/>
  <c r="AV143" i="12" s="1"/>
  <c r="AW143" i="12" s="1"/>
  <c r="BA142" i="12"/>
  <c r="AT142" i="12"/>
  <c r="AR142" i="12"/>
  <c r="AQ142" i="12"/>
  <c r="AG142" i="12"/>
  <c r="AD142" i="12"/>
  <c r="T142" i="12"/>
  <c r="Q142" i="12"/>
  <c r="BA141" i="12"/>
  <c r="AT141" i="12"/>
  <c r="AR141" i="12"/>
  <c r="AQ141" i="12"/>
  <c r="AS141" i="12" s="1"/>
  <c r="AU141" i="12" s="1"/>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AG138" i="12"/>
  <c r="AE138" i="12"/>
  <c r="AD138" i="12"/>
  <c r="AF138" i="12" s="1"/>
  <c r="AH138" i="12" s="1"/>
  <c r="T138" i="12"/>
  <c r="R138" i="12"/>
  <c r="Q138" i="12"/>
  <c r="S138" i="12" s="1"/>
  <c r="AF137" i="12"/>
  <c r="BA136" i="12"/>
  <c r="AT136" i="12"/>
  <c r="AQ136" i="12"/>
  <c r="AG136" i="12"/>
  <c r="AD136" i="12"/>
  <c r="AE136" i="12" s="1"/>
  <c r="T136" i="12"/>
  <c r="Q136" i="12"/>
  <c r="BA135" i="12"/>
  <c r="AT135" i="12"/>
  <c r="AR135" i="12"/>
  <c r="AQ135" i="12"/>
  <c r="AS135" i="12" s="1"/>
  <c r="AU135" i="12" s="1"/>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S117" i="12" s="1"/>
  <c r="AU117" i="12" s="1"/>
  <c r="AG117" i="12"/>
  <c r="AD117" i="12"/>
  <c r="T117" i="12"/>
  <c r="Q117" i="12"/>
  <c r="R117" i="12" s="1"/>
  <c r="S117" i="12" s="1"/>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AV66" i="12" s="1"/>
  <c r="AW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R58" i="12" s="1"/>
  <c r="S58" i="12" s="1"/>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R46" i="12" s="1"/>
  <c r="AS46" i="12" s="1"/>
  <c r="AU46" i="12" s="1"/>
  <c r="AG46" i="12"/>
  <c r="AD46" i="12"/>
  <c r="AE46" i="12" s="1"/>
  <c r="AF46" i="12" s="1"/>
  <c r="AH46" i="12" s="1"/>
  <c r="T46" i="12"/>
  <c r="Q46" i="12"/>
  <c r="AF45" i="12"/>
  <c r="AF44" i="12"/>
  <c r="AF43" i="12"/>
  <c r="AF42" i="12"/>
  <c r="AF41" i="12"/>
  <c r="AF40" i="12"/>
  <c r="AF39" i="12"/>
  <c r="AF38" i="12"/>
  <c r="AF37" i="12"/>
  <c r="AF36" i="12"/>
  <c r="AF35" i="12"/>
  <c r="AF34" i="12"/>
  <c r="AF33" i="12"/>
  <c r="AF32" i="12"/>
  <c r="AF31" i="12"/>
  <c r="AG30" i="12"/>
  <c r="AE30" i="12"/>
  <c r="AF30" i="12" s="1"/>
  <c r="Q30" i="12"/>
  <c r="R30" i="12" s="1"/>
  <c r="AF29" i="12"/>
  <c r="AF28" i="12"/>
  <c r="BA27" i="12"/>
  <c r="AT27" i="12"/>
  <c r="AQ27" i="12"/>
  <c r="AR27" i="12" s="1"/>
  <c r="AS27" i="12" s="1"/>
  <c r="AU27" i="12" s="1"/>
  <c r="AG27" i="12"/>
  <c r="AD27" i="12"/>
  <c r="AE27" i="12" s="1"/>
  <c r="AF27" i="12" s="1"/>
  <c r="AH27" i="12" s="1"/>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AG11" i="12"/>
  <c r="AD11" i="12"/>
  <c r="AE11" i="12" s="1"/>
  <c r="AF11" i="12" s="1"/>
  <c r="AH11" i="12" s="1"/>
  <c r="T11" i="12"/>
  <c r="Q11" i="12"/>
  <c r="BA10" i="12"/>
  <c r="AT10" i="12"/>
  <c r="AR10" i="12"/>
  <c r="AQ10" i="12"/>
  <c r="AG10" i="12"/>
  <c r="AE10" i="12"/>
  <c r="AD10" i="12"/>
  <c r="AF10" i="12" s="1"/>
  <c r="AH10" i="12" s="1"/>
  <c r="T10" i="12"/>
  <c r="Q10" i="12"/>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AG4" i="12"/>
  <c r="AD4" i="12"/>
  <c r="T4" i="12"/>
  <c r="Q4" i="12"/>
  <c r="R4" i="12" s="1"/>
  <c r="S4" i="12" s="1"/>
  <c r="BA3" i="12"/>
  <c r="AT3" i="12"/>
  <c r="AQ3" i="12"/>
  <c r="AG3" i="12"/>
  <c r="AD3" i="12"/>
  <c r="T3" i="12"/>
  <c r="Q3" i="12"/>
  <c r="R3" i="12" s="1"/>
  <c r="S3" i="12" s="1"/>
  <c r="AC13" i="4" l="1"/>
  <c r="AR4" i="12"/>
  <c r="AS4" i="12" s="1"/>
  <c r="AU4" i="12" s="1"/>
  <c r="U5" i="12"/>
  <c r="AE5" i="12"/>
  <c r="AF5" i="12" s="1"/>
  <c r="AF7" i="12"/>
  <c r="AR8" i="12"/>
  <c r="AS8" i="12" s="1"/>
  <c r="AS9" i="12"/>
  <c r="AU9" i="12" s="1"/>
  <c r="AS10" i="12"/>
  <c r="AU10" i="12" s="1"/>
  <c r="R11" i="12"/>
  <c r="S11" i="12" s="1"/>
  <c r="AS11" i="12"/>
  <c r="AU11" i="12" s="1"/>
  <c r="AR12" i="12"/>
  <c r="AS12" i="12" s="1"/>
  <c r="AU12" i="12" s="1"/>
  <c r="AG13" i="12"/>
  <c r="AV13" i="12"/>
  <c r="AW13" i="12" s="1"/>
  <c r="R15" i="12"/>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S108" i="12"/>
  <c r="AV109" i="12"/>
  <c r="AW109" i="12" s="1"/>
  <c r="AG109" i="12"/>
  <c r="R110" i="12"/>
  <c r="S110" i="12" s="1"/>
  <c r="AR110" i="12"/>
  <c r="AS110" i="12" s="1"/>
  <c r="AU110" i="12" s="1"/>
  <c r="AX110" i="12" s="1"/>
  <c r="R112" i="12"/>
  <c r="S112" i="12" s="1"/>
  <c r="AR112" i="12"/>
  <c r="AS112" i="12" s="1"/>
  <c r="AU112" i="12" s="1"/>
  <c r="AR114" i="12"/>
  <c r="AS114" i="12" s="1"/>
  <c r="AU114" i="12" s="1"/>
  <c r="R116" i="12"/>
  <c r="S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AE139" i="12"/>
  <c r="AE140" i="12"/>
  <c r="AF140" i="12"/>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R200" i="12"/>
  <c r="AE200" i="12"/>
  <c r="R201" i="12"/>
  <c r="S201" i="12" s="1"/>
  <c r="AE202" i="12"/>
  <c r="AF202" i="12" s="1"/>
  <c r="R204" i="12"/>
  <c r="S204" i="12" s="1"/>
  <c r="AE204" i="12"/>
  <c r="AF204" i="12" s="1"/>
  <c r="AH204" i="12" s="1"/>
  <c r="AE205" i="12"/>
  <c r="AF205" i="12" s="1"/>
  <c r="AH205" i="12" s="1"/>
  <c r="AE206" i="12"/>
  <c r="AF206" i="12" s="1"/>
  <c r="AH206" i="12" s="1"/>
  <c r="R207" i="12"/>
  <c r="S207" i="12" s="1"/>
  <c r="AV207" i="12" s="1"/>
  <c r="AW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R243" i="12"/>
  <c r="S243" i="12" s="1"/>
  <c r="AR243" i="12"/>
  <c r="AS243" i="12" s="1"/>
  <c r="AU243" i="12" s="1"/>
  <c r="AR244" i="12"/>
  <c r="AS244" i="12" s="1"/>
  <c r="AU244" i="12" s="1"/>
  <c r="R246" i="12"/>
  <c r="S246" i="12" s="1"/>
  <c r="R247" i="12"/>
  <c r="S247" i="12" s="1"/>
  <c r="AV247" i="12" s="1"/>
  <c r="AW247" i="12" s="1"/>
  <c r="U114" i="12"/>
  <c r="U116" i="12"/>
  <c r="U3" i="12"/>
  <c r="U97" i="12"/>
  <c r="U99" i="12"/>
  <c r="U118" i="12"/>
  <c r="U123" i="12"/>
  <c r="U202" i="12"/>
  <c r="U7" i="12"/>
  <c r="U59" i="12"/>
  <c r="U101" i="12"/>
  <c r="U103" i="12"/>
  <c r="AX103" i="12" s="1"/>
  <c r="U108" i="12"/>
  <c r="U54" i="12"/>
  <c r="AX54" i="12" s="1"/>
  <c r="AH5" i="12"/>
  <c r="U67" i="12"/>
  <c r="AX67" i="12" s="1"/>
  <c r="U82" i="12"/>
  <c r="U11" i="12"/>
  <c r="AX11" i="12" s="1"/>
  <c r="U72" i="12"/>
  <c r="AX72" i="12" s="1"/>
  <c r="U65" i="12"/>
  <c r="U111" i="12"/>
  <c r="S18" i="12"/>
  <c r="U18" i="12"/>
  <c r="T18" i="12"/>
  <c r="U66" i="12"/>
  <c r="AX66" i="12" s="1"/>
  <c r="U85" i="12"/>
  <c r="U113" i="12"/>
  <c r="U14" i="12"/>
  <c r="U96" i="12"/>
  <c r="U98" i="12"/>
  <c r="U107" i="12"/>
  <c r="U115" i="12"/>
  <c r="U4" i="12"/>
  <c r="U75" i="12"/>
  <c r="U100" i="12"/>
  <c r="U102" i="12"/>
  <c r="U117" i="12"/>
  <c r="U6" i="12"/>
  <c r="U8" i="12"/>
  <c r="U5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V9" i="12" s="1"/>
  <c r="AW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U230" i="12"/>
  <c r="AX230" i="12" s="1"/>
  <c r="AR3" i="12"/>
  <c r="AS3" i="12" s="1"/>
  <c r="AU3" i="12" s="1"/>
  <c r="R10" i="12"/>
  <c r="S10" i="12" s="1"/>
  <c r="AV10" i="12" s="1"/>
  <c r="AW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242" i="12"/>
  <c r="U125" i="12"/>
  <c r="U140" i="12"/>
  <c r="U183" i="12"/>
  <c r="AY187" i="12"/>
  <c r="AH193" i="12"/>
  <c r="U195" i="12"/>
  <c r="U219" i="12"/>
  <c r="AX219" i="12" s="1"/>
  <c r="AH228" i="12"/>
  <c r="AR122" i="12"/>
  <c r="AS122" i="12" s="1"/>
  <c r="AU122" i="12" s="1"/>
  <c r="U157" i="12"/>
  <c r="U221" i="12"/>
  <c r="AX221" i="12" s="1"/>
  <c r="U237" i="12"/>
  <c r="R244" i="12"/>
  <c r="S244" i="12" s="1"/>
  <c r="U247" i="12"/>
  <c r="AX247" i="12" s="1"/>
  <c r="AE14" i="12"/>
  <c r="AF14" i="12" s="1"/>
  <c r="S15" i="12"/>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223" i="12"/>
  <c r="AX223" i="12" s="1"/>
  <c r="U176" i="12"/>
  <c r="U191" i="12"/>
  <c r="AH227" i="12"/>
  <c r="R17" i="12"/>
  <c r="U17" i="12" s="1"/>
  <c r="U128" i="12"/>
  <c r="R142" i="12"/>
  <c r="S142" i="12" s="1"/>
  <c r="AV142" i="12" s="1"/>
  <c r="AW142" i="12" s="1"/>
  <c r="AE145" i="12"/>
  <c r="AF145" i="12" s="1"/>
  <c r="AH145" i="12" s="1"/>
  <c r="U246" i="12"/>
  <c r="U188" i="12"/>
  <c r="U203" i="12"/>
  <c r="U229" i="12"/>
  <c r="R210" i="12"/>
  <c r="S210" i="12" s="1"/>
  <c r="AR5" i="12"/>
  <c r="AS5" i="12" s="1"/>
  <c r="AE15" i="12"/>
  <c r="AF15" i="12" s="1"/>
  <c r="S16" i="12"/>
  <c r="AV16" i="12" s="1"/>
  <c r="AW16" i="12" s="1"/>
  <c r="AR19" i="12"/>
  <c r="AS19" i="12" s="1"/>
  <c r="AU19" i="12" s="1"/>
  <c r="AR58" i="12"/>
  <c r="AS58" i="12" s="1"/>
  <c r="R87" i="12"/>
  <c r="S87" i="12" s="1"/>
  <c r="AV87" i="12" s="1"/>
  <c r="AW87" i="12" s="1"/>
  <c r="R91" i="12"/>
  <c r="S91" i="12" s="1"/>
  <c r="AV91" i="12" s="1"/>
  <c r="AW91" i="12" s="1"/>
  <c r="R95" i="12"/>
  <c r="S95" i="12" s="1"/>
  <c r="AV95" i="12" s="1"/>
  <c r="AW95" i="12" s="1"/>
  <c r="AE98" i="12"/>
  <c r="AF98" i="12" s="1"/>
  <c r="AE102" i="12"/>
  <c r="AF102" i="12" s="1"/>
  <c r="AE107" i="12"/>
  <c r="AF107" i="12" s="1"/>
  <c r="AE112" i="12"/>
  <c r="AF112" i="12" s="1"/>
  <c r="AE116" i="12"/>
  <c r="AF116" i="12" s="1"/>
  <c r="R134" i="12"/>
  <c r="S134" i="12" s="1"/>
  <c r="AV134" i="12" s="1"/>
  <c r="AW134" i="12" s="1"/>
  <c r="U180" i="12"/>
  <c r="AR195" i="12"/>
  <c r="AS195" i="12" s="1"/>
  <c r="U220" i="12"/>
  <c r="AX220" i="12" s="1"/>
  <c r="U241" i="12"/>
  <c r="AX241" i="12" s="1"/>
  <c r="R12" i="12"/>
  <c r="S12" i="12" s="1"/>
  <c r="AV12" i="12" s="1"/>
  <c r="AW12" i="12" s="1"/>
  <c r="AR14" i="12"/>
  <c r="AS14" i="12" s="1"/>
  <c r="AU14" i="12" s="1"/>
  <c r="T16" i="12"/>
  <c r="R55" i="12"/>
  <c r="S55" i="12" s="1"/>
  <c r="AV55" i="12" s="1"/>
  <c r="AW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66" i="12"/>
  <c r="U186" i="12"/>
  <c r="U207" i="12"/>
  <c r="AX207" i="12" s="1"/>
  <c r="AF123" i="12"/>
  <c r="AR125" i="12"/>
  <c r="AS125" i="12" s="1"/>
  <c r="U156" i="12"/>
  <c r="U194" i="12"/>
  <c r="U217" i="12"/>
  <c r="AX217" i="12" s="1"/>
  <c r="AE149" i="12"/>
  <c r="AF149" i="12" s="1"/>
  <c r="AH149" i="12" s="1"/>
  <c r="AE153" i="12"/>
  <c r="AF153" i="12" s="1"/>
  <c r="AH153" i="12" s="1"/>
  <c r="AR162" i="12"/>
  <c r="AS162" i="12" s="1"/>
  <c r="AU162" i="12" s="1"/>
  <c r="AR167" i="12"/>
  <c r="AS167" i="12" s="1"/>
  <c r="AU167" i="12" s="1"/>
  <c r="R170" i="12"/>
  <c r="S170" i="12" s="1"/>
  <c r="AV170" i="12" s="1"/>
  <c r="AW170" i="12" s="1"/>
  <c r="R174" i="12"/>
  <c r="S174" i="12" s="1"/>
  <c r="AV174" i="12" s="1"/>
  <c r="AW174" i="12" s="1"/>
  <c r="R178" i="12"/>
  <c r="S178" i="12" s="1"/>
  <c r="AV178" i="12" s="1"/>
  <c r="AW178" i="12" s="1"/>
  <c r="R182" i="12"/>
  <c r="S182" i="12" s="1"/>
  <c r="AV182" i="12" s="1"/>
  <c r="AW182" i="12" s="1"/>
  <c r="AR189" i="12"/>
  <c r="AS189" i="12" s="1"/>
  <c r="AU189" i="12" s="1"/>
  <c r="R209" i="12"/>
  <c r="S209" i="12" s="1"/>
  <c r="AV209" i="12" s="1"/>
  <c r="AW209" i="12" s="1"/>
  <c r="R239" i="12"/>
  <c r="S239" i="12" s="1"/>
  <c r="AV239" i="12" s="1"/>
  <c r="AW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V151" i="12" s="1"/>
  <c r="AW151" i="12" s="1"/>
  <c r="AR157" i="12"/>
  <c r="AS157" i="12" s="1"/>
  <c r="AV157" i="12" s="1"/>
  <c r="AW157" i="12" s="1"/>
  <c r="R160" i="12"/>
  <c r="S160" i="12" s="1"/>
  <c r="AV160" i="12" s="1"/>
  <c r="AW160" i="12" s="1"/>
  <c r="AE165" i="12"/>
  <c r="AF165" i="12" s="1"/>
  <c r="AV165" i="12" s="1"/>
  <c r="AW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V205" i="12" s="1"/>
  <c r="AW205" i="12" s="1"/>
  <c r="AE210" i="12"/>
  <c r="AF210" i="12" s="1"/>
  <c r="AH210" i="12" s="1"/>
  <c r="AR232" i="12"/>
  <c r="AS232" i="12" s="1"/>
  <c r="AU232" i="12" s="1"/>
  <c r="R236" i="12"/>
  <c r="S236" i="12" s="1"/>
  <c r="AV236" i="12" s="1"/>
  <c r="AW236" i="12" s="1"/>
  <c r="R240" i="12"/>
  <c r="S240" i="12" s="1"/>
  <c r="AV240" i="12" s="1"/>
  <c r="AW240" i="12" s="1"/>
  <c r="AE244" i="12"/>
  <c r="AF244" i="12" s="1"/>
  <c r="AH244" i="12" s="1"/>
  <c r="S139" i="12"/>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V229" i="12" s="1"/>
  <c r="AW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AV126" i="12" s="1"/>
  <c r="AW126" i="12" s="1"/>
  <c r="R136" i="12"/>
  <c r="S136" i="12" s="1"/>
  <c r="AV136" i="12" s="1"/>
  <c r="AW136" i="12" s="1"/>
  <c r="AR138" i="12"/>
  <c r="AS138" i="12" s="1"/>
  <c r="AF139" i="12"/>
  <c r="R145" i="12"/>
  <c r="S145" i="12" s="1"/>
  <c r="AV145" i="12" s="1"/>
  <c r="AW145" i="12" s="1"/>
  <c r="R149" i="12"/>
  <c r="S149" i="12" s="1"/>
  <c r="AV149" i="12" s="1"/>
  <c r="AW149" i="12" s="1"/>
  <c r="R153" i="12"/>
  <c r="S153" i="12" s="1"/>
  <c r="AV153" i="12" s="1"/>
  <c r="AW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V144" i="12" s="1"/>
  <c r="AW144" i="12" s="1"/>
  <c r="AE148" i="12"/>
  <c r="AF148" i="12" s="1"/>
  <c r="AV148" i="12" s="1"/>
  <c r="AW148" i="12" s="1"/>
  <c r="AE152" i="12"/>
  <c r="AF152" i="12" s="1"/>
  <c r="AE161" i="12"/>
  <c r="AF161" i="12" s="1"/>
  <c r="AV161" i="12" s="1"/>
  <c r="AW161" i="12" s="1"/>
  <c r="AR166" i="12"/>
  <c r="AS166" i="12" s="1"/>
  <c r="R169" i="12"/>
  <c r="S169" i="12" s="1"/>
  <c r="AV169" i="12" s="1"/>
  <c r="AW169" i="12" s="1"/>
  <c r="R173" i="12"/>
  <c r="S173" i="12" s="1"/>
  <c r="AV173" i="12" s="1"/>
  <c r="AW173" i="12" s="1"/>
  <c r="R177" i="12"/>
  <c r="S177" i="12" s="1"/>
  <c r="AV177" i="12" s="1"/>
  <c r="AW177" i="12" s="1"/>
  <c r="R181" i="12"/>
  <c r="S181" i="12" s="1"/>
  <c r="AV181" i="12" s="1"/>
  <c r="AW181" i="12" s="1"/>
  <c r="AR188" i="12"/>
  <c r="AS188" i="12" s="1"/>
  <c r="AV188" i="12" s="1"/>
  <c r="AW188" i="12" s="1"/>
  <c r="R238" i="12"/>
  <c r="S238" i="12" s="1"/>
  <c r="AV238" i="12" s="1"/>
  <c r="AW238" i="12" s="1"/>
  <c r="AE242" i="12"/>
  <c r="AF242" i="12" s="1"/>
  <c r="AH242" i="12" s="1"/>
  <c r="AE246" i="12"/>
  <c r="AF246" i="12" s="1"/>
  <c r="AH246" i="12" s="1"/>
  <c r="D12" i="4"/>
  <c r="D15" i="4"/>
  <c r="H15" i="4"/>
  <c r="I15" i="4"/>
  <c r="J15" i="4" s="1"/>
  <c r="K15" i="4" s="1"/>
  <c r="D16" i="4"/>
  <c r="H16" i="4"/>
  <c r="I16" i="4"/>
  <c r="J16" i="4" s="1"/>
  <c r="D19" i="4"/>
  <c r="E19" i="4"/>
  <c r="G19" i="4"/>
  <c r="H19" i="4"/>
  <c r="I19" i="4"/>
  <c r="J19" i="4" s="1"/>
  <c r="K19" i="4" s="1"/>
  <c r="D20" i="4"/>
  <c r="E20" i="4"/>
  <c r="G20" i="4"/>
  <c r="H20" i="4"/>
  <c r="I20" i="4"/>
  <c r="J20" i="4" s="1"/>
  <c r="D21" i="4"/>
  <c r="E21" i="4"/>
  <c r="G21" i="4"/>
  <c r="H21" i="4"/>
  <c r="I21" i="4"/>
  <c r="J21" i="4"/>
  <c r="D22" i="4"/>
  <c r="E22" i="4"/>
  <c r="G22" i="4"/>
  <c r="H22" i="4"/>
  <c r="I22" i="4"/>
  <c r="J22" i="4" s="1"/>
  <c r="K22" i="4" s="1"/>
  <c r="D23" i="4"/>
  <c r="E23" i="4"/>
  <c r="G23" i="4"/>
  <c r="H23" i="4"/>
  <c r="I23" i="4"/>
  <c r="J23" i="4"/>
  <c r="K23" i="4" s="1"/>
  <c r="D24" i="4"/>
  <c r="E24" i="4"/>
  <c r="G24" i="4"/>
  <c r="H24" i="4"/>
  <c r="I24" i="4"/>
  <c r="J24" i="4" s="1"/>
  <c r="D25" i="4"/>
  <c r="E25" i="4"/>
  <c r="G25" i="4"/>
  <c r="H25" i="4"/>
  <c r="I25" i="4"/>
  <c r="J25" i="4" s="1"/>
  <c r="D26" i="4"/>
  <c r="E26" i="4"/>
  <c r="G26" i="4"/>
  <c r="H26" i="4"/>
  <c r="I26" i="4"/>
  <c r="J26" i="4"/>
  <c r="K26" i="4"/>
  <c r="D27" i="4"/>
  <c r="E27" i="4"/>
  <c r="G27" i="4"/>
  <c r="H27" i="4"/>
  <c r="I27" i="4"/>
  <c r="J27" i="4" s="1"/>
  <c r="D28" i="4"/>
  <c r="E28" i="4"/>
  <c r="G28" i="4"/>
  <c r="H28" i="4"/>
  <c r="I28" i="4"/>
  <c r="J28" i="4" s="1"/>
  <c r="K28" i="4" s="1"/>
  <c r="D29" i="4"/>
  <c r="E29" i="4"/>
  <c r="G29" i="4"/>
  <c r="H29" i="4"/>
  <c r="I29" i="4"/>
  <c r="J29" i="4" s="1"/>
  <c r="D30" i="4"/>
  <c r="E30" i="4"/>
  <c r="G30" i="4"/>
  <c r="H30" i="4"/>
  <c r="I30" i="4"/>
  <c r="J30" i="4" s="1"/>
  <c r="K30" i="4" s="1"/>
  <c r="D31" i="4"/>
  <c r="E31" i="4"/>
  <c r="G31" i="4"/>
  <c r="H31" i="4"/>
  <c r="I31" i="4"/>
  <c r="J31" i="4" s="1"/>
  <c r="D32" i="4"/>
  <c r="E32" i="4"/>
  <c r="G32" i="4"/>
  <c r="H32" i="4"/>
  <c r="I32" i="4"/>
  <c r="J32" i="4" s="1"/>
  <c r="D33" i="4"/>
  <c r="E33" i="4"/>
  <c r="G33" i="4"/>
  <c r="H33" i="4"/>
  <c r="I33" i="4"/>
  <c r="K21" i="4" l="1"/>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V123" i="12"/>
  <c r="AW123" i="12" s="1"/>
  <c r="AV127" i="12"/>
  <c r="AW127" i="12" s="1"/>
  <c r="AV210" i="12"/>
  <c r="AW210" i="12" s="1"/>
  <c r="AX246" i="12"/>
  <c r="AX191" i="12"/>
  <c r="AV115" i="12"/>
  <c r="AW115" i="12" s="1"/>
  <c r="AV111" i="12"/>
  <c r="AW111" i="12" s="1"/>
  <c r="AV101" i="12"/>
  <c r="AW101" i="12" s="1"/>
  <c r="AH97" i="12"/>
  <c r="AV97" i="12"/>
  <c r="AW97" i="12" s="1"/>
  <c r="AV94" i="12"/>
  <c r="AW94" i="12" s="1"/>
  <c r="AV90" i="12"/>
  <c r="AW90" i="12" s="1"/>
  <c r="AV14" i="12"/>
  <c r="AW14" i="12" s="1"/>
  <c r="AV244" i="12"/>
  <c r="AW244" i="12" s="1"/>
  <c r="AX242" i="12"/>
  <c r="AH114" i="12"/>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V92" i="12"/>
  <c r="AW92" i="12" s="1"/>
  <c r="AV88" i="12"/>
  <c r="AW88" i="12" s="1"/>
  <c r="AU85" i="12"/>
  <c r="AV85" i="12"/>
  <c r="AW85" i="12" s="1"/>
  <c r="AV3" i="12"/>
  <c r="AW3" i="12" s="1"/>
  <c r="AX119" i="12"/>
  <c r="AX100" i="12"/>
  <c r="AX96" i="12"/>
  <c r="AX85" i="12"/>
  <c r="AX123" i="12"/>
  <c r="AX118" i="12"/>
  <c r="AX97" i="12"/>
  <c r="AX114" i="12"/>
  <c r="AV246" i="12"/>
  <c r="AW246" i="12" s="1"/>
  <c r="AV243" i="12"/>
  <c r="AW243" i="12" s="1"/>
  <c r="U243" i="12"/>
  <c r="AV242" i="12"/>
  <c r="AW242" i="12" s="1"/>
  <c r="AU237" i="12"/>
  <c r="AX237" i="12" s="1"/>
  <c r="AV237" i="12"/>
  <c r="AW237" i="12" s="1"/>
  <c r="U232" i="12"/>
  <c r="AV232" i="12"/>
  <c r="AW232" i="12" s="1"/>
  <c r="AV230" i="12"/>
  <c r="AW230" i="12" s="1"/>
  <c r="AX228" i="12"/>
  <c r="U227" i="12"/>
  <c r="AX227" i="12" s="1"/>
  <c r="AV227" i="12"/>
  <c r="AW227" i="12" s="1"/>
  <c r="AH218" i="12"/>
  <c r="AV218" i="12"/>
  <c r="AW218" i="12" s="1"/>
  <c r="AX218" i="12"/>
  <c r="U204" i="12"/>
  <c r="AX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H184" i="12"/>
  <c r="AX184" i="12" s="1"/>
  <c r="AV184" i="12"/>
  <c r="AW184" i="12" s="1"/>
  <c r="AH183" i="12"/>
  <c r="AX183" i="12" s="1"/>
  <c r="AV183" i="12"/>
  <c r="AW183" i="12" s="1"/>
  <c r="AH180" i="12"/>
  <c r="AX180" i="12" s="1"/>
  <c r="AV180" i="12"/>
  <c r="AW180" i="12" s="1"/>
  <c r="AU176" i="12"/>
  <c r="AX176" i="12" s="1"/>
  <c r="AV176" i="12"/>
  <c r="AW176" i="12" s="1"/>
  <c r="AH172" i="12"/>
  <c r="AX172" i="12" s="1"/>
  <c r="AV172" i="12"/>
  <c r="AW172" i="12" s="1"/>
  <c r="AV166" i="12"/>
  <c r="AW166" i="12" s="1"/>
  <c r="AV156" i="12"/>
  <c r="AW156" i="12" s="1"/>
  <c r="AV152" i="12"/>
  <c r="AW152" i="12" s="1"/>
  <c r="U152" i="12"/>
  <c r="AH140" i="12"/>
  <c r="AX140" i="12" s="1"/>
  <c r="AV140" i="12"/>
  <c r="AW140" i="12" s="1"/>
  <c r="AG139" i="12"/>
  <c r="AH139" i="12"/>
  <c r="T139" i="12"/>
  <c r="U139" i="12"/>
  <c r="AX139" i="12" s="1"/>
  <c r="AX138" i="12"/>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V8" i="12"/>
  <c r="AW8" i="12" s="1"/>
  <c r="AH7" i="12"/>
  <c r="AV7" i="12"/>
  <c r="AW7" i="12" s="1"/>
  <c r="AV5" i="12"/>
  <c r="AW5" i="12" s="1"/>
  <c r="K31" i="4"/>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H116" i="12"/>
  <c r="AX116" i="12" s="1"/>
  <c r="U90" i="12"/>
  <c r="AX90" i="12" s="1"/>
  <c r="U162" i="12"/>
  <c r="AX162" i="12" s="1"/>
  <c r="AH165" i="12"/>
  <c r="AX165" i="12" s="1"/>
  <c r="AH112" i="12"/>
  <c r="AX112" i="12" s="1"/>
  <c r="AU82" i="12"/>
  <c r="AX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U156" i="12"/>
  <c r="AX156" i="12" s="1"/>
  <c r="U146" i="12"/>
  <c r="AX146" i="12" s="1"/>
  <c r="U209" i="12"/>
  <c r="AX209" i="12" s="1"/>
  <c r="AH208" i="12"/>
  <c r="AX208" i="12" s="1"/>
  <c r="U236" i="12"/>
  <c r="AX236" i="12" s="1"/>
  <c r="U91" i="12"/>
  <c r="AX91" i="12" s="1"/>
  <c r="AH148" i="12"/>
  <c r="AX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U10" i="12"/>
  <c r="AX10" i="12" s="1"/>
  <c r="AU69" i="12"/>
  <c r="AX69" i="12" s="1"/>
  <c r="T199" i="12"/>
  <c r="S199" i="12"/>
  <c r="AY184" i="12"/>
  <c r="AY85" i="12"/>
  <c r="U89" i="12"/>
  <c r="AX89" i="12" s="1"/>
  <c r="K16" i="4"/>
  <c r="AY208" i="12"/>
  <c r="AY204" i="12"/>
  <c r="AT199" i="12"/>
  <c r="AU199" i="12"/>
  <c r="AH152" i="12"/>
  <c r="AY66" i="12"/>
  <c r="AY99" i="12"/>
  <c r="AY246" i="12"/>
  <c r="AY139" i="12"/>
  <c r="AY241" i="12"/>
  <c r="AY191" i="12"/>
  <c r="U145" i="12"/>
  <c r="AX145" i="12" s="1"/>
  <c r="U51" i="12"/>
  <c r="AX51" i="12" s="1"/>
  <c r="AY218" i="12"/>
  <c r="AY183" i="12"/>
  <c r="AS15" i="12"/>
  <c r="AV15" i="12" s="1"/>
  <c r="AW15" i="12" s="1"/>
  <c r="AG173" i="12"/>
  <c r="T173" i="12"/>
  <c r="AY172" i="12"/>
  <c r="AS200" i="12"/>
  <c r="AV200" i="12" s="1"/>
  <c r="AW200" i="12" s="1"/>
  <c r="AY148" i="12"/>
  <c r="AY30" i="12"/>
  <c r="AU15" i="12"/>
  <c r="U210" i="12"/>
  <c r="AX210" i="12" s="1"/>
  <c r="AY222" i="12"/>
  <c r="AU200" i="12"/>
  <c r="AU18" i="12"/>
  <c r="AY226" i="12"/>
  <c r="U199" i="12"/>
  <c r="AY247" i="12"/>
  <c r="AY111" i="12"/>
  <c r="AY242" i="12"/>
  <c r="AY217" i="12"/>
  <c r="AY207" i="12"/>
  <c r="AY176" i="12"/>
  <c r="AS17" i="12"/>
  <c r="AY104" i="12"/>
  <c r="AY8" i="12"/>
  <c r="K32" i="4"/>
  <c r="AF199" i="12"/>
  <c r="AY219" i="12"/>
  <c r="AY69" i="12"/>
  <c r="K25" i="4"/>
  <c r="AU198" i="12"/>
  <c r="AT198" i="12"/>
  <c r="AS199" i="12"/>
  <c r="AY138" i="12"/>
  <c r="AY82" i="12"/>
  <c r="U141" i="12"/>
  <c r="AX141" i="12" s="1"/>
  <c r="K20" i="4"/>
  <c r="AH199" i="12"/>
  <c r="T17" i="12"/>
  <c r="S17" i="12"/>
  <c r="AV17" i="12" s="1"/>
  <c r="AW17" i="12" s="1"/>
  <c r="AY171" i="12"/>
  <c r="AY6" i="12"/>
  <c r="AY115" i="12"/>
  <c r="K27" i="4"/>
  <c r="AY140" i="12"/>
  <c r="AY20" i="12"/>
  <c r="AH16" i="12"/>
  <c r="AX16" i="12" s="1"/>
  <c r="AY108" i="12"/>
  <c r="AG15" i="12"/>
  <c r="AH15" i="12"/>
  <c r="AY221" i="12"/>
  <c r="U159" i="12"/>
  <c r="AX159" i="12" s="1"/>
  <c r="AU17" i="12"/>
  <c r="AX17" i="12" s="1"/>
  <c r="AY67" i="12"/>
  <c r="J33" i="4"/>
  <c r="K33" i="4" s="1"/>
  <c r="K29" i="4"/>
  <c r="AY186" i="12"/>
  <c r="AY190" i="12"/>
  <c r="AS18" i="12"/>
  <c r="AV18" i="12" s="1"/>
  <c r="AW18" i="12" s="1"/>
  <c r="AY193" i="12"/>
  <c r="AY228" i="12"/>
  <c r="AY112" i="12"/>
  <c r="K24" i="4"/>
  <c r="AX199" i="12" l="1"/>
  <c r="AV199" i="12"/>
  <c r="AW199" i="12" s="1"/>
  <c r="AX7" i="12"/>
  <c r="AY7" i="12" s="1"/>
  <c r="AX15" i="12"/>
  <c r="AX18" i="12"/>
  <c r="AX58" i="12"/>
  <c r="AX124" i="12"/>
  <c r="AX125" i="12"/>
  <c r="AX135" i="12"/>
  <c r="AX152" i="12"/>
  <c r="AX198" i="12"/>
  <c r="AX200" i="12"/>
  <c r="AX201" i="12"/>
  <c r="AX202" i="12"/>
  <c r="AY202" i="12" s="1"/>
  <c r="AX232" i="12"/>
  <c r="AX243" i="12"/>
  <c r="AY203" i="12"/>
  <c r="AY229" i="12"/>
  <c r="AY74" i="12"/>
  <c r="AY244" i="12"/>
  <c r="AY209" i="12"/>
  <c r="AY210" i="12"/>
  <c r="AY55" i="12"/>
  <c r="AY230" i="12"/>
  <c r="AY117" i="12"/>
  <c r="AY175" i="12"/>
  <c r="AY166" i="12"/>
  <c r="AY122" i="12"/>
  <c r="AY87" i="12"/>
  <c r="AY5" i="12"/>
  <c r="AY162" i="12"/>
  <c r="AY178" i="12"/>
  <c r="AY125"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35" i="12"/>
  <c r="AY118" i="12"/>
  <c r="AY227" i="12"/>
  <c r="AY180" i="12"/>
  <c r="AY58" i="12"/>
  <c r="AY59" i="12"/>
  <c r="AY98" i="12"/>
  <c r="AY165" i="12"/>
  <c r="AY18" i="12"/>
  <c r="AY145" i="12"/>
  <c r="AY142" i="12"/>
  <c r="AY91" i="12"/>
  <c r="AY95" i="12"/>
  <c r="AY124" i="12"/>
  <c r="AY103" i="12"/>
  <c r="AY194" i="12"/>
  <c r="AY211" i="12"/>
  <c r="AY102" i="12"/>
  <c r="AY205" i="12"/>
  <c r="AY56" i="12"/>
  <c r="AY94" i="12"/>
  <c r="AY3" i="12"/>
  <c r="AY14" i="12"/>
  <c r="AY200" i="12"/>
  <c r="AY179" i="12"/>
  <c r="AY60" i="12"/>
  <c r="AY152" i="12"/>
  <c r="AY157" i="12"/>
  <c r="AY150" i="12"/>
  <c r="AY107" i="12"/>
  <c r="AY123" i="12"/>
  <c r="AY65" i="12"/>
  <c r="AY133" i="12"/>
  <c r="AY88" i="12"/>
  <c r="AY232" i="12"/>
  <c r="AY238" i="12"/>
  <c r="AY113" i="12"/>
  <c r="AY225" i="12"/>
  <c r="AY223" i="12"/>
  <c r="AY119" i="12"/>
  <c r="M15" i="4"/>
  <c r="L15" i="4"/>
  <c r="N15" i="4"/>
  <c r="O15" i="4"/>
  <c r="R15" i="4" s="1"/>
  <c r="T15" i="4"/>
  <c r="U15" i="4"/>
  <c r="V15" i="4" s="1"/>
  <c r="L16" i="4"/>
  <c r="N16" i="4"/>
  <c r="O16" i="4"/>
  <c r="P16" i="4" s="1"/>
  <c r="T16" i="4"/>
  <c r="U16" i="4"/>
  <c r="V16" i="4" s="1"/>
  <c r="L19" i="4"/>
  <c r="N19" i="4"/>
  <c r="O19" i="4"/>
  <c r="P19" i="4" s="1"/>
  <c r="R19" i="4"/>
  <c r="T19" i="4"/>
  <c r="U19" i="4"/>
  <c r="V19" i="4" s="1"/>
  <c r="W19" i="4" s="1"/>
  <c r="X19" i="4"/>
  <c r="Y19" i="4"/>
  <c r="M20" i="4"/>
  <c r="L20" i="4"/>
  <c r="N20" i="4"/>
  <c r="O20" i="4"/>
  <c r="P20" i="4" s="1"/>
  <c r="T20" i="4"/>
  <c r="U20" i="4"/>
  <c r="V20" i="4" s="1"/>
  <c r="L21" i="4"/>
  <c r="N21" i="4"/>
  <c r="O21" i="4"/>
  <c r="P21" i="4" s="1"/>
  <c r="R21" i="4"/>
  <c r="T21" i="4"/>
  <c r="U21" i="4"/>
  <c r="V21" i="4" s="1"/>
  <c r="W21" i="4" s="1"/>
  <c r="Y21" i="4" s="1"/>
  <c r="X21" i="4"/>
  <c r="L22" i="4"/>
  <c r="N22" i="4"/>
  <c r="O22" i="4"/>
  <c r="P22" i="4" s="1"/>
  <c r="Q22" i="4" s="1"/>
  <c r="S22" i="4" s="1"/>
  <c r="T22" i="4"/>
  <c r="U22" i="4"/>
  <c r="V22" i="4" s="1"/>
  <c r="X22" i="4"/>
  <c r="L23" i="4"/>
  <c r="M23" i="4"/>
  <c r="N23" i="4"/>
  <c r="O23" i="4"/>
  <c r="P23" i="4" s="1"/>
  <c r="T23" i="4"/>
  <c r="U23" i="4"/>
  <c r="X23" i="4" s="1"/>
  <c r="L24" i="4"/>
  <c r="N24" i="4"/>
  <c r="O24" i="4"/>
  <c r="R24" i="4"/>
  <c r="T24" i="4"/>
  <c r="U24" i="4"/>
  <c r="V24" i="4" s="1"/>
  <c r="L25" i="4"/>
  <c r="N25" i="4"/>
  <c r="O25" i="4"/>
  <c r="P25" i="4" s="1"/>
  <c r="R25" i="4"/>
  <c r="T25" i="4"/>
  <c r="U25" i="4"/>
  <c r="V25" i="4" s="1"/>
  <c r="L26" i="4"/>
  <c r="N26" i="4"/>
  <c r="O26" i="4"/>
  <c r="P26" i="4" s="1"/>
  <c r="T26" i="4"/>
  <c r="U26" i="4"/>
  <c r="V26" i="4" s="1"/>
  <c r="W26" i="4" s="1"/>
  <c r="X26" i="4"/>
  <c r="Y26" i="4"/>
  <c r="L27" i="4"/>
  <c r="N27" i="4"/>
  <c r="O27" i="4"/>
  <c r="P27" i="4" s="1"/>
  <c r="T27" i="4"/>
  <c r="U27" i="4"/>
  <c r="V27" i="4" s="1"/>
  <c r="X27" i="4"/>
  <c r="L28" i="4"/>
  <c r="M28" i="4"/>
  <c r="N28" i="4"/>
  <c r="O28" i="4"/>
  <c r="P28" i="4" s="1"/>
  <c r="T28" i="4"/>
  <c r="U28" i="4"/>
  <c r="V28" i="4" s="1"/>
  <c r="W28" i="4" s="1"/>
  <c r="X28" i="4"/>
  <c r="Y28" i="4"/>
  <c r="L29" i="4"/>
  <c r="N29" i="4"/>
  <c r="O29" i="4"/>
  <c r="R29" i="4"/>
  <c r="S29" i="4"/>
  <c r="T29" i="4"/>
  <c r="U29" i="4"/>
  <c r="X29" i="4" s="1"/>
  <c r="M30" i="4"/>
  <c r="L30" i="4"/>
  <c r="N30" i="4"/>
  <c r="O30" i="4"/>
  <c r="P30" i="4" s="1"/>
  <c r="Q30" i="4" s="1"/>
  <c r="R30" i="4"/>
  <c r="S30" i="4"/>
  <c r="T30" i="4"/>
  <c r="U30" i="4"/>
  <c r="X30" i="4" s="1"/>
  <c r="L31" i="4"/>
  <c r="M31" i="4"/>
  <c r="N31" i="4"/>
  <c r="O31" i="4"/>
  <c r="P31" i="4" s="1"/>
  <c r="R31" i="4"/>
  <c r="S31" i="4"/>
  <c r="T31" i="4"/>
  <c r="U31" i="4"/>
  <c r="X31" i="4"/>
  <c r="Y31" i="4"/>
  <c r="AC31" i="4"/>
  <c r="L32" i="4"/>
  <c r="M32" i="4"/>
  <c r="N32" i="4"/>
  <c r="O32" i="4"/>
  <c r="R32" i="4"/>
  <c r="S32" i="4"/>
  <c r="T32" i="4"/>
  <c r="U32" i="4"/>
  <c r="V32" i="4" s="1"/>
  <c r="W32" i="4" s="1"/>
  <c r="X32" i="4"/>
  <c r="Y32" i="4"/>
  <c r="AC32" i="4"/>
  <c r="L33" i="4"/>
  <c r="M33" i="4"/>
  <c r="N33" i="4"/>
  <c r="O33" i="4"/>
  <c r="P33" i="4" s="1"/>
  <c r="R33" i="4"/>
  <c r="S33" i="4"/>
  <c r="T33" i="4"/>
  <c r="U33" i="4"/>
  <c r="V33" i="4" s="1"/>
  <c r="X33" i="4"/>
  <c r="Y33" i="4"/>
  <c r="AC33" i="4"/>
  <c r="H34" i="4"/>
  <c r="I34" i="4"/>
  <c r="J34" i="4" s="1"/>
  <c r="L34" i="4"/>
  <c r="M34" i="4"/>
  <c r="N34" i="4"/>
  <c r="O34" i="4"/>
  <c r="P34" i="4" s="1"/>
  <c r="R34" i="4"/>
  <c r="S34" i="4"/>
  <c r="T34" i="4"/>
  <c r="U34" i="4"/>
  <c r="V34" i="4" s="1"/>
  <c r="X34" i="4"/>
  <c r="Y34" i="4"/>
  <c r="AC34" i="4"/>
  <c r="H35" i="4"/>
  <c r="I35" i="4"/>
  <c r="J35" i="4" s="1"/>
  <c r="L35" i="4"/>
  <c r="M35" i="4"/>
  <c r="N35" i="4"/>
  <c r="O35" i="4"/>
  <c r="P35" i="4" s="1"/>
  <c r="R35" i="4"/>
  <c r="S35" i="4"/>
  <c r="T35" i="4"/>
  <c r="U35" i="4"/>
  <c r="V35" i="4" s="1"/>
  <c r="X35" i="4"/>
  <c r="Y35" i="4"/>
  <c r="AC35" i="4"/>
  <c r="H36" i="4"/>
  <c r="I36" i="4"/>
  <c r="J36" i="4" s="1"/>
  <c r="L36" i="4"/>
  <c r="M36" i="4"/>
  <c r="N36" i="4"/>
  <c r="O36" i="4"/>
  <c r="P36" i="4" s="1"/>
  <c r="R36" i="4"/>
  <c r="S36" i="4"/>
  <c r="T36" i="4"/>
  <c r="U36" i="4"/>
  <c r="V36" i="4" s="1"/>
  <c r="X36" i="4"/>
  <c r="Y36" i="4"/>
  <c r="AC36" i="4"/>
  <c r="H37" i="4"/>
  <c r="I37" i="4"/>
  <c r="J37" i="4" s="1"/>
  <c r="K37" i="4" s="1"/>
  <c r="L37" i="4"/>
  <c r="M37" i="4"/>
  <c r="N37" i="4"/>
  <c r="O37" i="4"/>
  <c r="P37" i="4" s="1"/>
  <c r="R37" i="4"/>
  <c r="S37" i="4"/>
  <c r="T37" i="4"/>
  <c r="U37" i="4"/>
  <c r="V37" i="4" s="1"/>
  <c r="X37" i="4"/>
  <c r="Y37" i="4"/>
  <c r="AC37" i="4"/>
  <c r="H38" i="4"/>
  <c r="I38" i="4"/>
  <c r="J38" i="4" s="1"/>
  <c r="L38" i="4"/>
  <c r="M38" i="4"/>
  <c r="N38" i="4"/>
  <c r="O38" i="4"/>
  <c r="P38" i="4" s="1"/>
  <c r="Q38" i="4" s="1"/>
  <c r="R38" i="4"/>
  <c r="S38" i="4"/>
  <c r="T38" i="4"/>
  <c r="U38" i="4"/>
  <c r="V38" i="4" s="1"/>
  <c r="X38" i="4"/>
  <c r="Y38" i="4"/>
  <c r="AC38" i="4"/>
  <c r="H39" i="4"/>
  <c r="I39" i="4"/>
  <c r="J39" i="4" s="1"/>
  <c r="L39" i="4"/>
  <c r="M39" i="4"/>
  <c r="N39" i="4"/>
  <c r="O39" i="4"/>
  <c r="R39" i="4"/>
  <c r="S39" i="4"/>
  <c r="T39" i="4"/>
  <c r="U39" i="4"/>
  <c r="X39" i="4"/>
  <c r="Y39" i="4"/>
  <c r="AC39" i="4"/>
  <c r="H40" i="4"/>
  <c r="I40" i="4"/>
  <c r="J40" i="4" s="1"/>
  <c r="L40" i="4"/>
  <c r="M40" i="4"/>
  <c r="N40" i="4"/>
  <c r="O40" i="4"/>
  <c r="R40" i="4"/>
  <c r="S40" i="4"/>
  <c r="T40" i="4"/>
  <c r="U40" i="4"/>
  <c r="V40" i="4" s="1"/>
  <c r="X40" i="4"/>
  <c r="Y40" i="4"/>
  <c r="AC40" i="4"/>
  <c r="H41" i="4"/>
  <c r="I41" i="4"/>
  <c r="L41" i="4"/>
  <c r="M41" i="4"/>
  <c r="N41" i="4"/>
  <c r="O41" i="4"/>
  <c r="P41" i="4" s="1"/>
  <c r="R41" i="4"/>
  <c r="S41" i="4"/>
  <c r="T41" i="4"/>
  <c r="U41" i="4"/>
  <c r="V41" i="4" s="1"/>
  <c r="X41" i="4"/>
  <c r="Y41" i="4"/>
  <c r="AC41" i="4"/>
  <c r="H42" i="4"/>
  <c r="I42" i="4"/>
  <c r="J42" i="4" s="1"/>
  <c r="L42" i="4"/>
  <c r="M42" i="4"/>
  <c r="N42" i="4"/>
  <c r="O42" i="4"/>
  <c r="P42" i="4" s="1"/>
  <c r="R42" i="4"/>
  <c r="S42" i="4"/>
  <c r="T42" i="4"/>
  <c r="U42" i="4"/>
  <c r="V42" i="4" s="1"/>
  <c r="W42" i="4" s="1"/>
  <c r="X42" i="4"/>
  <c r="Y42" i="4"/>
  <c r="AC42" i="4"/>
  <c r="H43" i="4"/>
  <c r="I43" i="4"/>
  <c r="J43" i="4" s="1"/>
  <c r="K43" i="4" s="1"/>
  <c r="L43" i="4"/>
  <c r="M43" i="4"/>
  <c r="N43" i="4"/>
  <c r="O43" i="4"/>
  <c r="P43" i="4" s="1"/>
  <c r="Q43" i="4" s="1"/>
  <c r="R43" i="4"/>
  <c r="S43" i="4"/>
  <c r="T43" i="4"/>
  <c r="U43" i="4"/>
  <c r="V43" i="4" s="1"/>
  <c r="X43" i="4"/>
  <c r="Y43" i="4"/>
  <c r="AC43" i="4"/>
  <c r="H44" i="4"/>
  <c r="I44" i="4"/>
  <c r="J44" i="4" s="1"/>
  <c r="L44" i="4"/>
  <c r="M44" i="4"/>
  <c r="N44" i="4"/>
  <c r="O44" i="4"/>
  <c r="P44" i="4" s="1"/>
  <c r="R44" i="4"/>
  <c r="S44" i="4"/>
  <c r="T44" i="4"/>
  <c r="U44" i="4"/>
  <c r="V44" i="4" s="1"/>
  <c r="X44" i="4"/>
  <c r="Y44" i="4"/>
  <c r="AC44" i="4"/>
  <c r="H45" i="4"/>
  <c r="I45" i="4"/>
  <c r="J45" i="4" s="1"/>
  <c r="L45" i="4"/>
  <c r="M45" i="4"/>
  <c r="N45" i="4"/>
  <c r="O45" i="4"/>
  <c r="P45" i="4" s="1"/>
  <c r="R45" i="4"/>
  <c r="S45" i="4"/>
  <c r="T45" i="4"/>
  <c r="U45" i="4"/>
  <c r="V45" i="4" s="1"/>
  <c r="X45" i="4"/>
  <c r="Y45" i="4"/>
  <c r="AC45" i="4"/>
  <c r="H46" i="4"/>
  <c r="I46" i="4"/>
  <c r="J46" i="4" s="1"/>
  <c r="L46" i="4"/>
  <c r="M46" i="4"/>
  <c r="N46" i="4"/>
  <c r="O46" i="4"/>
  <c r="P46" i="4" s="1"/>
  <c r="Q46" i="4" s="1"/>
  <c r="R46" i="4"/>
  <c r="S46" i="4"/>
  <c r="T46" i="4"/>
  <c r="U46" i="4"/>
  <c r="V46" i="4" s="1"/>
  <c r="X46" i="4"/>
  <c r="Y46" i="4"/>
  <c r="AC46" i="4"/>
  <c r="H47" i="4"/>
  <c r="I47" i="4"/>
  <c r="J47" i="4" s="1"/>
  <c r="L47" i="4"/>
  <c r="M47" i="4"/>
  <c r="N47" i="4"/>
  <c r="O47" i="4"/>
  <c r="P47" i="4" s="1"/>
  <c r="R47" i="4"/>
  <c r="S47" i="4"/>
  <c r="T47" i="4"/>
  <c r="U47" i="4"/>
  <c r="X47" i="4"/>
  <c r="Y47" i="4"/>
  <c r="AC47" i="4"/>
  <c r="H48" i="4"/>
  <c r="I48" i="4"/>
  <c r="J48" i="4" s="1"/>
  <c r="L48" i="4"/>
  <c r="M48" i="4"/>
  <c r="N48" i="4"/>
  <c r="O48" i="4"/>
  <c r="R48" i="4"/>
  <c r="S48" i="4"/>
  <c r="T48" i="4"/>
  <c r="U48" i="4"/>
  <c r="V48" i="4" s="1"/>
  <c r="X48" i="4"/>
  <c r="Y48" i="4"/>
  <c r="AC48" i="4"/>
  <c r="H49" i="4"/>
  <c r="I49" i="4"/>
  <c r="L49" i="4"/>
  <c r="M49" i="4"/>
  <c r="N49" i="4"/>
  <c r="O49" i="4"/>
  <c r="P49" i="4" s="1"/>
  <c r="R49" i="4"/>
  <c r="S49" i="4"/>
  <c r="T49" i="4"/>
  <c r="U49" i="4"/>
  <c r="V49" i="4" s="1"/>
  <c r="X49" i="4"/>
  <c r="Y49" i="4"/>
  <c r="AC49" i="4"/>
  <c r="H50" i="4"/>
  <c r="I50" i="4"/>
  <c r="J50" i="4"/>
  <c r="L50" i="4"/>
  <c r="M50" i="4"/>
  <c r="N50" i="4"/>
  <c r="O50" i="4"/>
  <c r="P50" i="4" s="1"/>
  <c r="R50" i="4"/>
  <c r="S50" i="4"/>
  <c r="T50" i="4"/>
  <c r="U50" i="4"/>
  <c r="V50" i="4" s="1"/>
  <c r="X50" i="4"/>
  <c r="Y50" i="4"/>
  <c r="AC50" i="4"/>
  <c r="H51" i="4"/>
  <c r="I51" i="4"/>
  <c r="J51" i="4" s="1"/>
  <c r="K51" i="4" s="1"/>
  <c r="L51" i="4"/>
  <c r="M51" i="4"/>
  <c r="N51" i="4"/>
  <c r="O51" i="4"/>
  <c r="P51" i="4" s="1"/>
  <c r="R51" i="4"/>
  <c r="S51" i="4"/>
  <c r="T51" i="4"/>
  <c r="U51" i="4"/>
  <c r="V51" i="4" s="1"/>
  <c r="X51" i="4"/>
  <c r="Y51" i="4"/>
  <c r="AC51" i="4"/>
  <c r="H52" i="4"/>
  <c r="I52" i="4"/>
  <c r="J52" i="4" s="1"/>
  <c r="L52" i="4"/>
  <c r="M52" i="4"/>
  <c r="N52" i="4"/>
  <c r="O52" i="4"/>
  <c r="P52" i="4" s="1"/>
  <c r="R52" i="4"/>
  <c r="S52" i="4"/>
  <c r="T52" i="4"/>
  <c r="U52" i="4"/>
  <c r="V52" i="4" s="1"/>
  <c r="X52" i="4"/>
  <c r="Y52" i="4"/>
  <c r="AC52" i="4"/>
  <c r="H53" i="4"/>
  <c r="I53" i="4"/>
  <c r="J53" i="4" s="1"/>
  <c r="L53" i="4"/>
  <c r="M53" i="4"/>
  <c r="N53" i="4"/>
  <c r="O53" i="4"/>
  <c r="P53" i="4" s="1"/>
  <c r="R53" i="4"/>
  <c r="S53" i="4"/>
  <c r="T53" i="4"/>
  <c r="U53" i="4"/>
  <c r="X53" i="4"/>
  <c r="Y53" i="4"/>
  <c r="AC53" i="4"/>
  <c r="H54" i="4"/>
  <c r="I54" i="4"/>
  <c r="J54" i="4" s="1"/>
  <c r="L54" i="4"/>
  <c r="M54" i="4"/>
  <c r="N54" i="4"/>
  <c r="O54" i="4"/>
  <c r="P54" i="4" s="1"/>
  <c r="R54" i="4"/>
  <c r="S54" i="4"/>
  <c r="T54" i="4"/>
  <c r="U54" i="4"/>
  <c r="V54" i="4" s="1"/>
  <c r="W54" i="4" s="1"/>
  <c r="X54" i="4"/>
  <c r="Y54" i="4"/>
  <c r="AC54" i="4"/>
  <c r="H55" i="4"/>
  <c r="I55" i="4"/>
  <c r="J55" i="4"/>
  <c r="K55" i="4" s="1"/>
  <c r="L55" i="4"/>
  <c r="M55" i="4"/>
  <c r="N55" i="4"/>
  <c r="O55" i="4"/>
  <c r="P55" i="4" s="1"/>
  <c r="R55" i="4"/>
  <c r="S55" i="4"/>
  <c r="T55" i="4"/>
  <c r="U55" i="4"/>
  <c r="X55" i="4"/>
  <c r="Y55" i="4"/>
  <c r="AC55" i="4"/>
  <c r="H56" i="4"/>
  <c r="I56" i="4"/>
  <c r="J56" i="4" s="1"/>
  <c r="L56" i="4"/>
  <c r="M56" i="4"/>
  <c r="N56" i="4"/>
  <c r="O56" i="4"/>
  <c r="R56" i="4"/>
  <c r="S56" i="4"/>
  <c r="T56" i="4"/>
  <c r="U56" i="4"/>
  <c r="V56" i="4" s="1"/>
  <c r="X56" i="4"/>
  <c r="Y56" i="4"/>
  <c r="AC56" i="4"/>
  <c r="H57" i="4"/>
  <c r="I57" i="4"/>
  <c r="L57" i="4"/>
  <c r="M57" i="4"/>
  <c r="N57" i="4"/>
  <c r="O57" i="4"/>
  <c r="P57" i="4" s="1"/>
  <c r="R57" i="4"/>
  <c r="S57" i="4"/>
  <c r="T57" i="4"/>
  <c r="U57" i="4"/>
  <c r="V57" i="4" s="1"/>
  <c r="X57" i="4"/>
  <c r="Y57" i="4"/>
  <c r="AC57" i="4"/>
  <c r="H58" i="4"/>
  <c r="I58" i="4"/>
  <c r="J58" i="4" s="1"/>
  <c r="L58" i="4"/>
  <c r="M58" i="4"/>
  <c r="N58" i="4"/>
  <c r="O58" i="4"/>
  <c r="P58" i="4" s="1"/>
  <c r="R58" i="4"/>
  <c r="S58" i="4"/>
  <c r="T58" i="4"/>
  <c r="U58" i="4"/>
  <c r="V58" i="4" s="1"/>
  <c r="X58" i="4"/>
  <c r="Y58" i="4"/>
  <c r="AC58" i="4"/>
  <c r="H59" i="4"/>
  <c r="I59" i="4"/>
  <c r="J59" i="4" s="1"/>
  <c r="L59" i="4"/>
  <c r="M59" i="4"/>
  <c r="N59" i="4"/>
  <c r="O59" i="4"/>
  <c r="P59" i="4" s="1"/>
  <c r="Q59" i="4" s="1"/>
  <c r="R59" i="4"/>
  <c r="S59" i="4"/>
  <c r="T59" i="4"/>
  <c r="U59" i="4"/>
  <c r="V59" i="4" s="1"/>
  <c r="X59" i="4"/>
  <c r="Y59" i="4"/>
  <c r="AC59" i="4"/>
  <c r="H60" i="4"/>
  <c r="I60" i="4"/>
  <c r="J60" i="4" s="1"/>
  <c r="K60" i="4" s="1"/>
  <c r="L60" i="4"/>
  <c r="M60" i="4"/>
  <c r="N60" i="4"/>
  <c r="O60" i="4"/>
  <c r="P60" i="4" s="1"/>
  <c r="R60" i="4"/>
  <c r="S60" i="4"/>
  <c r="T60" i="4"/>
  <c r="U60" i="4"/>
  <c r="V60" i="4" s="1"/>
  <c r="X60" i="4"/>
  <c r="Y60" i="4"/>
  <c r="AC60" i="4"/>
  <c r="H61" i="4"/>
  <c r="I61" i="4"/>
  <c r="J61" i="4" s="1"/>
  <c r="L61" i="4"/>
  <c r="M61" i="4"/>
  <c r="N61" i="4"/>
  <c r="O61" i="4"/>
  <c r="P61" i="4" s="1"/>
  <c r="R61" i="4"/>
  <c r="S61" i="4"/>
  <c r="T61" i="4"/>
  <c r="U61" i="4"/>
  <c r="V61" i="4" s="1"/>
  <c r="X61" i="4"/>
  <c r="Y61" i="4"/>
  <c r="AC61" i="4"/>
  <c r="H62" i="4"/>
  <c r="I62" i="4"/>
  <c r="J62" i="4" s="1"/>
  <c r="L62" i="4"/>
  <c r="M62" i="4"/>
  <c r="N62" i="4"/>
  <c r="O62" i="4"/>
  <c r="P62" i="4" s="1"/>
  <c r="R62" i="4"/>
  <c r="S62" i="4"/>
  <c r="T62" i="4"/>
  <c r="U62" i="4"/>
  <c r="V62" i="4" s="1"/>
  <c r="W62" i="4" s="1"/>
  <c r="X62" i="4"/>
  <c r="Y62" i="4"/>
  <c r="AC62" i="4"/>
  <c r="H63" i="4"/>
  <c r="I63" i="4"/>
  <c r="J63" i="4" s="1"/>
  <c r="L63" i="4"/>
  <c r="M63" i="4"/>
  <c r="N63" i="4"/>
  <c r="O63" i="4"/>
  <c r="P63" i="4" s="1"/>
  <c r="R63" i="4"/>
  <c r="S63" i="4"/>
  <c r="T63" i="4"/>
  <c r="U63" i="4"/>
  <c r="X63" i="4"/>
  <c r="Y63" i="4"/>
  <c r="AC63" i="4"/>
  <c r="H64" i="4"/>
  <c r="I64" i="4"/>
  <c r="J64" i="4" s="1"/>
  <c r="K64" i="4" s="1"/>
  <c r="L64" i="4"/>
  <c r="M64" i="4"/>
  <c r="N64" i="4"/>
  <c r="O64" i="4"/>
  <c r="R64" i="4"/>
  <c r="S64" i="4"/>
  <c r="T64" i="4"/>
  <c r="U64" i="4"/>
  <c r="V64" i="4" s="1"/>
  <c r="X64" i="4"/>
  <c r="Y64" i="4"/>
  <c r="AC64" i="4"/>
  <c r="H65" i="4"/>
  <c r="I65" i="4"/>
  <c r="L65" i="4"/>
  <c r="M65" i="4"/>
  <c r="N65" i="4"/>
  <c r="O65" i="4"/>
  <c r="P65" i="4" s="1"/>
  <c r="R65" i="4"/>
  <c r="S65" i="4"/>
  <c r="T65" i="4"/>
  <c r="U65" i="4"/>
  <c r="V65" i="4" s="1"/>
  <c r="X65" i="4"/>
  <c r="Y65" i="4"/>
  <c r="AC65" i="4"/>
  <c r="H66" i="4"/>
  <c r="I66" i="4"/>
  <c r="J66" i="4" s="1"/>
  <c r="L66" i="4"/>
  <c r="M66" i="4"/>
  <c r="N66" i="4"/>
  <c r="O66" i="4"/>
  <c r="P66" i="4" s="1"/>
  <c r="Q66" i="4" s="1"/>
  <c r="R66" i="4"/>
  <c r="S66" i="4"/>
  <c r="T66" i="4"/>
  <c r="U66" i="4"/>
  <c r="V66" i="4" s="1"/>
  <c r="X66" i="4"/>
  <c r="Y66" i="4"/>
  <c r="AC66" i="4"/>
  <c r="H67" i="4"/>
  <c r="I67" i="4"/>
  <c r="J67" i="4" s="1"/>
  <c r="L67" i="4"/>
  <c r="M67" i="4"/>
  <c r="N67" i="4"/>
  <c r="O67" i="4"/>
  <c r="P67" i="4" s="1"/>
  <c r="R67" i="4"/>
  <c r="S67" i="4"/>
  <c r="T67" i="4"/>
  <c r="U67" i="4"/>
  <c r="V67" i="4" s="1"/>
  <c r="X67" i="4"/>
  <c r="Y67" i="4"/>
  <c r="AC67" i="4"/>
  <c r="H68" i="4"/>
  <c r="I68" i="4"/>
  <c r="J68" i="4"/>
  <c r="L68" i="4"/>
  <c r="M68" i="4"/>
  <c r="N68" i="4"/>
  <c r="O68" i="4"/>
  <c r="P68" i="4" s="1"/>
  <c r="R68" i="4"/>
  <c r="S68" i="4"/>
  <c r="T68" i="4"/>
  <c r="U68" i="4"/>
  <c r="V68" i="4" s="1"/>
  <c r="W68" i="4" s="1"/>
  <c r="X68" i="4"/>
  <c r="Y68" i="4"/>
  <c r="AC68" i="4"/>
  <c r="H69" i="4"/>
  <c r="I69" i="4"/>
  <c r="J69" i="4"/>
  <c r="K69" i="4" s="1"/>
  <c r="L69" i="4"/>
  <c r="M69" i="4"/>
  <c r="N69" i="4"/>
  <c r="O69" i="4"/>
  <c r="P69" i="4" s="1"/>
  <c r="R69" i="4"/>
  <c r="S69" i="4"/>
  <c r="T69" i="4"/>
  <c r="U69" i="4"/>
  <c r="V69" i="4" s="1"/>
  <c r="X69" i="4"/>
  <c r="Y69" i="4"/>
  <c r="AC69" i="4"/>
  <c r="H70" i="4"/>
  <c r="I70" i="4"/>
  <c r="J70" i="4" s="1"/>
  <c r="K70" i="4" s="1"/>
  <c r="L70" i="4"/>
  <c r="M70" i="4"/>
  <c r="N70" i="4"/>
  <c r="O70" i="4"/>
  <c r="P70" i="4" s="1"/>
  <c r="R70" i="4"/>
  <c r="S70" i="4"/>
  <c r="T70" i="4"/>
  <c r="U70" i="4"/>
  <c r="V70" i="4" s="1"/>
  <c r="X70" i="4"/>
  <c r="Y70" i="4"/>
  <c r="AC70" i="4"/>
  <c r="H71" i="4"/>
  <c r="I71" i="4"/>
  <c r="J71" i="4" s="1"/>
  <c r="K71" i="4" s="1"/>
  <c r="L71" i="4"/>
  <c r="M71" i="4"/>
  <c r="N71" i="4"/>
  <c r="O71" i="4"/>
  <c r="P71" i="4" s="1"/>
  <c r="R71" i="4"/>
  <c r="S71" i="4"/>
  <c r="T71" i="4"/>
  <c r="U71" i="4"/>
  <c r="X71" i="4"/>
  <c r="Y71" i="4"/>
  <c r="AC71" i="4"/>
  <c r="H72" i="4"/>
  <c r="I72" i="4"/>
  <c r="J72" i="4" s="1"/>
  <c r="L72" i="4"/>
  <c r="M72" i="4"/>
  <c r="N72" i="4"/>
  <c r="O72" i="4"/>
  <c r="R72" i="4"/>
  <c r="S72" i="4"/>
  <c r="T72" i="4"/>
  <c r="U72" i="4"/>
  <c r="V72" i="4" s="1"/>
  <c r="X72" i="4"/>
  <c r="Y72" i="4"/>
  <c r="AC72" i="4"/>
  <c r="H73" i="4"/>
  <c r="I73" i="4"/>
  <c r="L73" i="4"/>
  <c r="M73" i="4"/>
  <c r="N73" i="4"/>
  <c r="O73" i="4"/>
  <c r="P73" i="4" s="1"/>
  <c r="Q73" i="4" s="1"/>
  <c r="R73" i="4"/>
  <c r="S73" i="4"/>
  <c r="T73" i="4"/>
  <c r="U73" i="4"/>
  <c r="V73" i="4" s="1"/>
  <c r="X73" i="4"/>
  <c r="Y73" i="4"/>
  <c r="AC73" i="4"/>
  <c r="H74" i="4"/>
  <c r="I74" i="4"/>
  <c r="J74" i="4" s="1"/>
  <c r="K74" i="4" s="1"/>
  <c r="L74" i="4"/>
  <c r="M74" i="4"/>
  <c r="N74" i="4"/>
  <c r="O74" i="4"/>
  <c r="P74" i="4" s="1"/>
  <c r="R74" i="4"/>
  <c r="S74" i="4"/>
  <c r="T74" i="4"/>
  <c r="U74" i="4"/>
  <c r="V74" i="4" s="1"/>
  <c r="X74" i="4"/>
  <c r="Y74" i="4"/>
  <c r="AC74" i="4"/>
  <c r="H75" i="4"/>
  <c r="I75" i="4"/>
  <c r="L75" i="4"/>
  <c r="M75" i="4"/>
  <c r="N75" i="4"/>
  <c r="O75" i="4"/>
  <c r="P75" i="4" s="1"/>
  <c r="R75" i="4"/>
  <c r="S75" i="4"/>
  <c r="T75" i="4"/>
  <c r="U75" i="4"/>
  <c r="V75" i="4" s="1"/>
  <c r="W75" i="4" s="1"/>
  <c r="X75" i="4"/>
  <c r="Y75" i="4"/>
  <c r="AC75" i="4"/>
  <c r="H76" i="4"/>
  <c r="I76" i="4"/>
  <c r="J76" i="4" s="1"/>
  <c r="L76" i="4"/>
  <c r="M76" i="4"/>
  <c r="N76" i="4"/>
  <c r="O76" i="4"/>
  <c r="P76" i="4" s="1"/>
  <c r="Q76" i="4" s="1"/>
  <c r="R76" i="4"/>
  <c r="S76" i="4"/>
  <c r="T76" i="4"/>
  <c r="U76" i="4"/>
  <c r="V76" i="4" s="1"/>
  <c r="W76" i="4" s="1"/>
  <c r="X76" i="4"/>
  <c r="Y76" i="4"/>
  <c r="AC76" i="4"/>
  <c r="H77" i="4"/>
  <c r="I77" i="4"/>
  <c r="J77" i="4" s="1"/>
  <c r="L77" i="4"/>
  <c r="M77" i="4"/>
  <c r="N77" i="4"/>
  <c r="O77" i="4"/>
  <c r="R77" i="4"/>
  <c r="S77" i="4"/>
  <c r="T77" i="4"/>
  <c r="U77" i="4"/>
  <c r="V77" i="4" s="1"/>
  <c r="X77" i="4"/>
  <c r="Y77" i="4"/>
  <c r="AC77" i="4"/>
  <c r="H78" i="4"/>
  <c r="I78" i="4"/>
  <c r="J78" i="4" s="1"/>
  <c r="L78" i="4"/>
  <c r="M78" i="4"/>
  <c r="N78" i="4"/>
  <c r="O78" i="4"/>
  <c r="P78" i="4" s="1"/>
  <c r="R78" i="4"/>
  <c r="S78" i="4"/>
  <c r="T78" i="4"/>
  <c r="U78" i="4"/>
  <c r="V78" i="4" s="1"/>
  <c r="X78" i="4"/>
  <c r="Y78" i="4"/>
  <c r="AC78" i="4"/>
  <c r="H79" i="4"/>
  <c r="I79" i="4"/>
  <c r="J79" i="4" s="1"/>
  <c r="L79" i="4"/>
  <c r="M79" i="4"/>
  <c r="N79" i="4"/>
  <c r="O79" i="4"/>
  <c r="P79" i="4" s="1"/>
  <c r="R79" i="4"/>
  <c r="S79" i="4"/>
  <c r="T79" i="4"/>
  <c r="U79" i="4"/>
  <c r="X79" i="4"/>
  <c r="Y79" i="4"/>
  <c r="AC79" i="4"/>
  <c r="H80" i="4"/>
  <c r="I80" i="4"/>
  <c r="J80" i="4" s="1"/>
  <c r="L80" i="4"/>
  <c r="M80" i="4"/>
  <c r="N80" i="4"/>
  <c r="O80" i="4"/>
  <c r="R80" i="4"/>
  <c r="S80" i="4"/>
  <c r="T80" i="4"/>
  <c r="U80" i="4"/>
  <c r="V80" i="4" s="1"/>
  <c r="X80" i="4"/>
  <c r="Y80" i="4"/>
  <c r="AC80" i="4"/>
  <c r="H81" i="4"/>
  <c r="I81" i="4"/>
  <c r="L81" i="4"/>
  <c r="M81" i="4"/>
  <c r="N81" i="4"/>
  <c r="O81" i="4"/>
  <c r="P81" i="4" s="1"/>
  <c r="R81" i="4"/>
  <c r="S81" i="4"/>
  <c r="T81" i="4"/>
  <c r="U81" i="4"/>
  <c r="V81" i="4" s="1"/>
  <c r="X81" i="4"/>
  <c r="Y81" i="4"/>
  <c r="AC81" i="4"/>
  <c r="H82" i="4"/>
  <c r="I82" i="4"/>
  <c r="J82" i="4" s="1"/>
  <c r="L82" i="4"/>
  <c r="M82" i="4"/>
  <c r="N82" i="4"/>
  <c r="O82" i="4"/>
  <c r="P82" i="4" s="1"/>
  <c r="Q82" i="4" s="1"/>
  <c r="R82" i="4"/>
  <c r="S82" i="4"/>
  <c r="T82" i="4"/>
  <c r="U82" i="4"/>
  <c r="V82" i="4" s="1"/>
  <c r="W82" i="4" s="1"/>
  <c r="X82" i="4"/>
  <c r="Y82" i="4"/>
  <c r="AC82" i="4"/>
  <c r="H83" i="4"/>
  <c r="I83" i="4"/>
  <c r="J83" i="4" s="1"/>
  <c r="L83" i="4"/>
  <c r="M83" i="4"/>
  <c r="N83" i="4"/>
  <c r="O83" i="4"/>
  <c r="P83" i="4" s="1"/>
  <c r="R83" i="4"/>
  <c r="S83" i="4"/>
  <c r="T83" i="4"/>
  <c r="U83" i="4"/>
  <c r="V83" i="4" s="1"/>
  <c r="X83" i="4"/>
  <c r="Y83" i="4"/>
  <c r="AC83" i="4"/>
  <c r="H84" i="4"/>
  <c r="I84" i="4"/>
  <c r="J84" i="4"/>
  <c r="L84" i="4"/>
  <c r="M84" i="4"/>
  <c r="N84" i="4"/>
  <c r="O84" i="4"/>
  <c r="P84" i="4" s="1"/>
  <c r="R84" i="4"/>
  <c r="S84" i="4"/>
  <c r="T84" i="4"/>
  <c r="U84" i="4"/>
  <c r="V84" i="4" s="1"/>
  <c r="X84" i="4"/>
  <c r="Y84" i="4"/>
  <c r="AC84" i="4"/>
  <c r="H85" i="4"/>
  <c r="I85" i="4"/>
  <c r="J85" i="4" s="1"/>
  <c r="L85" i="4"/>
  <c r="M85" i="4"/>
  <c r="N85" i="4"/>
  <c r="O85" i="4"/>
  <c r="P85" i="4" s="1"/>
  <c r="R85" i="4"/>
  <c r="S85" i="4"/>
  <c r="T85" i="4"/>
  <c r="U85" i="4"/>
  <c r="V85" i="4" s="1"/>
  <c r="X85" i="4"/>
  <c r="Y85" i="4"/>
  <c r="AC85" i="4"/>
  <c r="H86" i="4"/>
  <c r="I86" i="4"/>
  <c r="J86" i="4" s="1"/>
  <c r="L86" i="4"/>
  <c r="M86" i="4"/>
  <c r="N86" i="4"/>
  <c r="O86" i="4"/>
  <c r="P86" i="4" s="1"/>
  <c r="R86" i="4"/>
  <c r="S86" i="4"/>
  <c r="T86" i="4"/>
  <c r="U86" i="4"/>
  <c r="X86" i="4"/>
  <c r="Y86" i="4"/>
  <c r="AC86" i="4"/>
  <c r="H87" i="4"/>
  <c r="I87" i="4"/>
  <c r="J87" i="4" s="1"/>
  <c r="L87" i="4"/>
  <c r="M87" i="4"/>
  <c r="N87" i="4"/>
  <c r="O87" i="4"/>
  <c r="P87" i="4" s="1"/>
  <c r="R87" i="4"/>
  <c r="S87" i="4"/>
  <c r="T87" i="4"/>
  <c r="U87" i="4"/>
  <c r="X87" i="4"/>
  <c r="Y87" i="4"/>
  <c r="AC87" i="4"/>
  <c r="H88" i="4"/>
  <c r="I88" i="4"/>
  <c r="J88" i="4" s="1"/>
  <c r="K88" i="4" s="1"/>
  <c r="L88" i="4"/>
  <c r="M88" i="4"/>
  <c r="N88" i="4"/>
  <c r="O88" i="4"/>
  <c r="R88" i="4"/>
  <c r="S88" i="4"/>
  <c r="T88" i="4"/>
  <c r="U88" i="4"/>
  <c r="V88" i="4" s="1"/>
  <c r="W88" i="4" s="1"/>
  <c r="X88" i="4"/>
  <c r="Y88" i="4"/>
  <c r="AC88" i="4"/>
  <c r="H89" i="4"/>
  <c r="I89" i="4"/>
  <c r="L89" i="4"/>
  <c r="M89" i="4"/>
  <c r="N89" i="4"/>
  <c r="O89" i="4"/>
  <c r="R89" i="4"/>
  <c r="S89" i="4"/>
  <c r="T89" i="4"/>
  <c r="U89" i="4"/>
  <c r="V89" i="4" s="1"/>
  <c r="X89" i="4"/>
  <c r="Y89" i="4"/>
  <c r="AC89" i="4"/>
  <c r="H90" i="4"/>
  <c r="I90" i="4"/>
  <c r="J90" i="4" s="1"/>
  <c r="L90" i="4"/>
  <c r="M90" i="4"/>
  <c r="N90" i="4"/>
  <c r="O90" i="4"/>
  <c r="P90" i="4" s="1"/>
  <c r="R90" i="4"/>
  <c r="S90" i="4"/>
  <c r="T90" i="4"/>
  <c r="U90" i="4"/>
  <c r="V90" i="4" s="1"/>
  <c r="X90" i="4"/>
  <c r="Y90" i="4"/>
  <c r="AC90" i="4"/>
  <c r="H91" i="4"/>
  <c r="I91" i="4"/>
  <c r="J91" i="4" s="1"/>
  <c r="L91" i="4"/>
  <c r="M91" i="4"/>
  <c r="N91" i="4"/>
  <c r="O91" i="4"/>
  <c r="P91" i="4" s="1"/>
  <c r="Q91" i="4" s="1"/>
  <c r="R91" i="4"/>
  <c r="S91" i="4"/>
  <c r="T91" i="4"/>
  <c r="U91" i="4"/>
  <c r="V91" i="4" s="1"/>
  <c r="W91" i="4" s="1"/>
  <c r="X91" i="4"/>
  <c r="Y91" i="4"/>
  <c r="AC91" i="4"/>
  <c r="H92" i="4"/>
  <c r="I92" i="4"/>
  <c r="J92" i="4" s="1"/>
  <c r="L92" i="4"/>
  <c r="M92" i="4"/>
  <c r="N92" i="4"/>
  <c r="O92" i="4"/>
  <c r="P92" i="4" s="1"/>
  <c r="Q92" i="4" s="1"/>
  <c r="R92" i="4"/>
  <c r="S92" i="4"/>
  <c r="T92" i="4"/>
  <c r="U92" i="4"/>
  <c r="V92" i="4" s="1"/>
  <c r="X92" i="4"/>
  <c r="Y92" i="4"/>
  <c r="AC92" i="4"/>
  <c r="H93" i="4"/>
  <c r="I93" i="4"/>
  <c r="J93" i="4" s="1"/>
  <c r="K93" i="4" s="1"/>
  <c r="L93" i="4"/>
  <c r="M93" i="4"/>
  <c r="N93" i="4"/>
  <c r="O93" i="4"/>
  <c r="P93" i="4" s="1"/>
  <c r="R93" i="4"/>
  <c r="S93" i="4"/>
  <c r="T93" i="4"/>
  <c r="U93" i="4"/>
  <c r="V93" i="4" s="1"/>
  <c r="X93" i="4"/>
  <c r="Y93" i="4"/>
  <c r="AC93" i="4"/>
  <c r="H94" i="4"/>
  <c r="I94" i="4"/>
  <c r="J94" i="4" s="1"/>
  <c r="L94" i="4"/>
  <c r="M94" i="4"/>
  <c r="N94" i="4"/>
  <c r="O94" i="4"/>
  <c r="P94" i="4" s="1"/>
  <c r="R94" i="4"/>
  <c r="S94" i="4"/>
  <c r="T94" i="4"/>
  <c r="U94" i="4"/>
  <c r="V94" i="4" s="1"/>
  <c r="X94" i="4"/>
  <c r="Y94" i="4"/>
  <c r="AC94" i="4"/>
  <c r="H95" i="4"/>
  <c r="I95" i="4"/>
  <c r="J95" i="4" s="1"/>
  <c r="L95" i="4"/>
  <c r="M95" i="4"/>
  <c r="N95" i="4"/>
  <c r="O95" i="4"/>
  <c r="P95" i="4" s="1"/>
  <c r="R95" i="4"/>
  <c r="S95" i="4"/>
  <c r="T95" i="4"/>
  <c r="U95" i="4"/>
  <c r="X95" i="4"/>
  <c r="Y95" i="4"/>
  <c r="AC95" i="4"/>
  <c r="H96" i="4"/>
  <c r="I96" i="4"/>
  <c r="J96" i="4" s="1"/>
  <c r="L96" i="4"/>
  <c r="M96" i="4"/>
  <c r="N96" i="4"/>
  <c r="O96" i="4"/>
  <c r="R96" i="4"/>
  <c r="S96" i="4"/>
  <c r="T96" i="4"/>
  <c r="U96" i="4"/>
  <c r="V96" i="4" s="1"/>
  <c r="X96" i="4"/>
  <c r="Y96" i="4"/>
  <c r="AC96" i="4"/>
  <c r="H97" i="4"/>
  <c r="I97" i="4"/>
  <c r="L97" i="4"/>
  <c r="M97" i="4"/>
  <c r="N97" i="4"/>
  <c r="O97" i="4"/>
  <c r="P97" i="4" s="1"/>
  <c r="R97" i="4"/>
  <c r="S97" i="4"/>
  <c r="T97" i="4"/>
  <c r="U97" i="4"/>
  <c r="V97" i="4" s="1"/>
  <c r="X97" i="4"/>
  <c r="Y97" i="4"/>
  <c r="AC97" i="4"/>
  <c r="H98" i="4"/>
  <c r="I98" i="4"/>
  <c r="L98" i="4"/>
  <c r="M98" i="4"/>
  <c r="N98" i="4"/>
  <c r="O98" i="4"/>
  <c r="P98" i="4" s="1"/>
  <c r="R98" i="4"/>
  <c r="S98" i="4"/>
  <c r="T98" i="4"/>
  <c r="U98" i="4"/>
  <c r="V98" i="4" s="1"/>
  <c r="W98" i="4" s="1"/>
  <c r="X98" i="4"/>
  <c r="Y98" i="4"/>
  <c r="AC98" i="4"/>
  <c r="H99" i="4"/>
  <c r="I99" i="4"/>
  <c r="J99" i="4" s="1"/>
  <c r="K99" i="4" s="1"/>
  <c r="L99" i="4"/>
  <c r="M99" i="4"/>
  <c r="N99" i="4"/>
  <c r="O99" i="4"/>
  <c r="P99" i="4" s="1"/>
  <c r="R99" i="4"/>
  <c r="S99" i="4"/>
  <c r="T99" i="4"/>
  <c r="U99" i="4"/>
  <c r="V99" i="4" s="1"/>
  <c r="X99" i="4"/>
  <c r="Y99" i="4"/>
  <c r="AC99" i="4"/>
  <c r="H100" i="4"/>
  <c r="I100" i="4"/>
  <c r="L100" i="4"/>
  <c r="M100" i="4"/>
  <c r="N100" i="4"/>
  <c r="O100" i="4"/>
  <c r="P100" i="4" s="1"/>
  <c r="R100" i="4"/>
  <c r="S100" i="4"/>
  <c r="T100" i="4"/>
  <c r="U100" i="4"/>
  <c r="V100" i="4" s="1"/>
  <c r="W100" i="4" s="1"/>
  <c r="X100" i="4"/>
  <c r="Y100" i="4"/>
  <c r="AC100" i="4"/>
  <c r="H101" i="4"/>
  <c r="I101" i="4"/>
  <c r="J101" i="4" s="1"/>
  <c r="L101" i="4"/>
  <c r="M101" i="4"/>
  <c r="N101" i="4"/>
  <c r="O101" i="4"/>
  <c r="P101" i="4" s="1"/>
  <c r="Q101" i="4" s="1"/>
  <c r="R101" i="4"/>
  <c r="S101" i="4"/>
  <c r="T101" i="4"/>
  <c r="U101" i="4"/>
  <c r="V101" i="4" s="1"/>
  <c r="X101" i="4"/>
  <c r="Y101" i="4"/>
  <c r="AC101" i="4"/>
  <c r="H102" i="4"/>
  <c r="I102" i="4"/>
  <c r="J102" i="4" s="1"/>
  <c r="L102" i="4"/>
  <c r="M102" i="4"/>
  <c r="N102" i="4"/>
  <c r="O102" i="4"/>
  <c r="P102" i="4" s="1"/>
  <c r="R102" i="4"/>
  <c r="S102" i="4"/>
  <c r="T102" i="4"/>
  <c r="U102" i="4"/>
  <c r="V102" i="4" s="1"/>
  <c r="X102" i="4"/>
  <c r="Y102" i="4"/>
  <c r="AC102" i="4"/>
  <c r="H103" i="4"/>
  <c r="I103" i="4"/>
  <c r="J103" i="4" s="1"/>
  <c r="L103" i="4"/>
  <c r="M103" i="4"/>
  <c r="N103" i="4"/>
  <c r="O103" i="4"/>
  <c r="P103" i="4" s="1"/>
  <c r="R103" i="4"/>
  <c r="S103" i="4"/>
  <c r="T103" i="4"/>
  <c r="U103" i="4"/>
  <c r="X103" i="4"/>
  <c r="Y103" i="4"/>
  <c r="AC103" i="4"/>
  <c r="H104" i="4"/>
  <c r="I104" i="4"/>
  <c r="J104" i="4" s="1"/>
  <c r="L104" i="4"/>
  <c r="M104" i="4"/>
  <c r="N104" i="4"/>
  <c r="O104" i="4"/>
  <c r="R104" i="4"/>
  <c r="S104" i="4"/>
  <c r="T104" i="4"/>
  <c r="U104" i="4"/>
  <c r="V104" i="4" s="1"/>
  <c r="X104" i="4"/>
  <c r="Y104" i="4"/>
  <c r="AC104" i="4"/>
  <c r="H105" i="4"/>
  <c r="I105" i="4"/>
  <c r="L105" i="4"/>
  <c r="M105" i="4"/>
  <c r="N105" i="4"/>
  <c r="O105" i="4"/>
  <c r="P105" i="4" s="1"/>
  <c r="R105" i="4"/>
  <c r="S105" i="4"/>
  <c r="T105" i="4"/>
  <c r="U105" i="4"/>
  <c r="V105" i="4" s="1"/>
  <c r="X105" i="4"/>
  <c r="Y105" i="4"/>
  <c r="AC105" i="4"/>
  <c r="H106" i="4"/>
  <c r="I106" i="4"/>
  <c r="J106" i="4" s="1"/>
  <c r="L106" i="4"/>
  <c r="M106" i="4"/>
  <c r="N106" i="4"/>
  <c r="O106" i="4"/>
  <c r="P106" i="4" s="1"/>
  <c r="R106" i="4"/>
  <c r="S106" i="4"/>
  <c r="T106" i="4"/>
  <c r="U106" i="4"/>
  <c r="V106" i="4" s="1"/>
  <c r="X106" i="4"/>
  <c r="Y106" i="4"/>
  <c r="AC106" i="4"/>
  <c r="H107" i="4"/>
  <c r="I107" i="4"/>
  <c r="J107" i="4" s="1"/>
  <c r="L107" i="4"/>
  <c r="M107" i="4"/>
  <c r="N107" i="4"/>
  <c r="O107" i="4"/>
  <c r="P107" i="4" s="1"/>
  <c r="R107" i="4"/>
  <c r="S107" i="4"/>
  <c r="T107" i="4"/>
  <c r="U107" i="4"/>
  <c r="V107" i="4" s="1"/>
  <c r="X107" i="4"/>
  <c r="Y107" i="4"/>
  <c r="AC107" i="4"/>
  <c r="H108" i="4"/>
  <c r="I108" i="4"/>
  <c r="J108" i="4" s="1"/>
  <c r="L108" i="4"/>
  <c r="M108" i="4"/>
  <c r="N108" i="4"/>
  <c r="O108" i="4"/>
  <c r="P108" i="4" s="1"/>
  <c r="R108" i="4"/>
  <c r="S108" i="4"/>
  <c r="T108" i="4"/>
  <c r="U108" i="4"/>
  <c r="X108" i="4"/>
  <c r="Y108" i="4"/>
  <c r="AC108" i="4"/>
  <c r="H109" i="4"/>
  <c r="I109" i="4"/>
  <c r="J109" i="4" s="1"/>
  <c r="L109" i="4"/>
  <c r="M109" i="4"/>
  <c r="N109" i="4"/>
  <c r="O109" i="4"/>
  <c r="P109" i="4" s="1"/>
  <c r="R109" i="4"/>
  <c r="S109" i="4"/>
  <c r="T109" i="4"/>
  <c r="U109" i="4"/>
  <c r="V109" i="4" s="1"/>
  <c r="W109" i="4" s="1"/>
  <c r="X109" i="4"/>
  <c r="Y109" i="4"/>
  <c r="AC109" i="4"/>
  <c r="H110" i="4"/>
  <c r="I110" i="4"/>
  <c r="J110" i="4" s="1"/>
  <c r="K110" i="4" s="1"/>
  <c r="L110" i="4"/>
  <c r="M110" i="4"/>
  <c r="N110" i="4"/>
  <c r="O110" i="4"/>
  <c r="P110" i="4" s="1"/>
  <c r="R110" i="4"/>
  <c r="S110" i="4"/>
  <c r="T110" i="4"/>
  <c r="U110" i="4"/>
  <c r="V110" i="4" s="1"/>
  <c r="X110" i="4"/>
  <c r="Y110" i="4"/>
  <c r="AC110" i="4"/>
  <c r="H111" i="4"/>
  <c r="I111" i="4"/>
  <c r="L111" i="4"/>
  <c r="M111" i="4"/>
  <c r="N111" i="4"/>
  <c r="O111" i="4"/>
  <c r="P111" i="4" s="1"/>
  <c r="R111" i="4"/>
  <c r="S111" i="4"/>
  <c r="T111" i="4"/>
  <c r="U111" i="4"/>
  <c r="X111" i="4"/>
  <c r="Y111" i="4"/>
  <c r="AC111" i="4"/>
  <c r="H112" i="4"/>
  <c r="I112" i="4"/>
  <c r="J112" i="4" s="1"/>
  <c r="L112" i="4"/>
  <c r="M112" i="4"/>
  <c r="N112" i="4"/>
  <c r="O112" i="4"/>
  <c r="P112" i="4" s="1"/>
  <c r="R112" i="4"/>
  <c r="S112" i="4"/>
  <c r="T112" i="4"/>
  <c r="U112" i="4"/>
  <c r="V112" i="4" s="1"/>
  <c r="X112" i="4"/>
  <c r="Y112" i="4"/>
  <c r="AC112" i="4"/>
  <c r="H113" i="4"/>
  <c r="I113" i="4"/>
  <c r="J113" i="4" s="1"/>
  <c r="L113" i="4"/>
  <c r="M113" i="4"/>
  <c r="N113" i="4"/>
  <c r="O113" i="4"/>
  <c r="P113" i="4" s="1"/>
  <c r="R113" i="4"/>
  <c r="S113" i="4"/>
  <c r="T113" i="4"/>
  <c r="U113" i="4"/>
  <c r="V113" i="4" s="1"/>
  <c r="X113" i="4"/>
  <c r="Y113" i="4"/>
  <c r="AC113" i="4"/>
  <c r="H114" i="4"/>
  <c r="I114" i="4"/>
  <c r="J114" i="4" s="1"/>
  <c r="L114" i="4"/>
  <c r="M114" i="4"/>
  <c r="N114" i="4"/>
  <c r="O114" i="4"/>
  <c r="P114" i="4" s="1"/>
  <c r="R114" i="4"/>
  <c r="S114" i="4"/>
  <c r="T114" i="4"/>
  <c r="U114" i="4"/>
  <c r="V114" i="4" s="1"/>
  <c r="X114" i="4"/>
  <c r="Y114" i="4"/>
  <c r="AC114" i="4"/>
  <c r="H115" i="4"/>
  <c r="I115" i="4"/>
  <c r="J115" i="4" s="1"/>
  <c r="L115" i="4"/>
  <c r="M115" i="4"/>
  <c r="N115" i="4"/>
  <c r="O115" i="4"/>
  <c r="P115" i="4" s="1"/>
  <c r="R115" i="4"/>
  <c r="S115" i="4"/>
  <c r="T115" i="4"/>
  <c r="U115" i="4"/>
  <c r="X115" i="4"/>
  <c r="Y115" i="4"/>
  <c r="AC115" i="4"/>
  <c r="H116" i="4"/>
  <c r="I116" i="4"/>
  <c r="J116" i="4" s="1"/>
  <c r="K116" i="4" s="1"/>
  <c r="L116" i="4"/>
  <c r="M116" i="4"/>
  <c r="N116" i="4"/>
  <c r="O116" i="4"/>
  <c r="P116" i="4" s="1"/>
  <c r="R116" i="4"/>
  <c r="S116" i="4"/>
  <c r="T116" i="4"/>
  <c r="U116" i="4"/>
  <c r="V116" i="4" s="1"/>
  <c r="X116" i="4"/>
  <c r="Y116" i="4"/>
  <c r="AC116" i="4"/>
  <c r="H117" i="4"/>
  <c r="I117" i="4"/>
  <c r="J117" i="4" s="1"/>
  <c r="L117" i="4"/>
  <c r="M117" i="4"/>
  <c r="N117" i="4"/>
  <c r="O117" i="4"/>
  <c r="P117" i="4" s="1"/>
  <c r="R117" i="4"/>
  <c r="S117" i="4"/>
  <c r="T117" i="4"/>
  <c r="U117" i="4"/>
  <c r="V117" i="4" s="1"/>
  <c r="X117" i="4"/>
  <c r="Y117" i="4"/>
  <c r="AC117" i="4"/>
  <c r="H118" i="4"/>
  <c r="I118" i="4"/>
  <c r="J118" i="4" s="1"/>
  <c r="L118" i="4"/>
  <c r="M118" i="4"/>
  <c r="N118" i="4"/>
  <c r="O118" i="4"/>
  <c r="P118" i="4" s="1"/>
  <c r="R118" i="4"/>
  <c r="S118" i="4"/>
  <c r="T118" i="4"/>
  <c r="U118" i="4"/>
  <c r="V118" i="4" s="1"/>
  <c r="W118" i="4" s="1"/>
  <c r="X118" i="4"/>
  <c r="Y118" i="4"/>
  <c r="AC118" i="4"/>
  <c r="H119" i="4"/>
  <c r="I119" i="4"/>
  <c r="J119" i="4" s="1"/>
  <c r="L119" i="4"/>
  <c r="M119" i="4"/>
  <c r="N119" i="4"/>
  <c r="O119" i="4"/>
  <c r="R119" i="4"/>
  <c r="S119" i="4"/>
  <c r="T119" i="4"/>
  <c r="U119" i="4"/>
  <c r="V119" i="4" s="1"/>
  <c r="X119" i="4"/>
  <c r="Y119" i="4"/>
  <c r="AC119" i="4"/>
  <c r="H120" i="4"/>
  <c r="I120" i="4"/>
  <c r="J120" i="4" s="1"/>
  <c r="K120" i="4" s="1"/>
  <c r="L120" i="4"/>
  <c r="M120" i="4"/>
  <c r="N120" i="4"/>
  <c r="O120" i="4"/>
  <c r="P120" i="4" s="1"/>
  <c r="R120" i="4"/>
  <c r="S120" i="4"/>
  <c r="T120" i="4"/>
  <c r="U120" i="4"/>
  <c r="V120" i="4" s="1"/>
  <c r="X120" i="4"/>
  <c r="Y120" i="4"/>
  <c r="AC120" i="4"/>
  <c r="H121" i="4"/>
  <c r="I121" i="4"/>
  <c r="J121" i="4" s="1"/>
  <c r="L121" i="4"/>
  <c r="M121" i="4"/>
  <c r="N121" i="4"/>
  <c r="O121" i="4"/>
  <c r="P121" i="4" s="1"/>
  <c r="R121" i="4"/>
  <c r="S121" i="4"/>
  <c r="T121" i="4"/>
  <c r="U121" i="4"/>
  <c r="V121" i="4" s="1"/>
  <c r="X121" i="4"/>
  <c r="Y121" i="4"/>
  <c r="AC121" i="4"/>
  <c r="H122" i="4"/>
  <c r="I122" i="4"/>
  <c r="J122" i="4" s="1"/>
  <c r="L122" i="4"/>
  <c r="M122" i="4"/>
  <c r="N122" i="4"/>
  <c r="O122" i="4"/>
  <c r="P122" i="4" s="1"/>
  <c r="R122" i="4"/>
  <c r="S122" i="4"/>
  <c r="T122" i="4"/>
  <c r="U122" i="4"/>
  <c r="V122" i="4" s="1"/>
  <c r="W122" i="4" s="1"/>
  <c r="X122" i="4"/>
  <c r="Y122" i="4"/>
  <c r="AC122" i="4"/>
  <c r="H123" i="4"/>
  <c r="I123" i="4"/>
  <c r="J123" i="4" s="1"/>
  <c r="L123" i="4"/>
  <c r="M123" i="4"/>
  <c r="N123" i="4"/>
  <c r="O123" i="4"/>
  <c r="P123" i="4" s="1"/>
  <c r="Q123" i="4" s="1"/>
  <c r="R123" i="4"/>
  <c r="S123" i="4"/>
  <c r="T123" i="4"/>
  <c r="U123" i="4"/>
  <c r="V123" i="4" s="1"/>
  <c r="X123" i="4"/>
  <c r="Y123" i="4"/>
  <c r="AC123" i="4"/>
  <c r="H124" i="4"/>
  <c r="I124" i="4"/>
  <c r="J124" i="4" s="1"/>
  <c r="L124" i="4"/>
  <c r="M124" i="4"/>
  <c r="N124" i="4"/>
  <c r="O124" i="4"/>
  <c r="R124" i="4"/>
  <c r="S124" i="4"/>
  <c r="T124" i="4"/>
  <c r="U124" i="4"/>
  <c r="V124" i="4" s="1"/>
  <c r="X124" i="4"/>
  <c r="Y124" i="4"/>
  <c r="AC124" i="4"/>
  <c r="H125" i="4"/>
  <c r="I125" i="4"/>
  <c r="J125" i="4" s="1"/>
  <c r="L125" i="4"/>
  <c r="M125" i="4"/>
  <c r="N125" i="4"/>
  <c r="O125" i="4"/>
  <c r="P125" i="4" s="1"/>
  <c r="R125" i="4"/>
  <c r="S125" i="4"/>
  <c r="T125" i="4"/>
  <c r="U125" i="4"/>
  <c r="V125" i="4" s="1"/>
  <c r="X125" i="4"/>
  <c r="Y125" i="4"/>
  <c r="AC125" i="4"/>
  <c r="H126" i="4"/>
  <c r="I126" i="4"/>
  <c r="J126" i="4" s="1"/>
  <c r="L126" i="4"/>
  <c r="M126" i="4"/>
  <c r="N126" i="4"/>
  <c r="O126" i="4"/>
  <c r="P126" i="4" s="1"/>
  <c r="R126" i="4"/>
  <c r="S126" i="4"/>
  <c r="T126" i="4"/>
  <c r="U126" i="4"/>
  <c r="V126" i="4" s="1"/>
  <c r="X126" i="4"/>
  <c r="Y126" i="4"/>
  <c r="AC126" i="4"/>
  <c r="H127" i="4"/>
  <c r="I127" i="4"/>
  <c r="J127" i="4" s="1"/>
  <c r="L127" i="4"/>
  <c r="M127" i="4"/>
  <c r="N127" i="4"/>
  <c r="O127" i="4"/>
  <c r="P127" i="4" s="1"/>
  <c r="R127" i="4"/>
  <c r="S127" i="4"/>
  <c r="T127" i="4"/>
  <c r="U127" i="4"/>
  <c r="V127" i="4" s="1"/>
  <c r="X127" i="4"/>
  <c r="Y127" i="4"/>
  <c r="AC127" i="4"/>
  <c r="H128" i="4"/>
  <c r="I128" i="4"/>
  <c r="J128" i="4" s="1"/>
  <c r="L128" i="4"/>
  <c r="M128" i="4"/>
  <c r="N128" i="4"/>
  <c r="O128" i="4"/>
  <c r="P128" i="4" s="1"/>
  <c r="R128" i="4"/>
  <c r="S128" i="4"/>
  <c r="T128" i="4"/>
  <c r="U128" i="4"/>
  <c r="V128" i="4" s="1"/>
  <c r="X128" i="4"/>
  <c r="Y128" i="4"/>
  <c r="AC128" i="4"/>
  <c r="H129" i="4"/>
  <c r="I129" i="4"/>
  <c r="J129" i="4" s="1"/>
  <c r="L129" i="4"/>
  <c r="M129" i="4"/>
  <c r="N129" i="4"/>
  <c r="O129" i="4"/>
  <c r="P129" i="4" s="1"/>
  <c r="Q129" i="4" s="1"/>
  <c r="R129" i="4"/>
  <c r="S129" i="4"/>
  <c r="T129" i="4"/>
  <c r="U129" i="4"/>
  <c r="V129" i="4" s="1"/>
  <c r="X129" i="4"/>
  <c r="Y129" i="4"/>
  <c r="AC129" i="4"/>
  <c r="H130" i="4"/>
  <c r="I130" i="4"/>
  <c r="J130" i="4" s="1"/>
  <c r="L130" i="4"/>
  <c r="M130" i="4"/>
  <c r="N130" i="4"/>
  <c r="O130" i="4"/>
  <c r="P130" i="4" s="1"/>
  <c r="R130" i="4"/>
  <c r="S130" i="4"/>
  <c r="T130" i="4"/>
  <c r="U130" i="4"/>
  <c r="V130" i="4" s="1"/>
  <c r="X130" i="4"/>
  <c r="Y130" i="4"/>
  <c r="AC130" i="4"/>
  <c r="H131" i="4"/>
  <c r="I131" i="4"/>
  <c r="J131" i="4" s="1"/>
  <c r="K131" i="4" s="1"/>
  <c r="L131" i="4"/>
  <c r="M131" i="4"/>
  <c r="N131" i="4"/>
  <c r="O131" i="4"/>
  <c r="P131" i="4" s="1"/>
  <c r="R131" i="4"/>
  <c r="S131" i="4"/>
  <c r="T131" i="4"/>
  <c r="U131" i="4"/>
  <c r="V131" i="4" s="1"/>
  <c r="X131" i="4"/>
  <c r="Y131" i="4"/>
  <c r="AC131" i="4"/>
  <c r="H132" i="4"/>
  <c r="I132" i="4"/>
  <c r="J132" i="4" s="1"/>
  <c r="L132" i="4"/>
  <c r="M132" i="4"/>
  <c r="N132" i="4"/>
  <c r="O132" i="4"/>
  <c r="P132" i="4" s="1"/>
  <c r="R132" i="4"/>
  <c r="S132" i="4"/>
  <c r="T132" i="4"/>
  <c r="U132" i="4"/>
  <c r="V132" i="4" s="1"/>
  <c r="X132" i="4"/>
  <c r="Y132" i="4"/>
  <c r="AC132" i="4"/>
  <c r="H133" i="4"/>
  <c r="I133" i="4"/>
  <c r="J133" i="4" s="1"/>
  <c r="L133" i="4"/>
  <c r="M133" i="4"/>
  <c r="N133" i="4"/>
  <c r="O133" i="4"/>
  <c r="P133" i="4" s="1"/>
  <c r="R133" i="4"/>
  <c r="S133" i="4"/>
  <c r="T133" i="4"/>
  <c r="U133" i="4"/>
  <c r="V133" i="4" s="1"/>
  <c r="X133" i="4"/>
  <c r="Y133" i="4"/>
  <c r="AC133" i="4"/>
  <c r="H134" i="4"/>
  <c r="I134" i="4"/>
  <c r="J134" i="4" s="1"/>
  <c r="L134" i="4"/>
  <c r="M134" i="4"/>
  <c r="N134" i="4"/>
  <c r="O134" i="4"/>
  <c r="P134" i="4" s="1"/>
  <c r="R134" i="4"/>
  <c r="S134" i="4"/>
  <c r="T134" i="4"/>
  <c r="U134" i="4"/>
  <c r="V134" i="4" s="1"/>
  <c r="X134" i="4"/>
  <c r="Y134" i="4"/>
  <c r="AC134" i="4"/>
  <c r="H135" i="4"/>
  <c r="I135" i="4"/>
  <c r="J135" i="4" s="1"/>
  <c r="L135" i="4"/>
  <c r="M135" i="4"/>
  <c r="N135" i="4"/>
  <c r="O135" i="4"/>
  <c r="P135" i="4" s="1"/>
  <c r="R135" i="4"/>
  <c r="S135" i="4"/>
  <c r="T135" i="4"/>
  <c r="U135" i="4"/>
  <c r="V135" i="4" s="1"/>
  <c r="X135" i="4"/>
  <c r="Y135" i="4"/>
  <c r="AC135" i="4"/>
  <c r="H136" i="4"/>
  <c r="I136" i="4"/>
  <c r="J136" i="4" s="1"/>
  <c r="L136" i="4"/>
  <c r="M136" i="4"/>
  <c r="N136" i="4"/>
  <c r="O136" i="4"/>
  <c r="P136" i="4" s="1"/>
  <c r="R136" i="4"/>
  <c r="S136" i="4"/>
  <c r="T136" i="4"/>
  <c r="U136" i="4"/>
  <c r="V136" i="4" s="1"/>
  <c r="X136" i="4"/>
  <c r="Y136" i="4"/>
  <c r="AC136" i="4"/>
  <c r="H137" i="4"/>
  <c r="I137" i="4"/>
  <c r="J137" i="4" s="1"/>
  <c r="L137" i="4"/>
  <c r="M137" i="4"/>
  <c r="N137" i="4"/>
  <c r="O137" i="4"/>
  <c r="P137" i="4" s="1"/>
  <c r="R137" i="4"/>
  <c r="S137" i="4"/>
  <c r="T137" i="4"/>
  <c r="U137" i="4"/>
  <c r="V137" i="4" s="1"/>
  <c r="X137" i="4"/>
  <c r="Y137" i="4"/>
  <c r="AC137" i="4"/>
  <c r="D34" i="4"/>
  <c r="E34" i="4"/>
  <c r="G34" i="4"/>
  <c r="D35" i="4"/>
  <c r="E35" i="4"/>
  <c r="G35" i="4"/>
  <c r="D36" i="4"/>
  <c r="E36" i="4"/>
  <c r="G36" i="4"/>
  <c r="D37" i="4"/>
  <c r="E37" i="4"/>
  <c r="G37" i="4"/>
  <c r="D38" i="4"/>
  <c r="E38" i="4"/>
  <c r="G38" i="4"/>
  <c r="D39" i="4"/>
  <c r="E39" i="4"/>
  <c r="G39" i="4"/>
  <c r="D40" i="4"/>
  <c r="E40" i="4"/>
  <c r="G40" i="4"/>
  <c r="D41" i="4"/>
  <c r="E41" i="4"/>
  <c r="G41" i="4"/>
  <c r="D42" i="4"/>
  <c r="E42" i="4"/>
  <c r="G42" i="4"/>
  <c r="D43" i="4"/>
  <c r="E43" i="4"/>
  <c r="G43" i="4"/>
  <c r="D44" i="4"/>
  <c r="E44" i="4"/>
  <c r="G44" i="4"/>
  <c r="D45" i="4"/>
  <c r="E45" i="4"/>
  <c r="G45" i="4"/>
  <c r="D46" i="4"/>
  <c r="E46" i="4"/>
  <c r="G46" i="4"/>
  <c r="D47" i="4"/>
  <c r="E47" i="4"/>
  <c r="G47" i="4"/>
  <c r="D48" i="4"/>
  <c r="E48" i="4"/>
  <c r="G48" i="4"/>
  <c r="D49" i="4"/>
  <c r="E49" i="4"/>
  <c r="G49" i="4"/>
  <c r="D50" i="4"/>
  <c r="E50" i="4"/>
  <c r="G50" i="4"/>
  <c r="D51" i="4"/>
  <c r="E51" i="4"/>
  <c r="G51" i="4"/>
  <c r="D52" i="4"/>
  <c r="E52" i="4"/>
  <c r="G52" i="4"/>
  <c r="D53" i="4"/>
  <c r="E53" i="4"/>
  <c r="G53" i="4"/>
  <c r="D54" i="4"/>
  <c r="E54" i="4"/>
  <c r="G54" i="4"/>
  <c r="D55" i="4"/>
  <c r="E55" i="4"/>
  <c r="G55" i="4"/>
  <c r="D56" i="4"/>
  <c r="E56" i="4"/>
  <c r="G56" i="4"/>
  <c r="D57" i="4"/>
  <c r="E57" i="4"/>
  <c r="G57" i="4"/>
  <c r="D58" i="4"/>
  <c r="E58" i="4"/>
  <c r="G58" i="4"/>
  <c r="D59" i="4"/>
  <c r="E59" i="4"/>
  <c r="G59" i="4"/>
  <c r="D60" i="4"/>
  <c r="E60" i="4"/>
  <c r="G60" i="4"/>
  <c r="D61" i="4"/>
  <c r="E61" i="4"/>
  <c r="G61" i="4"/>
  <c r="D62" i="4"/>
  <c r="E62" i="4"/>
  <c r="G62" i="4"/>
  <c r="D63" i="4"/>
  <c r="E63" i="4"/>
  <c r="G63" i="4"/>
  <c r="D64" i="4"/>
  <c r="E64" i="4"/>
  <c r="G64" i="4"/>
  <c r="D65" i="4"/>
  <c r="E65" i="4"/>
  <c r="G65" i="4"/>
  <c r="D66" i="4"/>
  <c r="E66" i="4"/>
  <c r="G66" i="4"/>
  <c r="D67" i="4"/>
  <c r="E67" i="4"/>
  <c r="G67" i="4"/>
  <c r="D68" i="4"/>
  <c r="E68" i="4"/>
  <c r="G68" i="4"/>
  <c r="D69" i="4"/>
  <c r="E69" i="4"/>
  <c r="G69" i="4"/>
  <c r="D70" i="4"/>
  <c r="E70" i="4"/>
  <c r="G70" i="4"/>
  <c r="D71" i="4"/>
  <c r="E71" i="4"/>
  <c r="G71" i="4"/>
  <c r="D72" i="4"/>
  <c r="E72" i="4"/>
  <c r="G72" i="4"/>
  <c r="D73" i="4"/>
  <c r="E73" i="4"/>
  <c r="G73" i="4"/>
  <c r="D74" i="4"/>
  <c r="E74" i="4"/>
  <c r="G74" i="4"/>
  <c r="D75" i="4"/>
  <c r="E75" i="4"/>
  <c r="G75" i="4"/>
  <c r="D76" i="4"/>
  <c r="E76" i="4"/>
  <c r="G76" i="4"/>
  <c r="D77" i="4"/>
  <c r="E77" i="4"/>
  <c r="G77" i="4"/>
  <c r="D78" i="4"/>
  <c r="E78" i="4"/>
  <c r="G78" i="4"/>
  <c r="D79" i="4"/>
  <c r="E79" i="4"/>
  <c r="G79" i="4"/>
  <c r="D80" i="4"/>
  <c r="E80" i="4"/>
  <c r="G80" i="4"/>
  <c r="D81" i="4"/>
  <c r="E81" i="4"/>
  <c r="G81" i="4"/>
  <c r="D82" i="4"/>
  <c r="E82" i="4"/>
  <c r="G82" i="4"/>
  <c r="D83" i="4"/>
  <c r="E83" i="4"/>
  <c r="G83" i="4"/>
  <c r="D84" i="4"/>
  <c r="E84" i="4"/>
  <c r="G84" i="4"/>
  <c r="D85" i="4"/>
  <c r="E85" i="4"/>
  <c r="G85" i="4"/>
  <c r="D86" i="4"/>
  <c r="E86" i="4"/>
  <c r="G86" i="4"/>
  <c r="D87" i="4"/>
  <c r="E87" i="4"/>
  <c r="G87" i="4"/>
  <c r="D88" i="4"/>
  <c r="E88" i="4"/>
  <c r="G88" i="4"/>
  <c r="D89" i="4"/>
  <c r="E89" i="4"/>
  <c r="G89" i="4"/>
  <c r="D90" i="4"/>
  <c r="E90" i="4"/>
  <c r="G90" i="4"/>
  <c r="D91" i="4"/>
  <c r="E91" i="4"/>
  <c r="G91" i="4"/>
  <c r="D92" i="4"/>
  <c r="E92" i="4"/>
  <c r="G92" i="4"/>
  <c r="D93" i="4"/>
  <c r="E93" i="4"/>
  <c r="G93" i="4"/>
  <c r="D94" i="4"/>
  <c r="E94" i="4"/>
  <c r="G94" i="4"/>
  <c r="D95" i="4"/>
  <c r="E95" i="4"/>
  <c r="G95" i="4"/>
  <c r="D96" i="4"/>
  <c r="E96" i="4"/>
  <c r="G96" i="4"/>
  <c r="D97" i="4"/>
  <c r="E97" i="4"/>
  <c r="G97" i="4"/>
  <c r="D98" i="4"/>
  <c r="E98" i="4"/>
  <c r="G98" i="4"/>
  <c r="D99" i="4"/>
  <c r="E99" i="4"/>
  <c r="G99" i="4"/>
  <c r="D100" i="4"/>
  <c r="E100" i="4"/>
  <c r="G100" i="4"/>
  <c r="D101" i="4"/>
  <c r="E101" i="4"/>
  <c r="G101" i="4"/>
  <c r="D102" i="4"/>
  <c r="E102" i="4"/>
  <c r="G102" i="4"/>
  <c r="D103" i="4"/>
  <c r="E103" i="4"/>
  <c r="G103" i="4"/>
  <c r="D104" i="4"/>
  <c r="E104" i="4"/>
  <c r="G104" i="4"/>
  <c r="D105" i="4"/>
  <c r="E105" i="4"/>
  <c r="G105" i="4"/>
  <c r="D106" i="4"/>
  <c r="E106" i="4"/>
  <c r="G106" i="4"/>
  <c r="D107" i="4"/>
  <c r="E107" i="4"/>
  <c r="G107" i="4"/>
  <c r="D108" i="4"/>
  <c r="E108" i="4"/>
  <c r="G108" i="4"/>
  <c r="D109" i="4"/>
  <c r="E109" i="4"/>
  <c r="G109" i="4"/>
  <c r="D110" i="4"/>
  <c r="E110" i="4"/>
  <c r="G110" i="4"/>
  <c r="D111" i="4"/>
  <c r="E111" i="4"/>
  <c r="G111" i="4"/>
  <c r="D112" i="4"/>
  <c r="E112" i="4"/>
  <c r="G112" i="4"/>
  <c r="D113" i="4"/>
  <c r="E113" i="4"/>
  <c r="G113" i="4"/>
  <c r="D114" i="4"/>
  <c r="E114" i="4"/>
  <c r="G114" i="4"/>
  <c r="D115" i="4"/>
  <c r="E115" i="4"/>
  <c r="G115" i="4"/>
  <c r="D116" i="4"/>
  <c r="E116" i="4"/>
  <c r="G116" i="4"/>
  <c r="D117" i="4"/>
  <c r="E117" i="4"/>
  <c r="G117" i="4"/>
  <c r="D118" i="4"/>
  <c r="E118" i="4"/>
  <c r="G118" i="4"/>
  <c r="D119" i="4"/>
  <c r="E119" i="4"/>
  <c r="G119" i="4"/>
  <c r="D120" i="4"/>
  <c r="E120" i="4"/>
  <c r="G120" i="4"/>
  <c r="D121" i="4"/>
  <c r="E121" i="4"/>
  <c r="G121" i="4"/>
  <c r="D122" i="4"/>
  <c r="E122" i="4"/>
  <c r="G122" i="4"/>
  <c r="D123" i="4"/>
  <c r="E123" i="4"/>
  <c r="G123" i="4"/>
  <c r="D124" i="4"/>
  <c r="E124" i="4"/>
  <c r="G124" i="4"/>
  <c r="D125" i="4"/>
  <c r="E125" i="4"/>
  <c r="G125" i="4"/>
  <c r="D126" i="4"/>
  <c r="E126" i="4"/>
  <c r="G126" i="4"/>
  <c r="D127" i="4"/>
  <c r="E127" i="4"/>
  <c r="G127" i="4"/>
  <c r="D128" i="4"/>
  <c r="E128" i="4"/>
  <c r="G128" i="4"/>
  <c r="D129" i="4"/>
  <c r="E129" i="4"/>
  <c r="G129" i="4"/>
  <c r="D130" i="4"/>
  <c r="E130" i="4"/>
  <c r="G130" i="4"/>
  <c r="D131" i="4"/>
  <c r="E131" i="4"/>
  <c r="G131" i="4"/>
  <c r="D132" i="4"/>
  <c r="E132" i="4"/>
  <c r="G132" i="4"/>
  <c r="D133" i="4"/>
  <c r="E133" i="4"/>
  <c r="G133" i="4"/>
  <c r="D134" i="4"/>
  <c r="E134" i="4"/>
  <c r="G134" i="4"/>
  <c r="D135" i="4"/>
  <c r="E135" i="4"/>
  <c r="G135" i="4"/>
  <c r="D136" i="4"/>
  <c r="E136" i="4"/>
  <c r="G136" i="4"/>
  <c r="D137" i="4"/>
  <c r="E137" i="4"/>
  <c r="G137" i="4"/>
  <c r="CA12" i="4"/>
  <c r="CB12" i="4"/>
  <c r="CC12" i="4"/>
  <c r="CD12" i="4"/>
  <c r="CE12" i="4"/>
  <c r="CF12" i="4"/>
  <c r="CG12" i="4"/>
  <c r="CH12" i="4"/>
  <c r="CI12" i="4"/>
  <c r="CA13" i="4"/>
  <c r="CB13" i="4"/>
  <c r="CC13" i="4"/>
  <c r="CD13" i="4"/>
  <c r="CE13" i="4"/>
  <c r="CF13" i="4"/>
  <c r="CG13" i="4"/>
  <c r="CH13" i="4"/>
  <c r="CI13" i="4"/>
  <c r="CA15" i="4"/>
  <c r="CB15" i="4"/>
  <c r="CC15" i="4"/>
  <c r="CD15" i="4"/>
  <c r="CE15" i="4"/>
  <c r="CF15" i="4"/>
  <c r="CG15" i="4"/>
  <c r="CH15" i="4"/>
  <c r="CI15" i="4"/>
  <c r="CA16" i="4"/>
  <c r="CB16" i="4"/>
  <c r="CC16" i="4"/>
  <c r="CD16" i="4"/>
  <c r="CE16" i="4"/>
  <c r="CF16" i="4"/>
  <c r="CG16" i="4"/>
  <c r="CH16" i="4"/>
  <c r="CI16"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I20" i="4"/>
  <c r="CA21" i="4"/>
  <c r="CB21" i="4"/>
  <c r="CC21" i="4"/>
  <c r="CD21" i="4"/>
  <c r="CE21" i="4"/>
  <c r="CF21" i="4"/>
  <c r="CG21" i="4"/>
  <c r="CH21" i="4"/>
  <c r="CI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I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I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I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A68" i="4"/>
  <c r="CB68" i="4"/>
  <c r="CC68" i="4"/>
  <c r="CD68" i="4"/>
  <c r="CE68" i="4"/>
  <c r="CF68" i="4"/>
  <c r="CG68" i="4"/>
  <c r="CH68" i="4"/>
  <c r="CI68" i="4"/>
  <c r="CA69" i="4"/>
  <c r="CB69" i="4"/>
  <c r="CC69" i="4"/>
  <c r="CD69" i="4"/>
  <c r="CE69" i="4"/>
  <c r="CF69" i="4"/>
  <c r="CG69" i="4"/>
  <c r="CH69" i="4"/>
  <c r="CI69" i="4"/>
  <c r="CA70" i="4"/>
  <c r="CB70" i="4"/>
  <c r="CC70" i="4"/>
  <c r="CD70" i="4"/>
  <c r="CE70" i="4"/>
  <c r="CF70" i="4"/>
  <c r="CG70" i="4"/>
  <c r="CH70" i="4"/>
  <c r="CI70" i="4"/>
  <c r="CA71" i="4"/>
  <c r="CB71" i="4"/>
  <c r="CC71" i="4"/>
  <c r="CD71" i="4"/>
  <c r="CE71" i="4"/>
  <c r="CF71" i="4"/>
  <c r="CG71" i="4"/>
  <c r="CH71" i="4"/>
  <c r="CI71" i="4"/>
  <c r="CA72" i="4"/>
  <c r="CB72" i="4"/>
  <c r="CC72" i="4"/>
  <c r="CD72" i="4"/>
  <c r="CE72" i="4"/>
  <c r="CF72" i="4"/>
  <c r="CG72" i="4"/>
  <c r="CH72" i="4"/>
  <c r="CI72" i="4"/>
  <c r="CA73" i="4"/>
  <c r="CB73" i="4"/>
  <c r="CC73" i="4"/>
  <c r="CD73" i="4"/>
  <c r="CE73" i="4"/>
  <c r="CF73" i="4"/>
  <c r="CG73" i="4"/>
  <c r="CH73" i="4"/>
  <c r="CI73" i="4"/>
  <c r="CA74" i="4"/>
  <c r="CB74" i="4"/>
  <c r="CC74" i="4"/>
  <c r="CD74" i="4"/>
  <c r="CE74" i="4"/>
  <c r="CF74" i="4"/>
  <c r="CG74" i="4"/>
  <c r="CH74" i="4"/>
  <c r="CI74" i="4"/>
  <c r="CA75" i="4"/>
  <c r="CB75" i="4"/>
  <c r="CC75" i="4"/>
  <c r="CD75" i="4"/>
  <c r="CE75" i="4"/>
  <c r="CF75" i="4"/>
  <c r="CG75" i="4"/>
  <c r="CH75" i="4"/>
  <c r="CI75" i="4"/>
  <c r="CA76" i="4"/>
  <c r="CB76" i="4"/>
  <c r="CC76" i="4"/>
  <c r="CD76" i="4"/>
  <c r="CE76" i="4"/>
  <c r="CF76" i="4"/>
  <c r="CG76" i="4"/>
  <c r="CH76" i="4"/>
  <c r="CI76" i="4"/>
  <c r="CA77" i="4"/>
  <c r="CB77" i="4"/>
  <c r="CC77" i="4"/>
  <c r="CD77" i="4"/>
  <c r="CE77" i="4"/>
  <c r="CF77" i="4"/>
  <c r="CG77" i="4"/>
  <c r="CH77" i="4"/>
  <c r="CI77" i="4"/>
  <c r="CA78" i="4"/>
  <c r="CB78" i="4"/>
  <c r="CC78" i="4"/>
  <c r="CD78" i="4"/>
  <c r="CE78" i="4"/>
  <c r="CF78" i="4"/>
  <c r="CG78" i="4"/>
  <c r="CH78" i="4"/>
  <c r="CI78" i="4"/>
  <c r="CA79" i="4"/>
  <c r="CB79" i="4"/>
  <c r="CC79" i="4"/>
  <c r="CD79" i="4"/>
  <c r="CE79" i="4"/>
  <c r="CF79" i="4"/>
  <c r="CG79" i="4"/>
  <c r="CH79" i="4"/>
  <c r="CI79" i="4"/>
  <c r="CA80" i="4"/>
  <c r="CB80" i="4"/>
  <c r="CC80" i="4"/>
  <c r="CD80" i="4"/>
  <c r="CE80" i="4"/>
  <c r="CF80" i="4"/>
  <c r="CG80" i="4"/>
  <c r="CH80" i="4"/>
  <c r="CI80" i="4"/>
  <c r="CA81" i="4"/>
  <c r="CB81" i="4"/>
  <c r="CC81" i="4"/>
  <c r="CD81" i="4"/>
  <c r="CE81" i="4"/>
  <c r="CF81" i="4"/>
  <c r="CG81" i="4"/>
  <c r="CH81" i="4"/>
  <c r="CI81" i="4"/>
  <c r="CA82" i="4"/>
  <c r="CB82" i="4"/>
  <c r="CC82" i="4"/>
  <c r="CD82" i="4"/>
  <c r="CE82" i="4"/>
  <c r="CF82" i="4"/>
  <c r="CG82" i="4"/>
  <c r="CH82" i="4"/>
  <c r="CI82" i="4"/>
  <c r="CA83" i="4"/>
  <c r="CB83" i="4"/>
  <c r="CC83" i="4"/>
  <c r="CD83" i="4"/>
  <c r="CE83" i="4"/>
  <c r="CF83" i="4"/>
  <c r="CG83" i="4"/>
  <c r="CH83" i="4"/>
  <c r="CI83" i="4"/>
  <c r="CA84" i="4"/>
  <c r="CB84" i="4"/>
  <c r="CC84" i="4"/>
  <c r="CD84" i="4"/>
  <c r="CE84" i="4"/>
  <c r="CF84" i="4"/>
  <c r="CG84" i="4"/>
  <c r="CH84" i="4"/>
  <c r="CI84" i="4"/>
  <c r="CA85" i="4"/>
  <c r="CB85" i="4"/>
  <c r="CC85" i="4"/>
  <c r="CD85" i="4"/>
  <c r="CE85" i="4"/>
  <c r="CF85" i="4"/>
  <c r="CG85" i="4"/>
  <c r="CH85" i="4"/>
  <c r="CI85" i="4"/>
  <c r="CA86" i="4"/>
  <c r="CB86" i="4"/>
  <c r="CC86" i="4"/>
  <c r="CD86" i="4"/>
  <c r="CE86" i="4"/>
  <c r="CF86" i="4"/>
  <c r="CG86" i="4"/>
  <c r="CH86" i="4"/>
  <c r="CI86" i="4"/>
  <c r="CA87" i="4"/>
  <c r="CB87" i="4"/>
  <c r="CC87" i="4"/>
  <c r="CD87" i="4"/>
  <c r="CE87" i="4"/>
  <c r="CF87" i="4"/>
  <c r="CG87" i="4"/>
  <c r="CH87" i="4"/>
  <c r="CI87" i="4"/>
  <c r="CA88" i="4"/>
  <c r="CB88" i="4"/>
  <c r="CC88" i="4"/>
  <c r="CD88" i="4"/>
  <c r="CE88" i="4"/>
  <c r="CF88" i="4"/>
  <c r="CG88" i="4"/>
  <c r="CH88" i="4"/>
  <c r="CI88" i="4"/>
  <c r="CA89" i="4"/>
  <c r="CB89" i="4"/>
  <c r="CC89" i="4"/>
  <c r="CD89" i="4"/>
  <c r="CE89" i="4"/>
  <c r="CF89" i="4"/>
  <c r="CG89" i="4"/>
  <c r="CH89" i="4"/>
  <c r="CI89" i="4"/>
  <c r="CA90" i="4"/>
  <c r="CB90" i="4"/>
  <c r="CC90" i="4"/>
  <c r="CD90" i="4"/>
  <c r="CE90" i="4"/>
  <c r="CF90" i="4"/>
  <c r="CG90" i="4"/>
  <c r="CH90" i="4"/>
  <c r="CI90" i="4"/>
  <c r="CA91" i="4"/>
  <c r="CB91" i="4"/>
  <c r="CC91" i="4"/>
  <c r="CD91" i="4"/>
  <c r="CE91" i="4"/>
  <c r="CF91" i="4"/>
  <c r="CG91" i="4"/>
  <c r="CH91" i="4"/>
  <c r="CI91" i="4"/>
  <c r="CA92" i="4"/>
  <c r="CB92" i="4"/>
  <c r="CC92" i="4"/>
  <c r="CD92" i="4"/>
  <c r="CE92" i="4"/>
  <c r="CF92" i="4"/>
  <c r="CG92" i="4"/>
  <c r="CH92" i="4"/>
  <c r="CI92" i="4"/>
  <c r="CA93" i="4"/>
  <c r="CB93" i="4"/>
  <c r="CC93" i="4"/>
  <c r="CD93" i="4"/>
  <c r="CE93" i="4"/>
  <c r="CF93" i="4"/>
  <c r="CG93" i="4"/>
  <c r="CH93" i="4"/>
  <c r="CI93" i="4"/>
  <c r="CA94" i="4"/>
  <c r="CB94" i="4"/>
  <c r="CC94" i="4"/>
  <c r="CD94" i="4"/>
  <c r="CE94" i="4"/>
  <c r="CF94" i="4"/>
  <c r="CG94" i="4"/>
  <c r="CH94" i="4"/>
  <c r="CI94" i="4"/>
  <c r="CA95" i="4"/>
  <c r="CB95" i="4"/>
  <c r="CC95" i="4"/>
  <c r="CD95" i="4"/>
  <c r="CE95" i="4"/>
  <c r="CF95" i="4"/>
  <c r="CG95" i="4"/>
  <c r="CH95" i="4"/>
  <c r="CI95" i="4"/>
  <c r="CA96" i="4"/>
  <c r="CB96" i="4"/>
  <c r="CC96" i="4"/>
  <c r="CD96" i="4"/>
  <c r="CE96" i="4"/>
  <c r="CF96" i="4"/>
  <c r="CG96" i="4"/>
  <c r="CH96" i="4"/>
  <c r="CI96" i="4"/>
  <c r="CA97" i="4"/>
  <c r="CB97" i="4"/>
  <c r="CC97" i="4"/>
  <c r="CD97" i="4"/>
  <c r="CE97" i="4"/>
  <c r="CF97" i="4"/>
  <c r="CG97" i="4"/>
  <c r="CH97" i="4"/>
  <c r="CI97" i="4"/>
  <c r="CA98" i="4"/>
  <c r="CB98" i="4"/>
  <c r="CC98" i="4"/>
  <c r="CD98" i="4"/>
  <c r="CE98" i="4"/>
  <c r="CF98" i="4"/>
  <c r="CG98" i="4"/>
  <c r="CH98" i="4"/>
  <c r="CI98" i="4"/>
  <c r="CA99" i="4"/>
  <c r="CB99" i="4"/>
  <c r="CC99" i="4"/>
  <c r="CD99" i="4"/>
  <c r="CE99" i="4"/>
  <c r="CF99" i="4"/>
  <c r="CG99" i="4"/>
  <c r="CH99" i="4"/>
  <c r="CI99" i="4"/>
  <c r="CA100" i="4"/>
  <c r="CB100" i="4"/>
  <c r="CC100" i="4"/>
  <c r="CD100" i="4"/>
  <c r="CE100" i="4"/>
  <c r="CF100" i="4"/>
  <c r="CG100" i="4"/>
  <c r="CH100" i="4"/>
  <c r="CI100" i="4"/>
  <c r="CA101" i="4"/>
  <c r="CB101" i="4"/>
  <c r="CC101" i="4"/>
  <c r="CD101" i="4"/>
  <c r="CE101" i="4"/>
  <c r="CF101" i="4"/>
  <c r="CG101" i="4"/>
  <c r="CH101" i="4"/>
  <c r="CI101" i="4"/>
  <c r="CA102" i="4"/>
  <c r="CB102" i="4"/>
  <c r="CC102" i="4"/>
  <c r="CD102" i="4"/>
  <c r="CE102" i="4"/>
  <c r="CF102" i="4"/>
  <c r="CG102" i="4"/>
  <c r="CH102" i="4"/>
  <c r="CI102" i="4"/>
  <c r="CA103" i="4"/>
  <c r="CB103" i="4"/>
  <c r="CC103" i="4"/>
  <c r="CD103" i="4"/>
  <c r="CE103" i="4"/>
  <c r="CF103" i="4"/>
  <c r="CG103" i="4"/>
  <c r="CH103" i="4"/>
  <c r="CI103" i="4"/>
  <c r="CA104" i="4"/>
  <c r="CB104" i="4"/>
  <c r="CC104" i="4"/>
  <c r="CD104" i="4"/>
  <c r="CE104" i="4"/>
  <c r="CF104" i="4"/>
  <c r="CG104" i="4"/>
  <c r="CH104" i="4"/>
  <c r="CI104" i="4"/>
  <c r="CA105" i="4"/>
  <c r="CB105" i="4"/>
  <c r="CC105" i="4"/>
  <c r="CD105" i="4"/>
  <c r="CE105" i="4"/>
  <c r="CF105" i="4"/>
  <c r="CG105" i="4"/>
  <c r="CH105" i="4"/>
  <c r="CI105" i="4"/>
  <c r="CA106" i="4"/>
  <c r="CB106" i="4"/>
  <c r="CC106" i="4"/>
  <c r="CD106" i="4"/>
  <c r="CE106" i="4"/>
  <c r="CF106" i="4"/>
  <c r="CG106" i="4"/>
  <c r="CH106" i="4"/>
  <c r="CI106" i="4"/>
  <c r="CA107" i="4"/>
  <c r="CB107" i="4"/>
  <c r="CC107" i="4"/>
  <c r="CD107" i="4"/>
  <c r="CE107" i="4"/>
  <c r="CF107" i="4"/>
  <c r="CG107" i="4"/>
  <c r="CH107" i="4"/>
  <c r="CI107" i="4"/>
  <c r="CA108" i="4"/>
  <c r="CB108" i="4"/>
  <c r="CC108" i="4"/>
  <c r="CD108" i="4"/>
  <c r="CE108" i="4"/>
  <c r="CF108" i="4"/>
  <c r="CG108" i="4"/>
  <c r="CH108" i="4"/>
  <c r="CI108" i="4"/>
  <c r="CA109" i="4"/>
  <c r="CB109" i="4"/>
  <c r="CC109" i="4"/>
  <c r="CD109" i="4"/>
  <c r="CE109" i="4"/>
  <c r="CF109" i="4"/>
  <c r="CG109" i="4"/>
  <c r="CH109" i="4"/>
  <c r="CI109" i="4"/>
  <c r="CA110" i="4"/>
  <c r="CB110" i="4"/>
  <c r="CC110" i="4"/>
  <c r="CD110" i="4"/>
  <c r="CE110" i="4"/>
  <c r="CF110" i="4"/>
  <c r="CG110" i="4"/>
  <c r="CH110" i="4"/>
  <c r="CI110" i="4"/>
  <c r="CA111" i="4"/>
  <c r="CB111" i="4"/>
  <c r="CC111" i="4"/>
  <c r="CD111" i="4"/>
  <c r="CE111" i="4"/>
  <c r="CF111" i="4"/>
  <c r="CG111" i="4"/>
  <c r="CH111" i="4"/>
  <c r="CI111" i="4"/>
  <c r="CA112" i="4"/>
  <c r="CB112" i="4"/>
  <c r="CC112" i="4"/>
  <c r="CD112" i="4"/>
  <c r="CE112" i="4"/>
  <c r="CF112" i="4"/>
  <c r="CG112" i="4"/>
  <c r="CH112" i="4"/>
  <c r="CI112" i="4"/>
  <c r="CA113" i="4"/>
  <c r="CB113" i="4"/>
  <c r="CC113" i="4"/>
  <c r="CD113" i="4"/>
  <c r="CE113" i="4"/>
  <c r="CF113" i="4"/>
  <c r="CG113" i="4"/>
  <c r="CH113" i="4"/>
  <c r="CI113" i="4"/>
  <c r="CA114" i="4"/>
  <c r="CB114" i="4"/>
  <c r="CC114" i="4"/>
  <c r="CD114" i="4"/>
  <c r="CE114" i="4"/>
  <c r="CF114" i="4"/>
  <c r="CG114" i="4"/>
  <c r="CH114" i="4"/>
  <c r="CI114" i="4"/>
  <c r="CA115" i="4"/>
  <c r="CB115" i="4"/>
  <c r="CC115" i="4"/>
  <c r="CD115" i="4"/>
  <c r="CE115" i="4"/>
  <c r="CF115" i="4"/>
  <c r="CG115" i="4"/>
  <c r="CH115" i="4"/>
  <c r="CI115" i="4"/>
  <c r="CA116" i="4"/>
  <c r="CB116" i="4"/>
  <c r="CC116" i="4"/>
  <c r="CD116" i="4"/>
  <c r="CE116" i="4"/>
  <c r="CF116" i="4"/>
  <c r="CG116" i="4"/>
  <c r="CH116" i="4"/>
  <c r="CI116" i="4"/>
  <c r="CA117" i="4"/>
  <c r="CB117" i="4"/>
  <c r="CC117" i="4"/>
  <c r="CD117" i="4"/>
  <c r="CE117" i="4"/>
  <c r="CF117" i="4"/>
  <c r="CG117" i="4"/>
  <c r="CH117" i="4"/>
  <c r="CI117" i="4"/>
  <c r="CA118" i="4"/>
  <c r="CB118" i="4"/>
  <c r="CC118" i="4"/>
  <c r="CD118" i="4"/>
  <c r="CE118" i="4"/>
  <c r="CF118" i="4"/>
  <c r="CG118" i="4"/>
  <c r="CH118" i="4"/>
  <c r="CI118" i="4"/>
  <c r="CA119" i="4"/>
  <c r="CB119" i="4"/>
  <c r="CC119" i="4"/>
  <c r="CD119" i="4"/>
  <c r="CE119" i="4"/>
  <c r="CF119" i="4"/>
  <c r="CG119" i="4"/>
  <c r="CH119" i="4"/>
  <c r="CI119" i="4"/>
  <c r="CA120" i="4"/>
  <c r="CB120" i="4"/>
  <c r="CC120" i="4"/>
  <c r="CD120" i="4"/>
  <c r="CE120" i="4"/>
  <c r="CF120" i="4"/>
  <c r="CG120" i="4"/>
  <c r="CH120" i="4"/>
  <c r="CI120" i="4"/>
  <c r="CA121" i="4"/>
  <c r="CB121" i="4"/>
  <c r="CC121" i="4"/>
  <c r="CD121" i="4"/>
  <c r="CE121" i="4"/>
  <c r="CF121" i="4"/>
  <c r="CG121" i="4"/>
  <c r="CH121" i="4"/>
  <c r="CI121" i="4"/>
  <c r="CA122" i="4"/>
  <c r="CB122" i="4"/>
  <c r="CC122" i="4"/>
  <c r="CD122" i="4"/>
  <c r="CE122" i="4"/>
  <c r="CF122" i="4"/>
  <c r="CG122" i="4"/>
  <c r="CH122" i="4"/>
  <c r="CI122" i="4"/>
  <c r="CA123" i="4"/>
  <c r="CB123" i="4"/>
  <c r="CC123" i="4"/>
  <c r="CD123" i="4"/>
  <c r="CE123" i="4"/>
  <c r="CF123" i="4"/>
  <c r="CG123" i="4"/>
  <c r="CH123" i="4"/>
  <c r="CI123" i="4"/>
  <c r="CA124" i="4"/>
  <c r="CB124" i="4"/>
  <c r="CC124" i="4"/>
  <c r="CD124" i="4"/>
  <c r="CE124" i="4"/>
  <c r="CF124" i="4"/>
  <c r="CG124" i="4"/>
  <c r="CH124" i="4"/>
  <c r="CI124" i="4"/>
  <c r="CA125" i="4"/>
  <c r="CB125" i="4"/>
  <c r="CC125" i="4"/>
  <c r="CD125" i="4"/>
  <c r="CE125" i="4"/>
  <c r="CF125" i="4"/>
  <c r="CG125" i="4"/>
  <c r="CH125" i="4"/>
  <c r="CI125" i="4"/>
  <c r="CA126" i="4"/>
  <c r="CB126" i="4"/>
  <c r="CC126" i="4"/>
  <c r="CD126" i="4"/>
  <c r="CE126" i="4"/>
  <c r="CF126" i="4"/>
  <c r="CG126" i="4"/>
  <c r="CH126" i="4"/>
  <c r="CI126" i="4"/>
  <c r="CA127" i="4"/>
  <c r="CB127" i="4"/>
  <c r="CC127" i="4"/>
  <c r="CD127" i="4"/>
  <c r="CE127" i="4"/>
  <c r="CF127" i="4"/>
  <c r="CG127" i="4"/>
  <c r="CH127" i="4"/>
  <c r="CI127" i="4"/>
  <c r="CA128" i="4"/>
  <c r="CB128" i="4"/>
  <c r="CC128" i="4"/>
  <c r="CD128" i="4"/>
  <c r="CE128" i="4"/>
  <c r="CF128" i="4"/>
  <c r="CG128" i="4"/>
  <c r="CH128" i="4"/>
  <c r="CI128" i="4"/>
  <c r="CA129" i="4"/>
  <c r="CB129" i="4"/>
  <c r="CC129" i="4"/>
  <c r="CD129" i="4"/>
  <c r="CE129" i="4"/>
  <c r="CF129" i="4"/>
  <c r="CG129" i="4"/>
  <c r="CH129" i="4"/>
  <c r="CI129" i="4"/>
  <c r="CA130" i="4"/>
  <c r="CB130" i="4"/>
  <c r="CC130" i="4"/>
  <c r="CD130" i="4"/>
  <c r="CE130" i="4"/>
  <c r="CF130" i="4"/>
  <c r="CG130" i="4"/>
  <c r="CH130" i="4"/>
  <c r="CI130" i="4"/>
  <c r="CA131" i="4"/>
  <c r="CB131" i="4"/>
  <c r="CC131" i="4"/>
  <c r="CD131" i="4"/>
  <c r="CE131" i="4"/>
  <c r="CF131" i="4"/>
  <c r="CG131" i="4"/>
  <c r="CH131" i="4"/>
  <c r="CI131" i="4"/>
  <c r="CA132" i="4"/>
  <c r="CB132" i="4"/>
  <c r="CC132" i="4"/>
  <c r="CD132" i="4"/>
  <c r="CE132" i="4"/>
  <c r="CF132" i="4"/>
  <c r="CG132" i="4"/>
  <c r="CH132" i="4"/>
  <c r="CI132" i="4"/>
  <c r="CA133" i="4"/>
  <c r="CB133" i="4"/>
  <c r="CC133" i="4"/>
  <c r="CD133" i="4"/>
  <c r="CE133" i="4"/>
  <c r="CF133" i="4"/>
  <c r="CG133" i="4"/>
  <c r="CH133" i="4"/>
  <c r="CI133" i="4"/>
  <c r="CA134" i="4"/>
  <c r="CB134" i="4"/>
  <c r="CC134" i="4"/>
  <c r="CD134" i="4"/>
  <c r="CE134" i="4"/>
  <c r="CF134" i="4"/>
  <c r="CG134" i="4"/>
  <c r="CH134" i="4"/>
  <c r="CI134" i="4"/>
  <c r="CA135" i="4"/>
  <c r="CB135" i="4"/>
  <c r="CC135" i="4"/>
  <c r="CD135" i="4"/>
  <c r="CE135" i="4"/>
  <c r="CF135" i="4"/>
  <c r="CG135" i="4"/>
  <c r="CH135" i="4"/>
  <c r="CI135" i="4"/>
  <c r="CA136" i="4"/>
  <c r="CB136" i="4"/>
  <c r="CC136" i="4"/>
  <c r="CD136" i="4"/>
  <c r="CE136" i="4"/>
  <c r="CF136" i="4"/>
  <c r="CG136" i="4"/>
  <c r="CH136" i="4"/>
  <c r="CI136" i="4"/>
  <c r="CA137" i="4"/>
  <c r="CB137" i="4"/>
  <c r="CC137" i="4"/>
  <c r="CD137" i="4"/>
  <c r="CE137" i="4"/>
  <c r="CF137" i="4"/>
  <c r="CG137" i="4"/>
  <c r="CH137" i="4"/>
  <c r="CI137" i="4"/>
  <c r="CI11" i="4"/>
  <c r="CH11" i="4"/>
  <c r="CG11" i="4"/>
  <c r="CF11" i="4"/>
  <c r="CE11" i="4"/>
  <c r="CD11" i="4"/>
  <c r="CC11" i="4"/>
  <c r="CB11" i="4"/>
  <c r="CA11" i="4"/>
  <c r="AF12" i="4"/>
  <c r="AF13" i="4"/>
  <c r="AF15" i="4"/>
  <c r="AF16"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1" i="4"/>
  <c r="R16" i="4" l="1"/>
  <c r="X15" i="4"/>
  <c r="Q135" i="4"/>
  <c r="Q120" i="4"/>
  <c r="K68" i="4"/>
  <c r="K106" i="4"/>
  <c r="W137" i="4"/>
  <c r="Q116" i="4"/>
  <c r="W131" i="4"/>
  <c r="K84" i="4"/>
  <c r="W134" i="4"/>
  <c r="K114" i="4"/>
  <c r="W66" i="4"/>
  <c r="K50" i="4"/>
  <c r="W74" i="4"/>
  <c r="Q58" i="4"/>
  <c r="W15" i="4"/>
  <c r="Y15" i="4" s="1"/>
  <c r="K123" i="4"/>
  <c r="Q36" i="4"/>
  <c r="W80" i="4"/>
  <c r="Q70" i="4"/>
  <c r="Q42" i="4"/>
  <c r="J98" i="4"/>
  <c r="K98" i="4" s="1"/>
  <c r="V86" i="4"/>
  <c r="W86" i="4" s="1"/>
  <c r="Q74" i="4"/>
  <c r="K58" i="4"/>
  <c r="P124" i="4"/>
  <c r="Q124" i="4" s="1"/>
  <c r="P119" i="4"/>
  <c r="Q119" i="4" s="1"/>
  <c r="V115" i="4"/>
  <c r="W115" i="4" s="1"/>
  <c r="J111" i="4"/>
  <c r="K111" i="4" s="1"/>
  <c r="V108" i="4"/>
  <c r="W108" i="4" s="1"/>
  <c r="J100" i="4"/>
  <c r="K100" i="4" s="1"/>
  <c r="P89" i="4"/>
  <c r="Q89" i="4" s="1"/>
  <c r="P77" i="4"/>
  <c r="Q77" i="4" s="1"/>
  <c r="J75" i="4"/>
  <c r="K75" i="4" s="1"/>
  <c r="W72" i="4"/>
  <c r="V53" i="4"/>
  <c r="W53" i="4" s="1"/>
  <c r="P39" i="4"/>
  <c r="Q39" i="4" s="1"/>
  <c r="P29" i="4"/>
  <c r="Q29" i="4" s="1"/>
  <c r="W97" i="4"/>
  <c r="Q87" i="4"/>
  <c r="W83" i="4"/>
  <c r="W67" i="4"/>
  <c r="W45" i="4"/>
  <c r="W37" i="4"/>
  <c r="AY73" i="12"/>
  <c r="Q109" i="4"/>
  <c r="Q98" i="4"/>
  <c r="Q84" i="4"/>
  <c r="K80" i="4"/>
  <c r="K78" i="4"/>
  <c r="Q68" i="4"/>
  <c r="W58" i="4"/>
  <c r="Q54" i="4"/>
  <c r="K40" i="4"/>
  <c r="AY170" i="12"/>
  <c r="AY236" i="12"/>
  <c r="AY10" i="12"/>
  <c r="AY169" i="12"/>
  <c r="AY240" i="12"/>
  <c r="AY155" i="12"/>
  <c r="K136" i="4"/>
  <c r="Q132" i="4"/>
  <c r="K124" i="4"/>
  <c r="Q115" i="4"/>
  <c r="K77" i="4"/>
  <c r="K61" i="4"/>
  <c r="Q49" i="4"/>
  <c r="K39" i="4"/>
  <c r="W35" i="4"/>
  <c r="AY46" i="12"/>
  <c r="AY198" i="12"/>
  <c r="AY159" i="12"/>
  <c r="AY206" i="12"/>
  <c r="Q113" i="4"/>
  <c r="Q97" i="4"/>
  <c r="W94" i="4"/>
  <c r="W92" i="4"/>
  <c r="Q83" i="4"/>
  <c r="W69" i="4"/>
  <c r="Q67" i="4"/>
  <c r="W57" i="4"/>
  <c r="Q31" i="4"/>
  <c r="AY173" i="12"/>
  <c r="AY16" i="12"/>
  <c r="W125" i="4"/>
  <c r="Q122" i="4"/>
  <c r="K104" i="4"/>
  <c r="K102" i="4"/>
  <c r="Q75" i="4"/>
  <c r="W65" i="4"/>
  <c r="K59" i="4"/>
  <c r="W41" i="4"/>
  <c r="W127" i="4"/>
  <c r="W119" i="4"/>
  <c r="Q112" i="4"/>
  <c r="Q95" i="4"/>
  <c r="K76" i="4"/>
  <c r="K72" i="4"/>
  <c r="W64" i="4"/>
  <c r="K44" i="4"/>
  <c r="V29" i="4"/>
  <c r="W29" i="4" s="1"/>
  <c r="Y29" i="4" s="1"/>
  <c r="AY141" i="12"/>
  <c r="AY201" i="12"/>
  <c r="AY146" i="12"/>
  <c r="AY239" i="12"/>
  <c r="AY177" i="12"/>
  <c r="AY19" i="12"/>
  <c r="AY9" i="12"/>
  <c r="AY245" i="12"/>
  <c r="AY160" i="12"/>
  <c r="K113" i="4"/>
  <c r="Q110" i="4"/>
  <c r="Q99" i="4"/>
  <c r="K96" i="4"/>
  <c r="K83" i="4"/>
  <c r="W73" i="4"/>
  <c r="Q69" i="4"/>
  <c r="K67" i="4"/>
  <c r="Q57" i="4"/>
  <c r="Q55" i="4"/>
  <c r="AY134" i="12"/>
  <c r="AY15" i="12"/>
  <c r="AY126" i="12"/>
  <c r="AY174" i="12"/>
  <c r="AY199" i="12"/>
  <c r="W135" i="4"/>
  <c r="K130" i="4"/>
  <c r="W123" i="4"/>
  <c r="W38" i="4"/>
  <c r="K34" i="4"/>
  <c r="V30" i="4"/>
  <c r="W30" i="4" s="1"/>
  <c r="Y30" i="4" s="1"/>
  <c r="AY136" i="12"/>
  <c r="AY181" i="12"/>
  <c r="AY167" i="12"/>
  <c r="AY189" i="12"/>
  <c r="AY153" i="12"/>
  <c r="AY27" i="12"/>
  <c r="AY147" i="12"/>
  <c r="AY182" i="12"/>
  <c r="AY243" i="12"/>
  <c r="AY92" i="12"/>
  <c r="AY90" i="12"/>
  <c r="Q19" i="4"/>
  <c r="S19" i="4" s="1"/>
  <c r="I12" i="11"/>
  <c r="I14" i="11"/>
  <c r="I16" i="11"/>
  <c r="I15" i="11"/>
  <c r="W27" i="4"/>
  <c r="Y27" i="4" s="1"/>
  <c r="R26" i="4"/>
  <c r="R22" i="4"/>
  <c r="X20" i="4"/>
  <c r="R27" i="4"/>
  <c r="Q27" i="4"/>
  <c r="S27" i="4" s="1"/>
  <c r="X25" i="4"/>
  <c r="R23" i="4"/>
  <c r="M29" i="4"/>
  <c r="M19" i="4"/>
  <c r="M26" i="4"/>
  <c r="M24" i="4"/>
  <c r="M21" i="4"/>
  <c r="X24" i="4"/>
  <c r="R28" i="4"/>
  <c r="R20" i="4"/>
  <c r="Q28" i="4"/>
  <c r="S28" i="4" s="1"/>
  <c r="Q20" i="4"/>
  <c r="S20" i="4" s="1"/>
  <c r="X16" i="4"/>
  <c r="K133" i="4"/>
  <c r="Q130" i="4"/>
  <c r="W129" i="4"/>
  <c r="W121" i="4"/>
  <c r="Q111" i="4"/>
  <c r="W110" i="4"/>
  <c r="K108" i="4"/>
  <c r="Q105" i="4"/>
  <c r="K101" i="4"/>
  <c r="Q100" i="4"/>
  <c r="W99" i="4"/>
  <c r="W96" i="4"/>
  <c r="W128" i="4"/>
  <c r="K90" i="4"/>
  <c r="W112" i="4"/>
  <c r="W90" i="4"/>
  <c r="K62" i="4"/>
  <c r="Q60" i="4"/>
  <c r="W59" i="4"/>
  <c r="W56" i="4"/>
  <c r="K47" i="4"/>
  <c r="Q33" i="4"/>
  <c r="W24" i="4"/>
  <c r="Y24" i="4" s="1"/>
  <c r="M22" i="4"/>
  <c r="Q21" i="4"/>
  <c r="S21" i="4" s="1"/>
  <c r="W20" i="4"/>
  <c r="Y20" i="4" s="1"/>
  <c r="W16" i="4"/>
  <c r="Y16" i="4" s="1"/>
  <c r="K129" i="4"/>
  <c r="K128" i="4"/>
  <c r="K117" i="4"/>
  <c r="K85" i="4"/>
  <c r="K66" i="4"/>
  <c r="Q65" i="4"/>
  <c r="K53" i="4"/>
  <c r="Q50" i="4"/>
  <c r="W49" i="4"/>
  <c r="K46" i="4"/>
  <c r="Q45" i="4"/>
  <c r="K42" i="4"/>
  <c r="Q41" i="4"/>
  <c r="K38" i="4"/>
  <c r="Q37" i="4"/>
  <c r="W36" i="4"/>
  <c r="Q121" i="4"/>
  <c r="K122" i="4"/>
  <c r="Q137" i="4"/>
  <c r="Q136" i="4"/>
  <c r="W124" i="4"/>
  <c r="Q125" i="4"/>
  <c r="W136" i="4"/>
  <c r="K135" i="4"/>
  <c r="Q134" i="4"/>
  <c r="W133" i="4"/>
  <c r="Q127" i="4"/>
  <c r="W126" i="4"/>
  <c r="K125" i="4"/>
  <c r="W120" i="4"/>
  <c r="K119" i="4"/>
  <c r="Q118" i="4"/>
  <c r="W117" i="4"/>
  <c r="W114" i="4"/>
  <c r="Q107" i="4"/>
  <c r="W106" i="4"/>
  <c r="Q103" i="4"/>
  <c r="W102" i="4"/>
  <c r="K95" i="4"/>
  <c r="Q94" i="4"/>
  <c r="W93" i="4"/>
  <c r="K92" i="4"/>
  <c r="K87" i="4"/>
  <c r="Q86" i="4"/>
  <c r="W85" i="4"/>
  <c r="Q79" i="4"/>
  <c r="W78" i="4"/>
  <c r="Q63" i="4"/>
  <c r="Q52" i="4"/>
  <c r="W51" i="4"/>
  <c r="W48" i="4"/>
  <c r="W44" i="4"/>
  <c r="K36" i="4"/>
  <c r="Q35" i="4"/>
  <c r="W34" i="4"/>
  <c r="Q25" i="4"/>
  <c r="S25" i="4" s="1"/>
  <c r="K126" i="4"/>
  <c r="K134" i="4"/>
  <c r="Q133" i="4"/>
  <c r="W132" i="4"/>
  <c r="K127" i="4"/>
  <c r="Q126" i="4"/>
  <c r="K118" i="4"/>
  <c r="Q117" i="4"/>
  <c r="W116" i="4"/>
  <c r="K107" i="4"/>
  <c r="Q106" i="4"/>
  <c r="W105" i="4"/>
  <c r="K103" i="4"/>
  <c r="Q102" i="4"/>
  <c r="W101" i="4"/>
  <c r="K94" i="4"/>
  <c r="Q93" i="4"/>
  <c r="K86" i="4"/>
  <c r="Q85" i="4"/>
  <c r="W84" i="4"/>
  <c r="W81" i="4"/>
  <c r="K79" i="4"/>
  <c r="Q78" i="4"/>
  <c r="W77" i="4"/>
  <c r="Q61" i="4"/>
  <c r="W60" i="4"/>
  <c r="K56" i="4"/>
  <c r="K52" i="4"/>
  <c r="Q51" i="4"/>
  <c r="W50" i="4"/>
  <c r="Q47" i="4"/>
  <c r="W46" i="4"/>
  <c r="K35" i="4"/>
  <c r="Q34" i="4"/>
  <c r="W33" i="4"/>
  <c r="Q23" i="4"/>
  <c r="S23" i="4" s="1"/>
  <c r="W22" i="4"/>
  <c r="Y22" i="4" s="1"/>
  <c r="K137" i="4"/>
  <c r="K121" i="4"/>
  <c r="J97" i="4"/>
  <c r="K97" i="4" s="1"/>
  <c r="V79" i="4"/>
  <c r="W79" i="4" s="1"/>
  <c r="P56" i="4"/>
  <c r="Q56" i="4" s="1"/>
  <c r="V103" i="4"/>
  <c r="W103" i="4" s="1"/>
  <c r="P80" i="4"/>
  <c r="Q80" i="4" s="1"/>
  <c r="J57" i="4"/>
  <c r="K57" i="4" s="1"/>
  <c r="V39" i="4"/>
  <c r="W39" i="4" s="1"/>
  <c r="P15" i="4"/>
  <c r="Q15" i="4" s="1"/>
  <c r="P104" i="4"/>
  <c r="Q104" i="4" s="1"/>
  <c r="J81" i="4"/>
  <c r="K81" i="4" s="1"/>
  <c r="V63" i="4"/>
  <c r="W63" i="4" s="1"/>
  <c r="P40" i="4"/>
  <c r="Q40" i="4" s="1"/>
  <c r="M16" i="4"/>
  <c r="J105" i="4"/>
  <c r="K105" i="4" s="1"/>
  <c r="V87" i="4"/>
  <c r="W87" i="4" s="1"/>
  <c r="P64" i="4"/>
  <c r="Q64" i="4" s="1"/>
  <c r="J41" i="4"/>
  <c r="K41" i="4" s="1"/>
  <c r="V23" i="4"/>
  <c r="W23" i="4" s="1"/>
  <c r="Y23" i="4" s="1"/>
  <c r="V111" i="4"/>
  <c r="W111" i="4" s="1"/>
  <c r="P88" i="4"/>
  <c r="Q88" i="4" s="1"/>
  <c r="J65" i="4"/>
  <c r="K65" i="4" s="1"/>
  <c r="V47" i="4"/>
  <c r="W47" i="4" s="1"/>
  <c r="P24" i="4"/>
  <c r="Q24" i="4" s="1"/>
  <c r="S24" i="4" s="1"/>
  <c r="J89" i="4"/>
  <c r="K89" i="4" s="1"/>
  <c r="V71" i="4"/>
  <c r="W71" i="4" s="1"/>
  <c r="P48" i="4"/>
  <c r="Q48" i="4" s="1"/>
  <c r="M25" i="4"/>
  <c r="V95" i="4"/>
  <c r="W95" i="4" s="1"/>
  <c r="P72" i="4"/>
  <c r="Q72" i="4" s="1"/>
  <c r="J49" i="4"/>
  <c r="K49" i="4" s="1"/>
  <c r="V31" i="4"/>
  <c r="W31" i="4" s="1"/>
  <c r="K132" i="4"/>
  <c r="Q131" i="4"/>
  <c r="W130" i="4"/>
  <c r="K115" i="4"/>
  <c r="Q114" i="4"/>
  <c r="W113" i="4"/>
  <c r="K112" i="4"/>
  <c r="K109" i="4"/>
  <c r="Q108" i="4"/>
  <c r="W107" i="4"/>
  <c r="W104" i="4"/>
  <c r="P96" i="4"/>
  <c r="Q96" i="4" s="1"/>
  <c r="K91" i="4"/>
  <c r="Q90" i="4"/>
  <c r="W89" i="4"/>
  <c r="K82" i="4"/>
  <c r="Q81" i="4"/>
  <c r="J73" i="4"/>
  <c r="K73" i="4" s="1"/>
  <c r="Q71" i="4"/>
  <c r="W70" i="4"/>
  <c r="K63" i="4"/>
  <c r="Q62" i="4"/>
  <c r="W61" i="4"/>
  <c r="V55" i="4"/>
  <c r="W55" i="4" s="1"/>
  <c r="K54" i="4"/>
  <c r="Q53" i="4"/>
  <c r="W52" i="4"/>
  <c r="K48" i="4"/>
  <c r="K45" i="4"/>
  <c r="Q44" i="4"/>
  <c r="W43" i="4"/>
  <c r="W40" i="4"/>
  <c r="P32" i="4"/>
  <c r="Q32" i="4" s="1"/>
  <c r="M27" i="4"/>
  <c r="Q26" i="4"/>
  <c r="S26" i="4" s="1"/>
  <c r="W25" i="4"/>
  <c r="Y25" i="4" s="1"/>
  <c r="Q16" i="4"/>
  <c r="Z16" i="4" s="1"/>
  <c r="AA16" i="4" s="1"/>
  <c r="Q128" i="4"/>
  <c r="CO12" i="4"/>
  <c r="CO13" i="4"/>
  <c r="CO20" i="4"/>
  <c r="CO21" i="4"/>
  <c r="CO23" i="4"/>
  <c r="CO26" i="4"/>
  <c r="CO27" i="4"/>
  <c r="CO28" i="4"/>
  <c r="CO29" i="4"/>
  <c r="CO30" i="4"/>
  <c r="CO33" i="4"/>
  <c r="CO37" i="4"/>
  <c r="CO38" i="4"/>
  <c r="CO39" i="4"/>
  <c r="CO41" i="4"/>
  <c r="CO44" i="4"/>
  <c r="CO45" i="4"/>
  <c r="CO46" i="4"/>
  <c r="CO52" i="4"/>
  <c r="CO53" i="4"/>
  <c r="CO54" i="4"/>
  <c r="CO59" i="4"/>
  <c r="CO60" i="4"/>
  <c r="CO61" i="4"/>
  <c r="CO62" i="4"/>
  <c r="CO65" i="4"/>
  <c r="CO66" i="4"/>
  <c r="CO67" i="4"/>
  <c r="CO68" i="4"/>
  <c r="CO70" i="4"/>
  <c r="CO71" i="4"/>
  <c r="CO73" i="4"/>
  <c r="CO77" i="4"/>
  <c r="CO78" i="4"/>
  <c r="CO82" i="4"/>
  <c r="CO84" i="4"/>
  <c r="CO86" i="4"/>
  <c r="CO87" i="4"/>
  <c r="CO93" i="4"/>
  <c r="CO94" i="4"/>
  <c r="CO96" i="4"/>
  <c r="CO101" i="4"/>
  <c r="CO102" i="4"/>
  <c r="CO106" i="4"/>
  <c r="CO107" i="4"/>
  <c r="CO108" i="4"/>
  <c r="CO109" i="4"/>
  <c r="CO110" i="4"/>
  <c r="CO113" i="4"/>
  <c r="CO115" i="4"/>
  <c r="CO116" i="4"/>
  <c r="CO118" i="4"/>
  <c r="CO119" i="4"/>
  <c r="CO121" i="4"/>
  <c r="CO122" i="4"/>
  <c r="CO123" i="4"/>
  <c r="CO124" i="4"/>
  <c r="CO125" i="4"/>
  <c r="CO126" i="4"/>
  <c r="CO133" i="4"/>
  <c r="CO134" i="4"/>
  <c r="CO135" i="4"/>
  <c r="CO136" i="4"/>
  <c r="CO137" i="4"/>
  <c r="CJ136" i="4"/>
  <c r="CJ134" i="4"/>
  <c r="CO132" i="4"/>
  <c r="CJ132" i="4"/>
  <c r="CO130" i="4"/>
  <c r="CJ130" i="4"/>
  <c r="CJ129" i="4"/>
  <c r="CO128" i="4"/>
  <c r="CO127" i="4"/>
  <c r="CJ127" i="4"/>
  <c r="CJ125" i="4"/>
  <c r="CJ124" i="4"/>
  <c r="CJ123" i="4"/>
  <c r="CO120" i="4"/>
  <c r="CJ120" i="4"/>
  <c r="CJ118" i="4"/>
  <c r="CO117" i="4"/>
  <c r="CJ117" i="4"/>
  <c r="CJ116" i="4"/>
  <c r="CO114" i="4"/>
  <c r="CJ114" i="4"/>
  <c r="CJ113" i="4"/>
  <c r="CO112" i="4"/>
  <c r="CO111" i="4"/>
  <c r="CJ111" i="4"/>
  <c r="CJ109" i="4"/>
  <c r="CJ108" i="4"/>
  <c r="CJ107" i="4"/>
  <c r="CO105" i="4"/>
  <c r="CO104" i="4"/>
  <c r="CO103" i="4"/>
  <c r="CJ103" i="4"/>
  <c r="CJ102" i="4"/>
  <c r="CJ100" i="4"/>
  <c r="CO98" i="4"/>
  <c r="CJ98" i="4"/>
  <c r="CJ97" i="4"/>
  <c r="CO95" i="4"/>
  <c r="CJ95" i="4"/>
  <c r="CJ93" i="4"/>
  <c r="CJ92" i="4"/>
  <c r="CO91" i="4"/>
  <c r="CJ91" i="4"/>
  <c r="CO89" i="4"/>
  <c r="CO88" i="4"/>
  <c r="CJ88" i="4"/>
  <c r="CJ86" i="4"/>
  <c r="CO85" i="4"/>
  <c r="CJ84" i="4"/>
  <c r="CO83" i="4"/>
  <c r="CJ82" i="4"/>
  <c r="CO80" i="4"/>
  <c r="CJ79" i="4"/>
  <c r="CJ77" i="4"/>
  <c r="CJ76" i="4"/>
  <c r="CO75" i="4"/>
  <c r="CJ75" i="4"/>
  <c r="CJ72" i="4"/>
  <c r="CJ71" i="4"/>
  <c r="CJ70" i="4"/>
  <c r="CO69" i="4"/>
  <c r="CJ69" i="4"/>
  <c r="CJ68" i="4"/>
  <c r="CJ66" i="4"/>
  <c r="CJ65" i="4"/>
  <c r="CO64" i="4"/>
  <c r="CO63" i="4"/>
  <c r="CJ63" i="4"/>
  <c r="CJ61" i="4"/>
  <c r="CJ60" i="4"/>
  <c r="CJ59" i="4"/>
  <c r="CO57" i="4"/>
  <c r="CO55" i="4"/>
  <c r="CJ55" i="4"/>
  <c r="CJ54" i="4"/>
  <c r="CJ53" i="4"/>
  <c r="CJ52" i="4"/>
  <c r="CO50" i="4"/>
  <c r="CJ50" i="4"/>
  <c r="CO49" i="4"/>
  <c r="CJ49" i="4"/>
  <c r="CO48" i="4"/>
  <c r="CJ47" i="4"/>
  <c r="CJ46" i="4"/>
  <c r="CJ45" i="4"/>
  <c r="CJ44" i="4"/>
  <c r="CO43" i="4"/>
  <c r="CJ43" i="4"/>
  <c r="CJ40" i="4"/>
  <c r="CJ38" i="4"/>
  <c r="CJ36" i="4"/>
  <c r="CO34" i="4"/>
  <c r="CJ34" i="4"/>
  <c r="CJ33" i="4"/>
  <c r="CO32" i="4"/>
  <c r="CO31" i="4"/>
  <c r="CJ31" i="4"/>
  <c r="CJ30" i="4"/>
  <c r="CJ29" i="4"/>
  <c r="CJ27" i="4"/>
  <c r="CJ26" i="4"/>
  <c r="CO25" i="4"/>
  <c r="CO24" i="4"/>
  <c r="CJ24" i="4"/>
  <c r="CJ22" i="4"/>
  <c r="CO18" i="4"/>
  <c r="CJ18" i="4"/>
  <c r="CO16" i="4"/>
  <c r="CO15" i="4"/>
  <c r="CJ13" i="4"/>
  <c r="CJ12" i="4"/>
  <c r="CJ11" i="4"/>
  <c r="CJ15" i="4"/>
  <c r="CJ16" i="4"/>
  <c r="CJ19" i="4"/>
  <c r="CO19" i="4"/>
  <c r="CJ20" i="4"/>
  <c r="CJ21" i="4"/>
  <c r="CO22" i="4"/>
  <c r="CJ23" i="4"/>
  <c r="CJ25" i="4"/>
  <c r="CJ28" i="4"/>
  <c r="CJ32" i="4"/>
  <c r="CO35" i="4"/>
  <c r="CJ35" i="4"/>
  <c r="CO36" i="4"/>
  <c r="CJ37" i="4"/>
  <c r="CJ39" i="4"/>
  <c r="CO40" i="4"/>
  <c r="CJ41" i="4"/>
  <c r="CJ42" i="4"/>
  <c r="CO42" i="4"/>
  <c r="CO47" i="4"/>
  <c r="CJ48" i="4"/>
  <c r="CJ51" i="4"/>
  <c r="CO51" i="4"/>
  <c r="CJ56" i="4"/>
  <c r="CO56" i="4"/>
  <c r="CJ57" i="4"/>
  <c r="CJ58" i="4"/>
  <c r="CO58" i="4"/>
  <c r="CJ62" i="4"/>
  <c r="CJ64" i="4"/>
  <c r="CJ67" i="4"/>
  <c r="CO72" i="4"/>
  <c r="CJ73" i="4"/>
  <c r="CJ74" i="4"/>
  <c r="CO74" i="4"/>
  <c r="CO76" i="4"/>
  <c r="CJ78" i="4"/>
  <c r="CO79" i="4"/>
  <c r="CJ80" i="4"/>
  <c r="CO81" i="4"/>
  <c r="CJ81" i="4"/>
  <c r="CJ83" i="4"/>
  <c r="CJ85" i="4"/>
  <c r="CJ87" i="4"/>
  <c r="CJ89" i="4"/>
  <c r="CJ90" i="4"/>
  <c r="CO90" i="4"/>
  <c r="CO92" i="4"/>
  <c r="CJ94" i="4"/>
  <c r="CJ96" i="4"/>
  <c r="CO97" i="4"/>
  <c r="CO99" i="4"/>
  <c r="CJ99" i="4"/>
  <c r="CO100" i="4"/>
  <c r="CJ101" i="4"/>
  <c r="CJ104" i="4"/>
  <c r="CJ105" i="4"/>
  <c r="CJ106" i="4"/>
  <c r="CJ110" i="4"/>
  <c r="CJ112" i="4"/>
  <c r="CJ115" i="4"/>
  <c r="CJ119" i="4"/>
  <c r="CJ121" i="4"/>
  <c r="CJ122" i="4"/>
  <c r="CJ126" i="4"/>
  <c r="CJ128" i="4"/>
  <c r="CO129" i="4"/>
  <c r="CJ131" i="4"/>
  <c r="CO131" i="4"/>
  <c r="CJ133" i="4"/>
  <c r="CJ135" i="4"/>
  <c r="CJ137" i="4"/>
  <c r="CQ13" i="4"/>
  <c r="CP16" i="4"/>
  <c r="CQ16" i="4"/>
  <c r="CP19" i="4"/>
  <c r="CQ20" i="4"/>
  <c r="CP22" i="4"/>
  <c r="CQ22" i="4"/>
  <c r="CQ24" i="4"/>
  <c r="CQ25" i="4"/>
  <c r="CP26" i="4"/>
  <c r="CQ26" i="4"/>
  <c r="CQ27" i="4"/>
  <c r="CP29" i="4"/>
  <c r="CQ33" i="4"/>
  <c r="CP35" i="4"/>
  <c r="CP36" i="4"/>
  <c r="CQ36" i="4"/>
  <c r="CP38" i="4"/>
  <c r="CQ38" i="4"/>
  <c r="CQ40" i="4"/>
  <c r="CQ42" i="4"/>
  <c r="CQ43" i="4"/>
  <c r="CP45" i="4"/>
  <c r="CQ45" i="4"/>
  <c r="CP49" i="4"/>
  <c r="CQ49" i="4"/>
  <c r="CP51" i="4"/>
  <c r="CQ52" i="4"/>
  <c r="CQ54" i="4"/>
  <c r="CQ56" i="4"/>
  <c r="CP58" i="4"/>
  <c r="CQ58" i="4"/>
  <c r="CQ59" i="4"/>
  <c r="CP61" i="4"/>
  <c r="CP63" i="4"/>
  <c r="CQ63" i="4"/>
  <c r="CP65" i="4"/>
  <c r="CQ65" i="4"/>
  <c r="CP67" i="4"/>
  <c r="CQ68" i="4"/>
  <c r="CP70" i="4"/>
  <c r="CQ70" i="4"/>
  <c r="CP72" i="4"/>
  <c r="CQ72" i="4"/>
  <c r="CP74" i="4"/>
  <c r="CQ74" i="4"/>
  <c r="CQ75" i="4"/>
  <c r="CP77" i="4"/>
  <c r="CQ77" i="4"/>
  <c r="CP79" i="4"/>
  <c r="CP81" i="4"/>
  <c r="CQ81" i="4"/>
  <c r="CP82" i="4"/>
  <c r="CQ82" i="4"/>
  <c r="CP83" i="4"/>
  <c r="CP84" i="4"/>
  <c r="CQ84" i="4"/>
  <c r="CQ86" i="4"/>
  <c r="CP88" i="4"/>
  <c r="CP90" i="4"/>
  <c r="CQ90" i="4"/>
  <c r="CP91" i="4"/>
  <c r="CQ91" i="4"/>
  <c r="CP93" i="4"/>
  <c r="CQ94" i="4"/>
  <c r="CQ95" i="4"/>
  <c r="CP97" i="4"/>
  <c r="CQ97" i="4"/>
  <c r="CP99" i="4"/>
  <c r="CQ100" i="4"/>
  <c r="CP102" i="4"/>
  <c r="CP104" i="4"/>
  <c r="CQ104" i="4"/>
  <c r="CP106" i="4"/>
  <c r="CQ106" i="4"/>
  <c r="CQ107" i="4"/>
  <c r="CP109" i="4"/>
  <c r="CP111" i="4"/>
  <c r="CQ111" i="4"/>
  <c r="CP113" i="4"/>
  <c r="CQ113" i="4"/>
  <c r="CQ114" i="4"/>
  <c r="CP115" i="4"/>
  <c r="CP116" i="4"/>
  <c r="CQ116" i="4"/>
  <c r="CP118" i="4"/>
  <c r="CQ118" i="4"/>
  <c r="CP120" i="4"/>
  <c r="CQ120" i="4"/>
  <c r="CP122" i="4"/>
  <c r="CQ122" i="4"/>
  <c r="CP123" i="4"/>
  <c r="CQ123" i="4"/>
  <c r="CP125" i="4"/>
  <c r="CQ125" i="4"/>
  <c r="CQ127" i="4"/>
  <c r="CP129" i="4"/>
  <c r="CQ129" i="4"/>
  <c r="CP130" i="4"/>
  <c r="CQ130" i="4"/>
  <c r="CP131" i="4"/>
  <c r="CP132" i="4"/>
  <c r="CQ132" i="4"/>
  <c r="CP134" i="4"/>
  <c r="CQ134" i="4"/>
  <c r="CP136" i="4"/>
  <c r="CQ136" i="4"/>
  <c r="CQ137" i="4"/>
  <c r="CN15" i="4"/>
  <c r="CN19" i="4"/>
  <c r="CN21" i="4"/>
  <c r="CN22" i="4"/>
  <c r="CN28" i="4"/>
  <c r="CN31" i="4"/>
  <c r="CN33" i="4"/>
  <c r="CN37" i="4"/>
  <c r="CN38" i="4"/>
  <c r="CN44" i="4"/>
  <c r="CN45" i="4"/>
  <c r="CN47" i="4"/>
  <c r="CN48" i="4"/>
  <c r="CN53" i="4"/>
  <c r="CN54" i="4"/>
  <c r="CN60" i="4"/>
  <c r="CN61" i="4"/>
  <c r="CN63" i="4"/>
  <c r="CN67" i="4"/>
  <c r="CN69" i="4"/>
  <c r="CN70" i="4"/>
  <c r="CN74" i="4"/>
  <c r="CN76" i="4"/>
  <c r="CN79" i="4"/>
  <c r="CN81" i="4"/>
  <c r="CN83" i="4"/>
  <c r="CN85" i="4"/>
  <c r="CN86" i="4"/>
  <c r="CN88" i="4"/>
  <c r="CN90" i="4"/>
  <c r="CN92" i="4"/>
  <c r="CN95" i="4"/>
  <c r="CN98" i="4"/>
  <c r="CN101" i="4"/>
  <c r="CN102" i="4"/>
  <c r="CN106" i="4"/>
  <c r="CN111" i="4"/>
  <c r="CN115" i="4"/>
  <c r="CN117" i="4"/>
  <c r="CN118" i="4"/>
  <c r="CN120" i="4"/>
  <c r="CN122" i="4"/>
  <c r="CN124" i="4"/>
  <c r="CN127" i="4"/>
  <c r="CN133" i="4"/>
  <c r="CN134" i="4"/>
  <c r="CM13" i="4"/>
  <c r="CL16" i="4"/>
  <c r="CM21" i="4"/>
  <c r="CM22" i="4"/>
  <c r="CL23" i="4"/>
  <c r="CM24" i="4"/>
  <c r="CL30" i="4"/>
  <c r="CM30" i="4"/>
  <c r="CL31" i="4"/>
  <c r="CL33" i="4"/>
  <c r="CM33" i="4"/>
  <c r="CL35" i="4"/>
  <c r="CM37" i="4"/>
  <c r="CL39" i="4"/>
  <c r="CM40" i="4"/>
  <c r="CM43" i="4"/>
  <c r="CL46" i="4"/>
  <c r="CM46" i="4"/>
  <c r="CM47" i="4"/>
  <c r="CL49" i="4"/>
  <c r="CM49" i="4"/>
  <c r="CL51" i="4"/>
  <c r="CL53" i="4"/>
  <c r="CL54" i="4"/>
  <c r="CM54" i="4"/>
  <c r="CL55" i="4"/>
  <c r="CL56" i="4"/>
  <c r="CM56" i="4"/>
  <c r="CL58" i="4"/>
  <c r="CM61" i="4"/>
  <c r="CL62" i="4"/>
  <c r="CM62" i="4"/>
  <c r="CM63" i="4"/>
  <c r="CL65" i="4"/>
  <c r="CM67" i="4"/>
  <c r="CL69" i="4"/>
  <c r="CL70" i="4"/>
  <c r="CL71" i="4"/>
  <c r="CL72" i="4"/>
  <c r="CM72" i="4"/>
  <c r="CM76" i="4"/>
  <c r="CM77" i="4"/>
  <c r="CL78" i="4"/>
  <c r="CM78" i="4"/>
  <c r="CM79" i="4"/>
  <c r="CL81" i="4"/>
  <c r="CM81" i="4"/>
  <c r="CL83" i="4"/>
  <c r="CL84" i="4"/>
  <c r="CM84" i="4"/>
  <c r="CL85" i="4"/>
  <c r="CM85" i="4"/>
  <c r="CM86" i="4"/>
  <c r="CL87" i="4"/>
  <c r="CL88" i="4"/>
  <c r="CM88" i="4"/>
  <c r="CL91" i="4"/>
  <c r="CM91" i="4"/>
  <c r="CM92" i="4"/>
  <c r="CL94" i="4"/>
  <c r="CM94" i="4"/>
  <c r="CM95" i="4"/>
  <c r="CL97" i="4"/>
  <c r="CM99" i="4"/>
  <c r="CL101" i="4"/>
  <c r="CM101" i="4"/>
  <c r="CL102" i="4"/>
  <c r="CM102" i="4"/>
  <c r="CL103" i="4"/>
  <c r="CL104" i="4"/>
  <c r="CM104" i="4"/>
  <c r="CM106" i="4"/>
  <c r="CL108" i="4"/>
  <c r="CM108" i="4"/>
  <c r="CM109" i="4"/>
  <c r="CL110" i="4"/>
  <c r="CM110" i="4"/>
  <c r="CM111" i="4"/>
  <c r="CL113" i="4"/>
  <c r="CM115" i="4"/>
  <c r="CL117" i="4"/>
  <c r="CM117" i="4"/>
  <c r="CL119" i="4"/>
  <c r="CM120" i="4"/>
  <c r="CL123" i="4"/>
  <c r="CM124" i="4"/>
  <c r="CL125" i="4"/>
  <c r="CL126" i="4"/>
  <c r="CM126" i="4"/>
  <c r="CM127" i="4"/>
  <c r="CL129" i="4"/>
  <c r="CM131" i="4"/>
  <c r="CL133" i="4"/>
  <c r="CM133" i="4"/>
  <c r="CL134" i="4"/>
  <c r="CM134" i="4"/>
  <c r="CL135" i="4"/>
  <c r="CL136" i="4"/>
  <c r="CM136" i="4"/>
  <c r="CP11" i="4"/>
  <c r="CK15" i="4"/>
  <c r="CK16" i="4"/>
  <c r="CK23" i="4"/>
  <c r="CK28" i="4"/>
  <c r="CK30" i="4"/>
  <c r="CK31" i="4"/>
  <c r="CK32" i="4"/>
  <c r="CK33" i="4"/>
  <c r="CK39" i="4"/>
  <c r="CK42" i="4"/>
  <c r="CK46" i="4"/>
  <c r="CK48" i="4"/>
  <c r="CK49" i="4"/>
  <c r="CK55" i="4"/>
  <c r="CK56" i="4"/>
  <c r="CK58" i="4"/>
  <c r="CK64" i="4"/>
  <c r="CK65" i="4"/>
  <c r="CK69" i="4"/>
  <c r="CK70" i="4"/>
  <c r="CK71" i="4"/>
  <c r="CK74" i="4"/>
  <c r="CK78" i="4"/>
  <c r="CK80" i="4"/>
  <c r="CK81" i="4"/>
  <c r="CK87" i="4"/>
  <c r="CK88" i="4"/>
  <c r="CK90" i="4"/>
  <c r="CK94" i="4"/>
  <c r="CK96" i="4"/>
  <c r="CK97" i="4"/>
  <c r="CK103" i="4"/>
  <c r="CK106" i="4"/>
  <c r="CK108" i="4"/>
  <c r="CK112" i="4"/>
  <c r="CK113" i="4"/>
  <c r="CK119" i="4"/>
  <c r="CK122" i="4"/>
  <c r="CK124" i="4"/>
  <c r="CK126" i="4"/>
  <c r="CK128" i="4"/>
  <c r="CK129" i="4"/>
  <c r="CK133" i="4"/>
  <c r="CK135" i="4"/>
  <c r="S15" i="4" l="1"/>
  <c r="AB15" i="4" s="1"/>
  <c r="Z15" i="4"/>
  <c r="AA15" i="4" s="1"/>
  <c r="S16" i="4"/>
  <c r="AB16" i="4" s="1"/>
  <c r="AC16" i="4" s="1"/>
  <c r="CL12" i="4"/>
  <c r="CQ12" i="4"/>
  <c r="CM15" i="4"/>
  <c r="CK18" i="4"/>
  <c r="CM19" i="4"/>
  <c r="CK21" i="4"/>
  <c r="CN23" i="4"/>
  <c r="CP24" i="4"/>
  <c r="CL25" i="4"/>
  <c r="CN26" i="4"/>
  <c r="CL28" i="4"/>
  <c r="CQ28" i="4"/>
  <c r="CM32" i="4"/>
  <c r="CK34" i="4"/>
  <c r="CM35" i="4"/>
  <c r="CN39" i="4"/>
  <c r="CP40" i="4"/>
  <c r="CL41" i="4"/>
  <c r="CN42" i="4"/>
  <c r="CQ44" i="4"/>
  <c r="CQ47" i="4"/>
  <c r="CM48" i="4"/>
  <c r="CK50" i="4"/>
  <c r="CQ60" i="4"/>
  <c r="CP13" i="4"/>
  <c r="CQ31" i="4"/>
  <c r="CK37" i="4"/>
  <c r="CL44" i="4"/>
  <c r="CM51" i="4"/>
  <c r="CK53" i="4"/>
  <c r="CP56" i="4"/>
  <c r="CN58" i="4"/>
  <c r="CL60" i="4"/>
  <c r="CM12" i="4"/>
  <c r="CP53" i="4"/>
  <c r="CN55" i="4"/>
  <c r="CL57" i="4"/>
  <c r="CP21" i="4"/>
  <c r="CP37" i="4"/>
  <c r="CN12" i="4"/>
  <c r="CP42" i="4"/>
  <c r="CM53" i="4"/>
  <c r="CM69" i="4"/>
  <c r="CN108" i="4"/>
  <c r="CP12" i="4"/>
  <c r="CL15" i="4"/>
  <c r="CQ19" i="4"/>
  <c r="CM23" i="4"/>
  <c r="CK25" i="4"/>
  <c r="CP28" i="4"/>
  <c r="CN30" i="4"/>
  <c r="CL32" i="4"/>
  <c r="CQ35" i="4"/>
  <c r="CM39" i="4"/>
  <c r="CK41" i="4"/>
  <c r="CP44" i="4"/>
  <c r="CN46" i="4"/>
  <c r="CL48" i="4"/>
  <c r="CQ51" i="4"/>
  <c r="CM55" i="4"/>
  <c r="CK57" i="4"/>
  <c r="CP60" i="4"/>
  <c r="CN62" i="4"/>
  <c r="CL64" i="4"/>
  <c r="CQ67" i="4"/>
  <c r="CM71" i="4"/>
  <c r="CK73" i="4"/>
  <c r="CP76" i="4"/>
  <c r="CN78" i="4"/>
  <c r="CL80" i="4"/>
  <c r="CQ83" i="4"/>
  <c r="CM87" i="4"/>
  <c r="CK89" i="4"/>
  <c r="CP92" i="4"/>
  <c r="CN94" i="4"/>
  <c r="CL96" i="4"/>
  <c r="CQ99" i="4"/>
  <c r="CM103" i="4"/>
  <c r="CK105" i="4"/>
  <c r="CP108" i="4"/>
  <c r="CN110" i="4"/>
  <c r="CL112" i="4"/>
  <c r="CQ115" i="4"/>
  <c r="CM119" i="4"/>
  <c r="CK121" i="4"/>
  <c r="CP124" i="4"/>
  <c r="CN126" i="4"/>
  <c r="CL128" i="4"/>
  <c r="CQ131" i="4"/>
  <c r="CM135" i="4"/>
  <c r="CK137" i="4"/>
  <c r="CM64" i="4"/>
  <c r="CK66" i="4"/>
  <c r="CP69" i="4"/>
  <c r="CN71" i="4"/>
  <c r="CL73" i="4"/>
  <c r="CQ76" i="4"/>
  <c r="CM80" i="4"/>
  <c r="CK82" i="4"/>
  <c r="CP85" i="4"/>
  <c r="CN87" i="4"/>
  <c r="CL89" i="4"/>
  <c r="CQ92" i="4"/>
  <c r="CM96" i="4"/>
  <c r="CK98" i="4"/>
  <c r="CP101" i="4"/>
  <c r="CN103" i="4"/>
  <c r="CL105" i="4"/>
  <c r="CQ108" i="4"/>
  <c r="CM112" i="4"/>
  <c r="CK114" i="4"/>
  <c r="CP117" i="4"/>
  <c r="CN119" i="4"/>
  <c r="CL121" i="4"/>
  <c r="CQ124" i="4"/>
  <c r="CM128" i="4"/>
  <c r="CK130" i="4"/>
  <c r="CP133" i="4"/>
  <c r="CN135" i="4"/>
  <c r="CL137" i="4"/>
  <c r="CL18" i="4"/>
  <c r="CQ21" i="4"/>
  <c r="CM25" i="4"/>
  <c r="CK27" i="4"/>
  <c r="CP30" i="4"/>
  <c r="CN32" i="4"/>
  <c r="CL34" i="4"/>
  <c r="CQ37" i="4"/>
  <c r="CM41" i="4"/>
  <c r="CK43" i="4"/>
  <c r="CP46" i="4"/>
  <c r="CL50" i="4"/>
  <c r="CQ53" i="4"/>
  <c r="CM57" i="4"/>
  <c r="CK59" i="4"/>
  <c r="CP62" i="4"/>
  <c r="CN64" i="4"/>
  <c r="CL66" i="4"/>
  <c r="CQ69" i="4"/>
  <c r="CM73" i="4"/>
  <c r="CK75" i="4"/>
  <c r="CP78" i="4"/>
  <c r="CN80" i="4"/>
  <c r="CL82" i="4"/>
  <c r="CQ85" i="4"/>
  <c r="CM89" i="4"/>
  <c r="CK91" i="4"/>
  <c r="CP94" i="4"/>
  <c r="CN96" i="4"/>
  <c r="CL98" i="4"/>
  <c r="CQ101" i="4"/>
  <c r="CM105" i="4"/>
  <c r="CK107" i="4"/>
  <c r="CP110" i="4"/>
  <c r="CN112" i="4"/>
  <c r="CL114" i="4"/>
  <c r="CQ117" i="4"/>
  <c r="CM121" i="4"/>
  <c r="CK123" i="4"/>
  <c r="CP126" i="4"/>
  <c r="CN128" i="4"/>
  <c r="CL130" i="4"/>
  <c r="CQ133" i="4"/>
  <c r="CM137" i="4"/>
  <c r="CM18" i="4"/>
  <c r="CK20" i="4"/>
  <c r="CP23" i="4"/>
  <c r="CN25" i="4"/>
  <c r="CL27" i="4"/>
  <c r="CQ30" i="4"/>
  <c r="CM34" i="4"/>
  <c r="CK36" i="4"/>
  <c r="CP39" i="4"/>
  <c r="CN41" i="4"/>
  <c r="CL43" i="4"/>
  <c r="CQ46" i="4"/>
  <c r="CM50" i="4"/>
  <c r="CK52" i="4"/>
  <c r="CP55" i="4"/>
  <c r="CN57" i="4"/>
  <c r="CL59" i="4"/>
  <c r="CQ62" i="4"/>
  <c r="CM66" i="4"/>
  <c r="CK68" i="4"/>
  <c r="CP71" i="4"/>
  <c r="CN73" i="4"/>
  <c r="CL75" i="4"/>
  <c r="CQ78" i="4"/>
  <c r="CM82" i="4"/>
  <c r="CK84" i="4"/>
  <c r="CP87" i="4"/>
  <c r="CN89" i="4"/>
  <c r="CM98" i="4"/>
  <c r="CK100" i="4"/>
  <c r="CP103" i="4"/>
  <c r="CN105" i="4"/>
  <c r="CL107" i="4"/>
  <c r="CQ110" i="4"/>
  <c r="CM114" i="4"/>
  <c r="CK116" i="4"/>
  <c r="CP119" i="4"/>
  <c r="CN121" i="4"/>
  <c r="CQ126" i="4"/>
  <c r="CM130" i="4"/>
  <c r="CK132" i="4"/>
  <c r="CP135" i="4"/>
  <c r="CN137" i="4"/>
  <c r="CK13" i="4"/>
  <c r="CP15" i="4"/>
  <c r="CN18" i="4"/>
  <c r="CL20" i="4"/>
  <c r="CQ23" i="4"/>
  <c r="CM27" i="4"/>
  <c r="CK29" i="4"/>
  <c r="CP32" i="4"/>
  <c r="CN34" i="4"/>
  <c r="CL36" i="4"/>
  <c r="CQ39" i="4"/>
  <c r="CK45" i="4"/>
  <c r="CP48" i="4"/>
  <c r="CN50" i="4"/>
  <c r="CL52" i="4"/>
  <c r="CQ55" i="4"/>
  <c r="CM59" i="4"/>
  <c r="CK61" i="4"/>
  <c r="CP64" i="4"/>
  <c r="CN66" i="4"/>
  <c r="CL68" i="4"/>
  <c r="CQ71" i="4"/>
  <c r="CM75" i="4"/>
  <c r="CK77" i="4"/>
  <c r="CP80" i="4"/>
  <c r="CN82" i="4"/>
  <c r="CQ87" i="4"/>
  <c r="CK93" i="4"/>
  <c r="CP96" i="4"/>
  <c r="CL100" i="4"/>
  <c r="CQ103" i="4"/>
  <c r="CM107" i="4"/>
  <c r="CK109" i="4"/>
  <c r="CP112" i="4"/>
  <c r="CN114" i="4"/>
  <c r="CL116" i="4"/>
  <c r="CQ119" i="4"/>
  <c r="CM123" i="4"/>
  <c r="CK125" i="4"/>
  <c r="CP128" i="4"/>
  <c r="CN130" i="4"/>
  <c r="CL132" i="4"/>
  <c r="CQ135" i="4"/>
  <c r="CL13" i="4"/>
  <c r="CQ15" i="4"/>
  <c r="CM20" i="4"/>
  <c r="CK22" i="4"/>
  <c r="CP25" i="4"/>
  <c r="CN27" i="4"/>
  <c r="CL29" i="4"/>
  <c r="CQ32" i="4"/>
  <c r="CM36" i="4"/>
  <c r="CK38" i="4"/>
  <c r="CP41" i="4"/>
  <c r="CN43" i="4"/>
  <c r="CL45" i="4"/>
  <c r="CQ48" i="4"/>
  <c r="CM52" i="4"/>
  <c r="CK54" i="4"/>
  <c r="CP57" i="4"/>
  <c r="CN59" i="4"/>
  <c r="CL61" i="4"/>
  <c r="CQ64" i="4"/>
  <c r="CM68" i="4"/>
  <c r="CP73" i="4"/>
  <c r="CN75" i="4"/>
  <c r="CL77" i="4"/>
  <c r="CQ80" i="4"/>
  <c r="CK86" i="4"/>
  <c r="CP89" i="4"/>
  <c r="CN91" i="4"/>
  <c r="CL93" i="4"/>
  <c r="CQ96" i="4"/>
  <c r="CM100" i="4"/>
  <c r="CK102" i="4"/>
  <c r="CP105" i="4"/>
  <c r="CN107" i="4"/>
  <c r="CL109" i="4"/>
  <c r="CQ112" i="4"/>
  <c r="CM116" i="4"/>
  <c r="CK118" i="4"/>
  <c r="CP121" i="4"/>
  <c r="CN123" i="4"/>
  <c r="CQ128" i="4"/>
  <c r="CM132" i="4"/>
  <c r="CK134" i="4"/>
  <c r="CP137" i="4"/>
  <c r="CP18" i="4"/>
  <c r="CN20" i="4"/>
  <c r="CL22" i="4"/>
  <c r="CM29" i="4"/>
  <c r="CP34" i="4"/>
  <c r="CN36" i="4"/>
  <c r="CL38" i="4"/>
  <c r="CQ41" i="4"/>
  <c r="CM45" i="4"/>
  <c r="CK47" i="4"/>
  <c r="CP50" i="4"/>
  <c r="CN52" i="4"/>
  <c r="CQ57" i="4"/>
  <c r="CK63" i="4"/>
  <c r="CP66" i="4"/>
  <c r="CN68" i="4"/>
  <c r="CQ73" i="4"/>
  <c r="CK79" i="4"/>
  <c r="CN84" i="4"/>
  <c r="CL86" i="4"/>
  <c r="CQ89" i="4"/>
  <c r="CM93" i="4"/>
  <c r="CK95" i="4"/>
  <c r="CP98" i="4"/>
  <c r="CN100" i="4"/>
  <c r="CQ105" i="4"/>
  <c r="CK111" i="4"/>
  <c r="CP114" i="4"/>
  <c r="CN116" i="4"/>
  <c r="CL118" i="4"/>
  <c r="CQ121" i="4"/>
  <c r="CM125" i="4"/>
  <c r="CK127" i="4"/>
  <c r="CN132" i="4"/>
  <c r="CN13" i="4"/>
  <c r="CQ18" i="4"/>
  <c r="CK24" i="4"/>
  <c r="CP27" i="4"/>
  <c r="CN29" i="4"/>
  <c r="CQ34" i="4"/>
  <c r="CM38" i="4"/>
  <c r="CK40" i="4"/>
  <c r="CP43" i="4"/>
  <c r="CL47" i="4"/>
  <c r="CQ50" i="4"/>
  <c r="CP59" i="4"/>
  <c r="CL63" i="4"/>
  <c r="CQ66" i="4"/>
  <c r="CM70" i="4"/>
  <c r="CK72" i="4"/>
  <c r="CP75" i="4"/>
  <c r="CN77" i="4"/>
  <c r="CL79" i="4"/>
  <c r="CN93" i="4"/>
  <c r="CL95" i="4"/>
  <c r="CQ98" i="4"/>
  <c r="CK104" i="4"/>
  <c r="CP107" i="4"/>
  <c r="CN109" i="4"/>
  <c r="CL111" i="4"/>
  <c r="CM118" i="4"/>
  <c r="CK120" i="4"/>
  <c r="CN125" i="4"/>
  <c r="CL127" i="4"/>
  <c r="CK136" i="4"/>
  <c r="CP20" i="4"/>
  <c r="CL24" i="4"/>
  <c r="CM31" i="4"/>
  <c r="CL40" i="4"/>
  <c r="CP52" i="4"/>
  <c r="CP68" i="4"/>
  <c r="CP100" i="4"/>
  <c r="CL120" i="4"/>
  <c r="CK26" i="4"/>
  <c r="CM16" i="4"/>
  <c r="CK19" i="4"/>
  <c r="CN24" i="4"/>
  <c r="CL26" i="4"/>
  <c r="CQ29" i="4"/>
  <c r="CK35" i="4"/>
  <c r="CN40" i="4"/>
  <c r="CL42" i="4"/>
  <c r="CK51" i="4"/>
  <c r="CP54" i="4"/>
  <c r="CN56" i="4"/>
  <c r="CQ61" i="4"/>
  <c r="CM65" i="4"/>
  <c r="CK67" i="4"/>
  <c r="CN72" i="4"/>
  <c r="CL74" i="4"/>
  <c r="CK83" i="4"/>
  <c r="CP86" i="4"/>
  <c r="CL90" i="4"/>
  <c r="CQ93" i="4"/>
  <c r="CM97" i="4"/>
  <c r="CK99" i="4"/>
  <c r="CN104" i="4"/>
  <c r="CL106" i="4"/>
  <c r="CQ109" i="4"/>
  <c r="CM113" i="4"/>
  <c r="CK115" i="4"/>
  <c r="CL122" i="4"/>
  <c r="CM129" i="4"/>
  <c r="CK131" i="4"/>
  <c r="CN136" i="4"/>
  <c r="CK12" i="4"/>
  <c r="CN16" i="4"/>
  <c r="CL19" i="4"/>
  <c r="CM26" i="4"/>
  <c r="CP31" i="4"/>
  <c r="CM42" i="4"/>
  <c r="CK44" i="4"/>
  <c r="CP47" i="4"/>
  <c r="CN49" i="4"/>
  <c r="CM58" i="4"/>
  <c r="CK60" i="4"/>
  <c r="CN65" i="4"/>
  <c r="CL67" i="4"/>
  <c r="CM74" i="4"/>
  <c r="CK76" i="4"/>
  <c r="CM90" i="4"/>
  <c r="CK92" i="4"/>
  <c r="CP95" i="4"/>
  <c r="CN97" i="4"/>
  <c r="CL99" i="4"/>
  <c r="CQ102" i="4"/>
  <c r="CN113" i="4"/>
  <c r="CL115" i="4"/>
  <c r="CM122" i="4"/>
  <c r="CP127" i="4"/>
  <c r="CN129" i="4"/>
  <c r="CL131" i="4"/>
  <c r="CL76" i="4"/>
  <c r="CQ79" i="4"/>
  <c r="CM83" i="4"/>
  <c r="CK85" i="4"/>
  <c r="CL92" i="4"/>
  <c r="CK101" i="4"/>
  <c r="CK117" i="4"/>
  <c r="CL124" i="4"/>
  <c r="CL21" i="4"/>
  <c r="CM28" i="4"/>
  <c r="CP33" i="4"/>
  <c r="CN35" i="4"/>
  <c r="CL37" i="4"/>
  <c r="CM44" i="4"/>
  <c r="CN51" i="4"/>
  <c r="CM60" i="4"/>
  <c r="CK62" i="4"/>
  <c r="CQ88" i="4"/>
  <c r="CN99" i="4"/>
  <c r="CK110" i="4"/>
  <c r="CN131" i="4"/>
  <c r="CQ11" i="4"/>
  <c r="CL11" i="4"/>
  <c r="CM11" i="4"/>
  <c r="CN11" i="4"/>
  <c r="CK11" i="4"/>
  <c r="CO11" i="4"/>
  <c r="AC15" i="4" l="1"/>
  <c r="I148" i="4"/>
  <c r="J147" i="4"/>
  <c r="J146" i="4"/>
  <c r="J145" i="4"/>
  <c r="J144" i="4"/>
  <c r="AA138" i="4"/>
  <c r="A19" i="4"/>
  <c r="Z19" i="4" s="1"/>
  <c r="A20" i="4"/>
  <c r="Z20" i="4" s="1"/>
  <c r="A21" i="4"/>
  <c r="Z21" i="4" s="1"/>
  <c r="A22" i="4"/>
  <c r="Z22" i="4" s="1"/>
  <c r="A23" i="4"/>
  <c r="Z23" i="4" s="1"/>
  <c r="A24" i="4"/>
  <c r="Z24" i="4" s="1"/>
  <c r="A25" i="4"/>
  <c r="Z25" i="4" s="1"/>
  <c r="A26" i="4"/>
  <c r="Z26" i="4" s="1"/>
  <c r="A27" i="4"/>
  <c r="Z27" i="4" s="1"/>
  <c r="A28" i="4"/>
  <c r="Z28" i="4" s="1"/>
  <c r="A29" i="4"/>
  <c r="Z29" i="4" s="1"/>
  <c r="A30" i="4"/>
  <c r="Z30" i="4" s="1"/>
  <c r="A31" i="4"/>
  <c r="Z31" i="4" s="1"/>
  <c r="CR31" i="4"/>
  <c r="A32" i="4"/>
  <c r="Z32" i="4" s="1"/>
  <c r="CR32" i="4"/>
  <c r="A33" i="4"/>
  <c r="Z33" i="4" s="1"/>
  <c r="CR33" i="4"/>
  <c r="A34" i="4"/>
  <c r="Z34" i="4" s="1"/>
  <c r="CR34" i="4"/>
  <c r="A35" i="4"/>
  <c r="Z35" i="4" s="1"/>
  <c r="CR35" i="4"/>
  <c r="A36" i="4"/>
  <c r="Z36" i="4" s="1"/>
  <c r="CR36" i="4"/>
  <c r="A37" i="4"/>
  <c r="Z37" i="4" s="1"/>
  <c r="CR37" i="4"/>
  <c r="A38" i="4"/>
  <c r="Z38" i="4" s="1"/>
  <c r="CR38" i="4"/>
  <c r="A39" i="4"/>
  <c r="Z39" i="4" s="1"/>
  <c r="CR39" i="4"/>
  <c r="A40" i="4"/>
  <c r="Z40" i="4" s="1"/>
  <c r="CR40" i="4"/>
  <c r="A41" i="4"/>
  <c r="Z41" i="4" s="1"/>
  <c r="CR41" i="4"/>
  <c r="A42" i="4"/>
  <c r="Z42" i="4" s="1"/>
  <c r="CR42" i="4"/>
  <c r="A43" i="4"/>
  <c r="Z43" i="4" s="1"/>
  <c r="CR43" i="4"/>
  <c r="A44" i="4"/>
  <c r="Z44" i="4" s="1"/>
  <c r="CR44" i="4"/>
  <c r="A45" i="4"/>
  <c r="Z45" i="4" s="1"/>
  <c r="CR45" i="4"/>
  <c r="A46" i="4"/>
  <c r="Z46" i="4" s="1"/>
  <c r="CR46" i="4"/>
  <c r="A47" i="4"/>
  <c r="Z47" i="4" s="1"/>
  <c r="CR47" i="4"/>
  <c r="A48" i="4"/>
  <c r="Z48" i="4" s="1"/>
  <c r="CR48" i="4"/>
  <c r="A49" i="4"/>
  <c r="Z49" i="4" s="1"/>
  <c r="CR49" i="4"/>
  <c r="A50" i="4"/>
  <c r="Z50" i="4" s="1"/>
  <c r="CR50" i="4"/>
  <c r="A51" i="4"/>
  <c r="Z51" i="4" s="1"/>
  <c r="CR51" i="4"/>
  <c r="A52" i="4"/>
  <c r="Z52" i="4" s="1"/>
  <c r="CR52" i="4"/>
  <c r="A53" i="4"/>
  <c r="Z53" i="4" s="1"/>
  <c r="CR53" i="4"/>
  <c r="A54" i="4"/>
  <c r="Z54" i="4" s="1"/>
  <c r="CR54" i="4"/>
  <c r="A55" i="4"/>
  <c r="Z55" i="4" s="1"/>
  <c r="CR55" i="4"/>
  <c r="A56" i="4"/>
  <c r="Z56" i="4" s="1"/>
  <c r="CR56" i="4"/>
  <c r="A57" i="4"/>
  <c r="Z57" i="4" s="1"/>
  <c r="CR57" i="4"/>
  <c r="A58" i="4"/>
  <c r="Z58" i="4" s="1"/>
  <c r="CR58" i="4"/>
  <c r="A59" i="4"/>
  <c r="Z59" i="4" s="1"/>
  <c r="CR59" i="4"/>
  <c r="A60" i="4"/>
  <c r="Z60" i="4" s="1"/>
  <c r="CR60" i="4"/>
  <c r="A61" i="4"/>
  <c r="Z61" i="4" s="1"/>
  <c r="CR61" i="4"/>
  <c r="A62" i="4"/>
  <c r="Z62" i="4" s="1"/>
  <c r="CR62" i="4"/>
  <c r="A63" i="4"/>
  <c r="Z63" i="4" s="1"/>
  <c r="CR63" i="4"/>
  <c r="A64" i="4"/>
  <c r="Z64" i="4" s="1"/>
  <c r="CR64" i="4"/>
  <c r="A65" i="4"/>
  <c r="Z65" i="4" s="1"/>
  <c r="CR65" i="4"/>
  <c r="A66" i="4"/>
  <c r="Z66" i="4" s="1"/>
  <c r="CR66" i="4"/>
  <c r="A67" i="4"/>
  <c r="Z67" i="4" s="1"/>
  <c r="CR67" i="4"/>
  <c r="A68" i="4"/>
  <c r="Z68" i="4" s="1"/>
  <c r="CR68" i="4"/>
  <c r="A69" i="4"/>
  <c r="Z69" i="4" s="1"/>
  <c r="CR69" i="4"/>
  <c r="A70" i="4"/>
  <c r="Z70" i="4" s="1"/>
  <c r="CR70" i="4"/>
  <c r="A71" i="4"/>
  <c r="Z71" i="4" s="1"/>
  <c r="CR71" i="4"/>
  <c r="A72" i="4"/>
  <c r="Z72" i="4" s="1"/>
  <c r="CR72" i="4"/>
  <c r="A73" i="4"/>
  <c r="Z73" i="4" s="1"/>
  <c r="CR73" i="4"/>
  <c r="A74" i="4"/>
  <c r="Z74" i="4" s="1"/>
  <c r="CR74" i="4"/>
  <c r="A75" i="4"/>
  <c r="Z75" i="4" s="1"/>
  <c r="CR75" i="4"/>
  <c r="A76" i="4"/>
  <c r="Z76" i="4" s="1"/>
  <c r="CR76" i="4"/>
  <c r="A77" i="4"/>
  <c r="Z77" i="4" s="1"/>
  <c r="CR77" i="4"/>
  <c r="A78" i="4"/>
  <c r="Z78" i="4" s="1"/>
  <c r="CR78" i="4"/>
  <c r="A79" i="4"/>
  <c r="Z79" i="4" s="1"/>
  <c r="CR79" i="4"/>
  <c r="A80" i="4"/>
  <c r="Z80" i="4" s="1"/>
  <c r="CR80" i="4"/>
  <c r="A81" i="4"/>
  <c r="Z81" i="4" s="1"/>
  <c r="CR81" i="4"/>
  <c r="A82" i="4"/>
  <c r="Z82" i="4" s="1"/>
  <c r="CR82" i="4"/>
  <c r="A83" i="4"/>
  <c r="Z83" i="4" s="1"/>
  <c r="CR83" i="4"/>
  <c r="A84" i="4"/>
  <c r="Z84" i="4" s="1"/>
  <c r="CR84" i="4"/>
  <c r="A85" i="4"/>
  <c r="Z85" i="4" s="1"/>
  <c r="CR85" i="4"/>
  <c r="A86" i="4"/>
  <c r="Z86" i="4" s="1"/>
  <c r="CR86" i="4"/>
  <c r="A87" i="4"/>
  <c r="Z87" i="4" s="1"/>
  <c r="CR87" i="4"/>
  <c r="A88" i="4"/>
  <c r="Z88" i="4" s="1"/>
  <c r="CR88" i="4"/>
  <c r="A89" i="4"/>
  <c r="Z89" i="4" s="1"/>
  <c r="CR89" i="4"/>
  <c r="A90" i="4"/>
  <c r="Z90" i="4" s="1"/>
  <c r="CR90" i="4"/>
  <c r="A91" i="4"/>
  <c r="Z91" i="4" s="1"/>
  <c r="CR91" i="4"/>
  <c r="A92" i="4"/>
  <c r="Z92" i="4" s="1"/>
  <c r="CR92" i="4"/>
  <c r="A93" i="4"/>
  <c r="Z93" i="4" s="1"/>
  <c r="CR93" i="4"/>
  <c r="A94" i="4"/>
  <c r="Z94" i="4" s="1"/>
  <c r="CR94" i="4"/>
  <c r="A95" i="4"/>
  <c r="Z95" i="4" s="1"/>
  <c r="CR95" i="4"/>
  <c r="A96" i="4"/>
  <c r="Z96" i="4" s="1"/>
  <c r="CR96" i="4"/>
  <c r="A97" i="4"/>
  <c r="Z97" i="4" s="1"/>
  <c r="CR97" i="4"/>
  <c r="A98" i="4"/>
  <c r="Z98" i="4" s="1"/>
  <c r="CR98" i="4"/>
  <c r="A99" i="4"/>
  <c r="Z99" i="4" s="1"/>
  <c r="CR99" i="4"/>
  <c r="A100" i="4"/>
  <c r="Z100" i="4" s="1"/>
  <c r="CR100" i="4"/>
  <c r="A101" i="4"/>
  <c r="Z101" i="4" s="1"/>
  <c r="CR101" i="4"/>
  <c r="A102" i="4"/>
  <c r="Z102" i="4" s="1"/>
  <c r="CR102" i="4"/>
  <c r="A103" i="4"/>
  <c r="Z103" i="4" s="1"/>
  <c r="CR103" i="4"/>
  <c r="A104" i="4"/>
  <c r="Z104" i="4" s="1"/>
  <c r="CR104" i="4"/>
  <c r="A105" i="4"/>
  <c r="Z105" i="4" s="1"/>
  <c r="CR105" i="4"/>
  <c r="A106" i="4"/>
  <c r="Z106" i="4" s="1"/>
  <c r="CR106" i="4"/>
  <c r="A107" i="4"/>
  <c r="Z107" i="4" s="1"/>
  <c r="CR107" i="4"/>
  <c r="A108" i="4"/>
  <c r="Z108" i="4" s="1"/>
  <c r="CR108" i="4"/>
  <c r="A109" i="4"/>
  <c r="Z109" i="4" s="1"/>
  <c r="CR109" i="4"/>
  <c r="A110" i="4"/>
  <c r="Z110" i="4" s="1"/>
  <c r="CR110" i="4"/>
  <c r="A111" i="4"/>
  <c r="Z111" i="4" s="1"/>
  <c r="CR111" i="4"/>
  <c r="A112" i="4"/>
  <c r="Z112" i="4" s="1"/>
  <c r="CR112" i="4"/>
  <c r="A113" i="4"/>
  <c r="Z113" i="4" s="1"/>
  <c r="CR113" i="4"/>
  <c r="A114" i="4"/>
  <c r="Z114" i="4" s="1"/>
  <c r="CR114" i="4"/>
  <c r="A115" i="4"/>
  <c r="Z115" i="4" s="1"/>
  <c r="CR115" i="4"/>
  <c r="A116" i="4"/>
  <c r="Z116" i="4" s="1"/>
  <c r="CR116" i="4"/>
  <c r="A117" i="4"/>
  <c r="Z117" i="4" s="1"/>
  <c r="CR117" i="4"/>
  <c r="A118" i="4"/>
  <c r="Z118" i="4" s="1"/>
  <c r="CR118" i="4"/>
  <c r="A119" i="4"/>
  <c r="Z119" i="4" s="1"/>
  <c r="CR119" i="4"/>
  <c r="A120" i="4"/>
  <c r="Z120" i="4" s="1"/>
  <c r="CR120" i="4"/>
  <c r="A121" i="4"/>
  <c r="Z121" i="4" s="1"/>
  <c r="CR121" i="4"/>
  <c r="A122" i="4"/>
  <c r="Z122" i="4" s="1"/>
  <c r="CR122" i="4"/>
  <c r="A123" i="4"/>
  <c r="Z123" i="4" s="1"/>
  <c r="CR123" i="4"/>
  <c r="A124" i="4"/>
  <c r="Z124" i="4" s="1"/>
  <c r="CR124" i="4"/>
  <c r="A125" i="4"/>
  <c r="Z125" i="4" s="1"/>
  <c r="CR125" i="4"/>
  <c r="A126" i="4"/>
  <c r="Z126" i="4" s="1"/>
  <c r="CR126" i="4"/>
  <c r="A127" i="4"/>
  <c r="Z127" i="4" s="1"/>
  <c r="CR127" i="4"/>
  <c r="A128" i="4"/>
  <c r="Z128" i="4" s="1"/>
  <c r="CR128" i="4"/>
  <c r="A129" i="4"/>
  <c r="Z129" i="4" s="1"/>
  <c r="CR129" i="4"/>
  <c r="A130" i="4"/>
  <c r="Z130" i="4" s="1"/>
  <c r="CR130" i="4"/>
  <c r="A131" i="4"/>
  <c r="Z131" i="4" s="1"/>
  <c r="CR131" i="4"/>
  <c r="A132" i="4"/>
  <c r="Z132" i="4" s="1"/>
  <c r="CR132" i="4"/>
  <c r="A133" i="4"/>
  <c r="Z133" i="4" s="1"/>
  <c r="CR133" i="4"/>
  <c r="A134" i="4"/>
  <c r="Z134" i="4" s="1"/>
  <c r="CR134" i="4"/>
  <c r="A135" i="4"/>
  <c r="Z135" i="4" s="1"/>
  <c r="CR135" i="4"/>
  <c r="A136" i="4"/>
  <c r="Z136" i="4" s="1"/>
  <c r="CR136" i="4"/>
  <c r="A137" i="4"/>
  <c r="Z137" i="4" s="1"/>
  <c r="CR137" i="4"/>
  <c r="CR16" i="4" l="1"/>
  <c r="AC26" i="4"/>
  <c r="CR26" i="4" s="1"/>
  <c r="AC25" i="4"/>
  <c r="CR25" i="4" s="1"/>
  <c r="AC24" i="4"/>
  <c r="CR24" i="4" s="1"/>
  <c r="AC23" i="4"/>
  <c r="CR23" i="4" s="1"/>
  <c r="AC22" i="4"/>
  <c r="CR22" i="4" s="1"/>
  <c r="AC30" i="4"/>
  <c r="CR30" i="4" s="1"/>
  <c r="AC20" i="4"/>
  <c r="CR20" i="4" s="1"/>
  <c r="CR13" i="4"/>
  <c r="AC19" i="4"/>
  <c r="CR19" i="4" s="1"/>
  <c r="AC28" i="4"/>
  <c r="CR28" i="4" s="1"/>
  <c r="CR18" i="4"/>
  <c r="CR15" i="4"/>
  <c r="CR12" i="4"/>
  <c r="AC21" i="4"/>
  <c r="CR21" i="4" s="1"/>
  <c r="AC29" i="4"/>
  <c r="CR29" i="4" s="1"/>
  <c r="AC27" i="4"/>
  <c r="CR27" i="4" s="1"/>
  <c r="I13" i="11" l="1"/>
  <c r="I17" i="11"/>
  <c r="I18" i="11"/>
  <c r="J143" i="4" l="1"/>
  <c r="J148" i="4" l="1"/>
  <c r="AB5" i="4" l="1"/>
  <c r="AA143" i="4"/>
  <c r="H32" i="11"/>
  <c r="H19" i="11"/>
  <c r="I11" i="11" l="1"/>
  <c r="I8" i="11" s="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1" i="4" l="1"/>
  <c r="AB4" i="4" l="1"/>
  <c r="G2" i="11" l="1"/>
  <c r="AB6" i="4"/>
</calcChain>
</file>

<file path=xl/sharedStrings.xml><?xml version="1.0" encoding="utf-8"?>
<sst xmlns="http://schemas.openxmlformats.org/spreadsheetml/2006/main" count="7699" uniqueCount="1404">
  <si>
    <t>ALCALDÍA LOCAL DE SUBA - ESTUDIO DE MERCADO 2026</t>
  </si>
  <si>
    <t xml:space="preserve">Estudio de Mercado </t>
  </si>
  <si>
    <t>OBJETO DEL PROCESO DE CONTRATACIÓN</t>
  </si>
  <si>
    <t>FECHA DE ENTREGA DEL ESTUDIO DE MERCADO</t>
  </si>
  <si>
    <t>TOTAL ITEMS</t>
  </si>
  <si>
    <t>MODALIDAD CONTRATACIÓN</t>
  </si>
  <si>
    <t>TOTAL RECURSO HUMANO</t>
  </si>
  <si>
    <t>PRESUPUESTO OFICIAL</t>
  </si>
  <si>
    <t>ESTRUCTURADOR</t>
  </si>
  <si>
    <t>REVISÓ</t>
  </si>
  <si>
    <t>TOTAL ESTUDIO DE MERCADO</t>
  </si>
  <si>
    <t>OJO, PARA TODAS LAS COTIZACIONES QUE CRUZAN INFORMACIÓN DE LA BOLSA SE DEBEN VERIFICAR LOS IMPUESTOS Y EL VALOR UNITARIO CON IVA!!!!!!! QUE CORRESPONDA A LA BOLSA COMPARTIDA
PARA LA PUBLICACIÓN DEL ESTUDIO SE DEBEN ELIMINAR LAS HOJAS DE REVISIÓN O EL FORMATO DE OFERTA ECONÓMICA, DADO QUE SON FORMATOS APARTE</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</si>
  <si>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</si>
  <si>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</si>
  <si>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</si>
  <si>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</si>
  <si>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</si>
  <si>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</si>
  <si>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</si>
  <si>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</si>
  <si>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</si>
  <si>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</si>
  <si>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</si>
  <si>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</si>
  <si>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</si>
  <si>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</si>
  <si>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</si>
  <si>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</si>
  <si>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</si>
  <si>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Nombre del Elemento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</si>
  <si>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</si>
  <si>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</si>
  <si>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</si>
  <si>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</si>
  <si>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</si>
  <si>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</si>
  <si>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</si>
  <si>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</si>
  <si>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</si>
  <si>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</si>
  <si>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</si>
  <si>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</si>
  <si>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</si>
  <si>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</si>
  <si>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</si>
  <si>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</si>
  <si>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</si>
  <si>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</si>
  <si>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</si>
  <si>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</si>
  <si>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</si>
  <si>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Compra</t>
  </si>
  <si>
    <t>Total ítems Estudio de Mercado</t>
  </si>
  <si>
    <t>RECURSO HUMANO</t>
  </si>
  <si>
    <t>Perfil solicitado Recurso Humano</t>
  </si>
  <si>
    <t>Descripción del perfil - Recurso Humano</t>
  </si>
  <si>
    <t>Tiempo (meses)</t>
  </si>
  <si>
    <t>Tabla Honorarios
o 
Cotización</t>
  </si>
  <si>
    <t>Valor unitario (Tabla)</t>
  </si>
  <si>
    <t>Valor total</t>
  </si>
  <si>
    <t>Persona</t>
  </si>
  <si>
    <t>Tabla</t>
  </si>
  <si>
    <t>VALOR ESTUDIO DE MERCADO - 3 PROVEEDORES</t>
  </si>
  <si>
    <t>VALOR ESTUDIO DE MERCADO</t>
  </si>
  <si>
    <t>Total Recurso Humano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</si>
  <si>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</si>
  <si>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</si>
  <si>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</si>
  <si>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</si>
  <si>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</si>
  <si>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</si>
  <si>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</si>
  <si>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</si>
  <si>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</si>
  <si>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</si>
  <si>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APROBÓ</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</si>
  <si>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</si>
  <si>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</si>
  <si>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</si>
  <si>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</si>
  <si>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</si>
  <si>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</si>
  <si>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</si>
  <si>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</si>
  <si>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</si>
  <si>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</si>
  <si>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</si>
  <si>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</si>
  <si>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</si>
  <si>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</si>
  <si>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</si>
  <si>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</si>
  <si>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</si>
  <si>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</si>
  <si>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</si>
  <si>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</si>
  <si>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</si>
  <si>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</si>
  <si>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</si>
  <si>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</si>
  <si>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</si>
  <si>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</si>
  <si>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</si>
  <si>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</si>
  <si>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</si>
  <si>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</si>
  <si>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</si>
  <si>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</si>
  <si>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</si>
  <si>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</si>
  <si>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</si>
  <si>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</si>
  <si>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</si>
  <si>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</si>
  <si>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</si>
  <si>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</si>
  <si>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</si>
  <si>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</si>
  <si>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</si>
  <si>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</si>
  <si>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</si>
  <si>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</si>
  <si>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</si>
  <si>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</si>
  <si>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</si>
  <si>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</si>
  <si>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</si>
  <si>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</si>
  <si>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</si>
  <si>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</si>
  <si>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</si>
  <si>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</si>
  <si>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</si>
  <si>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</si>
  <si>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</si>
  <si>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</si>
  <si>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</si>
  <si>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</si>
  <si>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</si>
  <si>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</si>
  <si>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</si>
  <si>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</si>
  <si>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</si>
  <si>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</si>
  <si>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</si>
  <si>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</si>
  <si>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</si>
  <si>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</si>
  <si>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</si>
  <si>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</si>
  <si>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</si>
  <si>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</si>
  <si>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</si>
  <si>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</si>
  <si>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</si>
  <si>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</si>
  <si>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</si>
  <si>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</si>
  <si>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</si>
  <si>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</si>
  <si>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</si>
  <si>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</si>
  <si>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</si>
  <si>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</si>
  <si>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</si>
  <si>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</si>
  <si>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</si>
  <si>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</si>
  <si>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</si>
  <si>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</si>
  <si>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</si>
  <si>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</si>
  <si>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</si>
  <si>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</si>
  <si>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</si>
  <si>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</si>
  <si>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</si>
  <si>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</si>
  <si>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</si>
  <si>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</si>
  <si>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</si>
  <si>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</si>
  <si>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</si>
  <si>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</si>
  <si>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</si>
  <si>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</si>
  <si>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</si>
  <si>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</si>
  <si>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</si>
  <si>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</si>
  <si>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</si>
  <si>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</si>
  <si>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</si>
  <si>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</si>
  <si>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</si>
  <si>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</si>
  <si>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</si>
  <si>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</si>
  <si>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</si>
  <si>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VALOR UNITARIO INCLUIDO IVA</t>
  </si>
  <si>
    <t>VALOR TOTAL INCLUIDO IVA</t>
  </si>
  <si>
    <t>VALOR TOTAL</t>
  </si>
  <si>
    <t>TOTAL ÍTEMS</t>
  </si>
  <si>
    <t>NOMBRE DEL REPRESENTANTE LEGAL</t>
  </si>
  <si>
    <t>NOMBRE DE LA EMPRESA</t>
  </si>
  <si>
    <t>DIRECCION</t>
  </si>
  <si>
    <t>TELEFONOS DE CONTACTO</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</si>
  <si>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</si>
  <si>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</si>
  <si>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</si>
  <si>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</si>
  <si>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</si>
  <si>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</si>
  <si>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</si>
  <si>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</si>
  <si>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</si>
  <si>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</si>
  <si>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</si>
  <si>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</si>
  <si>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</si>
  <si>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</si>
  <si>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</si>
  <si>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</si>
  <si>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</si>
  <si>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</si>
  <si>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</si>
  <si>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</si>
  <si>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</si>
  <si>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</si>
  <si>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</si>
  <si>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</si>
  <si>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</si>
  <si>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</si>
  <si>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</si>
  <si>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</si>
  <si>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</si>
  <si>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</si>
  <si>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</si>
  <si>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</si>
  <si>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</si>
  <si>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</si>
  <si>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</si>
  <si>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</si>
  <si>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</si>
  <si>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</si>
  <si>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</si>
  <si>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</si>
  <si>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</si>
  <si>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</si>
  <si>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</si>
  <si>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</si>
  <si>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</si>
  <si>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</si>
  <si>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</si>
  <si>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</si>
  <si>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</si>
  <si>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</si>
  <si>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</si>
  <si>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</si>
  <si>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</si>
  <si>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</si>
  <si>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</si>
  <si>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</si>
  <si>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</si>
  <si>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</si>
  <si>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</si>
  <si>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</si>
  <si>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</si>
  <si>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</si>
  <si>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</si>
  <si>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</si>
  <si>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</si>
  <si>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</si>
  <si>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</si>
  <si>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</si>
  <si>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</si>
  <si>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</si>
  <si>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</si>
  <si>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</si>
  <si>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</si>
  <si>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</si>
  <si>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</si>
  <si>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</si>
  <si>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</si>
  <si>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</si>
  <si>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</si>
  <si>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</si>
  <si>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</si>
  <si>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</si>
  <si>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</si>
  <si>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</si>
  <si>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</si>
  <si>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</si>
  <si>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</si>
  <si>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</si>
  <si>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</si>
  <si>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</si>
  <si>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</si>
  <si>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</si>
  <si>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</si>
  <si>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</si>
  <si>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</si>
  <si>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</si>
  <si>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</si>
  <si>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</si>
  <si>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</si>
  <si>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</si>
  <si>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</si>
  <si>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</si>
  <si>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</si>
  <si>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</si>
  <si>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</si>
  <si>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</si>
  <si>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</si>
  <si>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</si>
  <si>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</si>
  <si>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</si>
  <si>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</si>
  <si>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</si>
  <si>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</si>
  <si>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</si>
  <si>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</si>
  <si>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</si>
  <si>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</si>
  <si>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</si>
  <si>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</si>
  <si>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</si>
  <si>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</si>
  <si>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</si>
  <si>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</si>
  <si>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</si>
  <si>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</si>
  <si>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</si>
  <si>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</si>
  <si>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</si>
  <si>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</si>
  <si>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</si>
  <si>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</si>
  <si>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</si>
  <si>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</si>
  <si>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</si>
  <si>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</si>
  <si>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</si>
  <si>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</si>
  <si>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</si>
  <si>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</si>
  <si>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</si>
  <si>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</si>
  <si>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</si>
  <si>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</si>
  <si>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</si>
  <si>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</si>
  <si>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</si>
  <si>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</si>
  <si>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</si>
  <si>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</si>
  <si>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</si>
  <si>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</si>
  <si>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</si>
  <si>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</si>
  <si>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</si>
  <si>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</si>
  <si>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</si>
  <si>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</si>
  <si>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</si>
  <si>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</si>
  <si>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</si>
  <si>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</si>
  <si>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</si>
  <si>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</si>
  <si>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</si>
  <si>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</si>
  <si>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</si>
  <si>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</si>
  <si>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</si>
  <si>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</si>
  <si>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</si>
  <si>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</si>
  <si>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</si>
  <si>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</si>
  <si>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</si>
  <si>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</si>
  <si>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</si>
  <si>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</si>
  <si>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</si>
  <si>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</si>
  <si>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</si>
  <si>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</si>
  <si>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</si>
  <si>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</si>
  <si>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</si>
  <si>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</si>
  <si>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</si>
  <si>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</si>
  <si>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</si>
  <si>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</si>
  <si>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</si>
  <si>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</si>
  <si>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</si>
  <si>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</si>
  <si>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</si>
  <si>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</si>
  <si>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</si>
  <si>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</si>
  <si>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</si>
  <si>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</si>
  <si>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</si>
  <si>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</si>
  <si>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</si>
  <si>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</si>
  <si>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</si>
  <si>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</si>
  <si>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</si>
  <si>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</si>
  <si>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</si>
  <si>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</si>
  <si>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</si>
  <si>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</si>
  <si>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</si>
  <si>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</si>
  <si>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</si>
  <si>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</si>
  <si>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</si>
  <si>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</si>
  <si>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</si>
  <si>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</si>
  <si>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</si>
  <si>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</si>
  <si>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</si>
  <si>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</si>
  <si>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</si>
  <si>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</si>
  <si>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</si>
  <si>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</si>
  <si>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</si>
  <si>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</si>
  <si>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</si>
  <si>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</si>
  <si>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</si>
  <si>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</si>
  <si>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</si>
  <si>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</si>
  <si>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</si>
  <si>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</si>
  <si>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</si>
  <si>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</si>
  <si>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</si>
  <si>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</si>
  <si>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</si>
  <si>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</si>
  <si>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</si>
  <si>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</si>
  <si>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</si>
  <si>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</si>
  <si>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</si>
  <si>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</si>
  <si>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</si>
  <si>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</si>
  <si>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</si>
  <si>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</si>
  <si>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</si>
  <si>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</si>
  <si>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</si>
  <si>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</si>
  <si>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</si>
  <si>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</si>
  <si>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</si>
  <si>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</si>
  <si>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</si>
  <si>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</si>
  <si>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</si>
  <si>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</si>
  <si>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</si>
  <si>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</si>
  <si>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</si>
  <si>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</si>
  <si>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</si>
  <si>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</si>
  <si>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</si>
  <si>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</si>
  <si>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</si>
  <si>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</si>
  <si>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</si>
  <si>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</si>
  <si>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</si>
  <si>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</si>
  <si>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</si>
  <si>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</si>
  <si>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</si>
  <si>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</si>
  <si>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</si>
  <si>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</si>
  <si>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</si>
  <si>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</si>
  <si>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</si>
  <si>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</si>
  <si>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</si>
  <si>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</si>
  <si>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</si>
  <si>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</si>
  <si>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</si>
  <si>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</si>
  <si>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</si>
  <si>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</si>
  <si>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</si>
  <si>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</si>
  <si>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</si>
  <si>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</si>
  <si>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</si>
  <si>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</si>
  <si>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</si>
  <si>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</si>
  <si>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</si>
  <si>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</si>
  <si>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</si>
  <si>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</si>
  <si>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</si>
  <si>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</si>
  <si>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</si>
  <si>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</si>
  <si>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</si>
  <si>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</si>
  <si>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</si>
  <si>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</si>
  <si>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</si>
  <si>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</si>
  <si>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</si>
  <si>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</si>
  <si>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</si>
  <si>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</si>
  <si>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</si>
  <si>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</si>
  <si>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</si>
  <si>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</si>
  <si>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</si>
  <si>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</si>
  <si>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</si>
  <si>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</si>
  <si>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</si>
  <si>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</si>
  <si>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</si>
  <si>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</si>
  <si>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</si>
  <si>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</si>
  <si>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</si>
  <si>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</si>
  <si>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</si>
  <si>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</si>
  <si>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</si>
  <si>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</si>
  <si>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</si>
  <si>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</si>
  <si>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</si>
  <si>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</si>
  <si>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</si>
  <si>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</si>
  <si>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</si>
  <si>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</si>
  <si>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</si>
  <si>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</si>
  <si>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</si>
  <si>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</si>
  <si>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</si>
  <si>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</si>
  <si>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</si>
  <si>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</si>
  <si>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</si>
  <si>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</si>
  <si>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</si>
  <si>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</si>
  <si>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</si>
  <si>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</si>
  <si>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</si>
  <si>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</si>
  <si>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</si>
  <si>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</si>
  <si>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</si>
  <si>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</si>
  <si>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</si>
  <si>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</si>
  <si>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</si>
  <si>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</si>
  <si>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</si>
  <si>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</si>
  <si>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</si>
  <si>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</si>
  <si>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</si>
  <si>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</si>
  <si>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</si>
  <si>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</si>
  <si>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</si>
  <si>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</si>
  <si>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</si>
  <si>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</si>
  <si>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</si>
  <si>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</si>
  <si>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</si>
  <si>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</si>
  <si>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</si>
  <si>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</si>
  <si>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</si>
  <si>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</si>
  <si>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</si>
  <si>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</si>
  <si>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</si>
  <si>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</si>
  <si>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</si>
  <si>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</si>
  <si>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</si>
  <si>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</si>
  <si>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</si>
  <si>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</si>
  <si>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</si>
  <si>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</si>
  <si>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</si>
  <si>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</si>
  <si>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</si>
  <si>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</si>
  <si>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</si>
  <si>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</si>
  <si>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</si>
  <si>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</si>
  <si>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</si>
  <si>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</si>
  <si>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</si>
  <si>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</si>
  <si>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</si>
  <si>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</si>
  <si>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</si>
  <si>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</si>
  <si>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</si>
  <si>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</si>
  <si>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</si>
  <si>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</si>
  <si>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</si>
  <si>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</si>
  <si>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</si>
  <si>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</si>
  <si>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</si>
  <si>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</si>
  <si>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</si>
  <si>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</si>
  <si>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</si>
  <si>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</si>
  <si>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</si>
  <si>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</si>
  <si>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</si>
  <si>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</si>
  <si>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</si>
  <si>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</si>
  <si>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</si>
  <si>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</si>
  <si>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</si>
  <si>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</si>
  <si>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</si>
  <si>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</si>
  <si>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</si>
  <si>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</si>
  <si>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</si>
  <si>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</si>
  <si>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</si>
  <si>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</si>
  <si>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</si>
  <si>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</si>
  <si>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</si>
  <si>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</si>
  <si>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</si>
  <si>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</si>
  <si>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</si>
  <si>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</si>
  <si>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</si>
  <si>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</si>
  <si>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</si>
  <si>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</si>
  <si>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</si>
  <si>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</si>
  <si>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</si>
  <si>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</si>
  <si>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</si>
  <si>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</si>
  <si>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</si>
  <si>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</si>
  <si>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</si>
  <si>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</si>
  <si>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</si>
  <si>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</si>
  <si>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</si>
  <si>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</si>
  <si>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</si>
  <si>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</si>
  <si>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</si>
  <si>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</si>
  <si>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</si>
  <si>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</si>
  <si>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</si>
  <si>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</si>
  <si>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</si>
  <si>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</si>
  <si>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</si>
  <si>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</si>
  <si>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</si>
  <si>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</si>
  <si>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</si>
  <si>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</si>
  <si>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</si>
  <si>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</si>
  <si>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</si>
  <si>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</si>
  <si>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</si>
  <si>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</si>
  <si>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</si>
  <si>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</si>
  <si>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</si>
  <si>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</si>
  <si>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</si>
  <si>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</si>
  <si>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</si>
  <si>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</si>
  <si>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</si>
  <si>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</si>
  <si>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</si>
  <si>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</si>
  <si>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</si>
  <si>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</si>
  <si>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</si>
  <si>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</si>
  <si>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</si>
  <si>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</si>
  <si>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</si>
  <si>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</si>
  <si>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</si>
  <si>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</si>
  <si>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</si>
  <si>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</si>
  <si>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</si>
  <si>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</si>
  <si>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</si>
  <si>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</si>
  <si>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</si>
  <si>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</si>
  <si>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</si>
  <si>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</si>
  <si>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</si>
  <si>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</si>
  <si>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</si>
  <si>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</si>
  <si>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</si>
  <si>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</si>
  <si>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</si>
  <si>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</si>
  <si>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</si>
  <si>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</si>
  <si>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</si>
  <si>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</si>
  <si>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</si>
  <si>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</si>
  <si>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</si>
  <si>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</si>
  <si>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</si>
  <si>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</si>
  <si>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</si>
  <si>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</si>
  <si>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</si>
  <si>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</si>
  <si>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</si>
  <si>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</si>
  <si>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</si>
  <si>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</si>
  <si>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</si>
  <si>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</si>
  <si>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</si>
  <si>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</si>
  <si>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</si>
  <si>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</si>
  <si>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</si>
  <si>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</si>
  <si>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</si>
  <si>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</si>
  <si>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</si>
  <si>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</si>
  <si>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</si>
  <si>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</si>
  <si>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</si>
  <si>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</si>
  <si>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</si>
  <si>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</si>
  <si>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</si>
  <si>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</si>
  <si>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</si>
  <si>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</si>
  <si>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</si>
  <si>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</si>
  <si>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</si>
  <si>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</si>
  <si>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</si>
  <si>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</si>
  <si>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</si>
  <si>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</si>
  <si>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</si>
  <si>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</si>
  <si>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</si>
  <si>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</si>
  <si>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</si>
  <si>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</si>
  <si>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</si>
  <si>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</si>
  <si>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</si>
  <si>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</si>
  <si>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</si>
  <si>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</si>
  <si>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</si>
  <si>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</si>
  <si>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</si>
  <si>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</si>
  <si>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</si>
  <si>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</si>
  <si>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</si>
  <si>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</si>
  <si>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</si>
  <si>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</si>
  <si>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</si>
  <si>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</si>
  <si>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</si>
  <si>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</si>
  <si>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</si>
  <si>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</si>
  <si>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</si>
  <si>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</si>
  <si>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</si>
  <si>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</si>
  <si>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</si>
  <si>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</si>
  <si>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</si>
  <si>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</si>
  <si>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</si>
  <si>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</si>
  <si>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</si>
  <si>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</si>
  <si>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</si>
  <si>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</si>
  <si>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</si>
  <si>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</si>
  <si>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</si>
  <si>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</si>
  <si>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</si>
  <si>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</si>
  <si>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</si>
  <si>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</si>
  <si>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</si>
  <si>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</si>
  <si>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</si>
  <si>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</si>
  <si>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</si>
  <si>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</si>
  <si>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</si>
  <si>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</si>
  <si>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</si>
  <si>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</si>
  <si>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</si>
  <si>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</si>
  <si>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</si>
  <si>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</si>
  <si>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</si>
  <si>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</si>
  <si>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</si>
  <si>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</si>
  <si>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</si>
  <si>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</si>
  <si>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</si>
  <si>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</si>
  <si>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</si>
  <si>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</si>
  <si>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</si>
  <si>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</si>
  <si>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</si>
  <si>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</si>
  <si>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</si>
  <si>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</si>
  <si>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</si>
  <si>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</si>
  <si>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</si>
  <si>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</si>
  <si>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</si>
  <si>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</si>
  <si>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</si>
  <si>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</si>
  <si>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</si>
  <si>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</si>
  <si>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</si>
  <si>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</si>
  <si>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</si>
  <si>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</si>
  <si>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</si>
  <si>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</si>
  <si>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</si>
  <si>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</si>
  <si>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</si>
  <si>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</si>
  <si>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</si>
  <si>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</si>
  <si>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</si>
  <si>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</si>
  <si>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</si>
  <si>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</si>
  <si>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</si>
  <si>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</si>
  <si>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</si>
  <si>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</si>
  <si>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</si>
  <si>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</si>
  <si>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</si>
  <si>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</si>
  <si>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</si>
  <si>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</si>
  <si>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</si>
  <si>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</si>
  <si>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</si>
  <si>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</si>
  <si>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</si>
  <si>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</si>
  <si>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</si>
  <si>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</si>
  <si>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</si>
  <si>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</si>
  <si>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</si>
  <si>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</si>
  <si>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</si>
  <si>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</si>
  <si>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</si>
  <si>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</si>
  <si>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</si>
  <si>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</si>
  <si>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</si>
  <si>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</si>
  <si>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</si>
  <si>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</si>
  <si>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</si>
  <si>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</si>
  <si>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</si>
  <si>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</si>
  <si>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</si>
  <si>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</si>
  <si>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</si>
  <si>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</si>
  <si>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</si>
  <si>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</si>
  <si>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</si>
  <si>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</si>
  <si>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</si>
  <si>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</si>
  <si>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</si>
  <si>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</si>
  <si>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</si>
  <si>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</si>
  <si>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</si>
  <si>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</si>
  <si>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</si>
  <si>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</si>
  <si>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</si>
  <si>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</si>
  <si>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</si>
  <si>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</si>
  <si>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</si>
  <si>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</si>
  <si>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</si>
  <si>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</si>
  <si>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</si>
  <si>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</si>
  <si>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</si>
  <si>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</si>
  <si>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</si>
  <si>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</si>
  <si>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</si>
  <si>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</si>
  <si>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</si>
  <si>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</si>
  <si>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</si>
  <si>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</si>
  <si>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</si>
  <si>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</si>
  <si>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</si>
  <si>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</si>
  <si>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</si>
  <si>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</si>
  <si>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</si>
  <si>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</si>
  <si>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</si>
  <si>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</si>
  <si>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</si>
  <si>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</si>
  <si>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</si>
  <si>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</si>
  <si>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</si>
  <si>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</si>
  <si>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</si>
  <si>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</si>
  <si>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</si>
  <si>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</si>
  <si>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</si>
  <si>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</si>
  <si>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</si>
  <si>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</si>
  <si>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</si>
  <si>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</si>
  <si>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</si>
  <si>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</si>
  <si>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</si>
  <si>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</si>
  <si>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</si>
  <si>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</si>
  <si>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</si>
  <si>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</si>
  <si>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</si>
  <si>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</si>
  <si>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</si>
  <si>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</si>
  <si>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</si>
  <si>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</si>
  <si>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</si>
  <si>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</si>
  <si>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</si>
  <si>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</si>
  <si>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</si>
  <si>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</si>
  <si>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</si>
  <si>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</si>
  <si>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</si>
  <si>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</si>
  <si>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</si>
  <si>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</si>
  <si>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</si>
  <si>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</si>
  <si>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</si>
  <si>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</si>
  <si>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</si>
  <si>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</si>
  <si>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</si>
  <si>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</si>
  <si>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</si>
  <si>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</si>
  <si>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</si>
  <si>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</si>
  <si>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</si>
  <si>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</si>
  <si>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</si>
  <si>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</si>
  <si>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</si>
  <si>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</si>
  <si>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</si>
  <si>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</si>
  <si>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</si>
  <si>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</si>
  <si>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</si>
  <si>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</si>
  <si>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</si>
  <si>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</si>
  <si>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</si>
  <si>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</si>
  <si>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</si>
  <si>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</si>
  <si>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</si>
  <si>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</si>
  <si>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</si>
  <si>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</si>
  <si>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</si>
  <si>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</si>
  <si>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</si>
  <si>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</si>
  <si>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</si>
  <si>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</si>
  <si>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</si>
  <si>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</si>
  <si>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</si>
  <si>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</si>
  <si>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</si>
  <si>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</si>
  <si>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</si>
  <si>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</si>
  <si>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</si>
  <si>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</si>
  <si>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</si>
  <si>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</si>
  <si>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</si>
  <si>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</si>
  <si>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</si>
  <si>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</si>
  <si>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</si>
  <si>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</si>
  <si>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</si>
  <si>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</si>
  <si>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</si>
  <si>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</si>
  <si>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</si>
  <si>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</si>
  <si>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</si>
  <si>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</si>
  <si>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</si>
  <si>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</si>
  <si>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</si>
  <si>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</si>
  <si>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</si>
  <si>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</si>
  <si>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</si>
  <si>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</si>
  <si>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</si>
  <si>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</si>
  <si>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</si>
  <si>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</si>
  <si>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</si>
  <si>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</si>
  <si>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</si>
  <si>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</si>
  <si>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</si>
  <si>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</si>
  <si>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</si>
  <si>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</si>
  <si>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</si>
  <si>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</si>
  <si>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</si>
  <si>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</si>
  <si>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</si>
  <si>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</si>
  <si>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</si>
  <si>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</si>
  <si>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</si>
  <si>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</si>
  <si>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</si>
  <si>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</si>
  <si>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</si>
  <si>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</si>
  <si>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</si>
  <si>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</si>
  <si>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</si>
  <si>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</si>
  <si>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</si>
  <si>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</si>
  <si>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</si>
  <si>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</si>
  <si>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</si>
  <si>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</si>
  <si>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</si>
  <si>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</si>
  <si>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</si>
  <si>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</si>
  <si>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</si>
  <si>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</si>
  <si>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</si>
  <si>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</si>
  <si>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</si>
  <si>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</si>
  <si>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</si>
  <si>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</si>
  <si>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</si>
  <si>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</si>
  <si>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</si>
  <si>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</si>
  <si>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</si>
  <si>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</si>
  <si>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</si>
  <si>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</si>
  <si>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</si>
  <si>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</si>
  <si>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</si>
  <si>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</si>
  <si>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</si>
  <si>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</si>
  <si>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</si>
  <si>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</si>
  <si>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</si>
  <si>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</si>
  <si>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</si>
  <si>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</si>
  <si>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</si>
  <si>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</si>
  <si>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</si>
  <si>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</si>
  <si>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</si>
  <si>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</si>
  <si>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</si>
  <si>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</si>
  <si>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</si>
  <si>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</si>
  <si>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</si>
  <si>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</si>
  <si>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</si>
  <si>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</si>
  <si>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</si>
  <si>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</si>
  <si>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</si>
  <si>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</si>
  <si>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</si>
  <si>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</si>
  <si>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</si>
  <si>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</si>
  <si>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</si>
  <si>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</si>
  <si>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</si>
  <si>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</si>
  <si>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</si>
  <si>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</si>
  <si>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</si>
  <si>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</si>
  <si>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</si>
  <si>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</si>
  <si>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</si>
  <si>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</si>
  <si>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</si>
  <si>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</si>
  <si>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</si>
  <si>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</si>
  <si>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</si>
  <si>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</si>
  <si>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</si>
  <si>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</si>
  <si>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</si>
  <si>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</si>
  <si>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</si>
  <si>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</si>
  <si>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</si>
  <si>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</si>
  <si>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</si>
  <si>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</si>
  <si>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</si>
  <si>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</si>
  <si>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</si>
  <si>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</si>
  <si>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</si>
  <si>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</si>
  <si>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</si>
  <si>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</si>
  <si>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</si>
  <si>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</si>
  <si>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</si>
  <si>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</si>
  <si>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</si>
  <si>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</si>
  <si>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</si>
  <si>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</si>
  <si>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</si>
  <si>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</si>
  <si>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</si>
  <si>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</si>
  <si>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</si>
  <si>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</si>
  <si>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</si>
  <si>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</si>
  <si>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</si>
  <si>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</si>
  <si>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</si>
  <si>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</si>
  <si>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</si>
  <si>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</si>
  <si>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</si>
  <si>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</si>
  <si>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</si>
  <si>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</si>
  <si>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</si>
  <si>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</si>
  <si>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</si>
  <si>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</si>
  <si>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</si>
  <si>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</si>
  <si>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</si>
  <si>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</si>
  <si>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</si>
  <si>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</si>
  <si>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</si>
  <si>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</si>
  <si>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</si>
  <si>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</si>
  <si>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</si>
  <si>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</si>
  <si>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</si>
  <si>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</si>
  <si>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</si>
  <si>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</si>
  <si>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</si>
  <si>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</si>
  <si>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</si>
  <si>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</si>
  <si>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</si>
  <si>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</si>
  <si>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</si>
  <si>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</si>
  <si>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</si>
  <si>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</si>
  <si>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</si>
  <si>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</si>
  <si>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</si>
  <si>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</si>
  <si>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</si>
  <si>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</si>
  <si>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</si>
  <si>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</si>
  <si>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</si>
  <si>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</si>
  <si>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</si>
  <si>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</si>
  <si>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</si>
  <si>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</si>
  <si>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</si>
  <si>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</si>
  <si>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</si>
  <si>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</si>
  <si>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</si>
  <si>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</si>
  <si>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</si>
  <si>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</si>
  <si>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</si>
  <si>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</si>
  <si>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</si>
  <si>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</si>
  <si>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</si>
  <si>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</si>
  <si>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</si>
  <si>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</si>
  <si>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</si>
  <si>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</si>
  <si>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</si>
  <si>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</si>
  <si>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</si>
  <si>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</si>
  <si>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</si>
  <si>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</si>
  <si>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</si>
  <si>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</si>
  <si>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</si>
  <si>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</si>
  <si>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</si>
  <si>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</si>
  <si>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</si>
  <si>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</si>
  <si>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</si>
  <si>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</si>
  <si>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</si>
  <si>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</si>
  <si>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</si>
  <si>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</si>
  <si>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</si>
  <si>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</si>
  <si>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</si>
  <si>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</si>
  <si>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</si>
  <si>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</si>
  <si>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</si>
  <si>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</si>
  <si>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</si>
  <si>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</si>
  <si>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</si>
  <si>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</si>
  <si>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</si>
  <si>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</si>
  <si>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</si>
  <si>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</si>
  <si>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</si>
  <si>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</si>
  <si>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</si>
  <si>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</si>
  <si>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</si>
  <si>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 xml:space="preserve">IMPLEMENTAR ACCIONES DE FORTALECIMIENTO DIRIGIDAS A LOS MEDIOS COMUNITARIOS Y ALTERNATIVOS DE LA LOCALIDAD DE SUBA. </t>
  </si>
  <si>
    <t>Andrés Felipe Currea</t>
  </si>
  <si>
    <t>DIAGNÓSTICO, CAPACITACIÓN ESPECIALIZADA Y APRENDIZAJE PRÁCTICO</t>
  </si>
  <si>
    <t>CIERRE APRENDIZAJE PRÁCTICO</t>
  </si>
  <si>
    <t>Espacio físico para 50 personas con baño, sillas y mesas, ubicado en la localidad de Suba, con disponibilidad de espacio exterior para desarrollo de actividades
Dotado con equipo de computo, video beam y sonido</t>
  </si>
  <si>
    <t>Valores de referencia se toman de la bolsa de cotizaciones de planeación ALS suministrada que cuenta con 2 cotizaciones para el ítem.</t>
  </si>
  <si>
    <t>No se aplica IVA sino IMPOCONSUMO.
Valores de referencia se toman de la bolsa de cotizaciones de planeación ALS suministrada.</t>
  </si>
  <si>
    <t>TH 1</t>
  </si>
  <si>
    <t>TH 2</t>
  </si>
  <si>
    <t>TH 3</t>
  </si>
  <si>
    <t>TH 4</t>
  </si>
  <si>
    <t>TH 5</t>
  </si>
  <si>
    <t>TODOS</t>
  </si>
  <si>
    <t>Coordinador</t>
  </si>
  <si>
    <t>Título profesional en comunicación social o periodismo o diseñador gráfico, dentro del NBC en áreas afines o relacionadas a la comunicación social o TIC.
Título de posgrado en administración o gerencia o proyectos o marketing digital o producción audiovisual o en comunicación.
Mínimo tres (3) años de experiencia profesional relacionada en la gerencia o coordinación de proyectos o actividades logísticas relacionadas con el fortalecimiento de capacidades y/o competencias técnicas de los medios de comunicación.</t>
  </si>
  <si>
    <t>Profesional de apoyo administrativo</t>
  </si>
  <si>
    <t>Auxiliar logístico</t>
  </si>
  <si>
    <t xml:space="preserve">Profesional capacitador en producción audiovisual  </t>
  </si>
  <si>
    <t>Profesional capacitador en comunicación y marketing digital</t>
  </si>
  <si>
    <t xml:space="preserve">Título profesional dentro del área del conocimiento de economía o administración, o gestión de datos o dentro del NBC en áreas afines.
Mínimo un año (1) año de experiencia profesional relacionada con la administración de proyectos o logística. Y manejo comprobable de herramientas ofimáticas básicas. </t>
  </si>
  <si>
    <t>Título bachiller.
Mínimo veinticuatro (24) meses de experiencia laboral relacionada en organización de eventos o apoyo logístico o gestión de proyectos.</t>
  </si>
  <si>
    <t>Título profesional en Comunicación Audiovisual y Multimedia o Dirección y Producción de Cine y Televisión o dentro del NBC de Comunicación Social, Periodismo o afines. 
Con posgrado dentro del NBC en áreas afines o relacionadas a la comunicación social o TIC. 
Mínimo dos (2) años de experiencia profesional relacionada en pedagogía o docencia o manejo de medios tecnológicos y comunicativos, convergencia tecnológica o relacionados.</t>
  </si>
  <si>
    <t>Título profesional en Comunicación Social, o Periodismo, o Comunicación Audiovisual, o Producción Multimedia, o medios audiovisuales, o Dirección y Producción de Medios Audiovisuales, o Ingeniería de Telecomunicaciones o afines dentro del NBC.
Mínimo dos (2) años de experiencia profesional relacionada en producción de medios o edición audiovisuales o manejo de medios tecnológicos y comunicativos o relacionados o título de posgrado marketing digital o comunicación social o periodismo.</t>
  </si>
  <si>
    <t>ENTREGA HERRAMIENTAS TECNOLÓGICAS</t>
  </si>
  <si>
    <t>BOLSA DE HERRAMIENTAS TECNOLÓGICAS POR MEDIO COMUNITARIO Y ALTERNATIVO</t>
  </si>
  <si>
    <t xml:space="preserve">La sumatoria de los elementos a entregar a cada medio comunitario y alternativo no podrá superar el monto de Siete Millones de pesos M/cte ($7.000.000) IVA incluidos, gravámenes a los movimientos financieros (4x1000) y todos los demás impuestos en que se incurran que sean aplicables. Así mismo, dentro de este valor estarán discriminados por parte del operador los costos logísticos asociados a la entrega, en el sitio establecido, de los elementos y este valor que en ningún caso podrán superar el 4% del valor a neto (luego de descontar los impuestos aplicados) a entregar y esto deberá ser discriminado detalladamente en la correspondiente factura. </t>
  </si>
  <si>
    <t>N/A</t>
  </si>
  <si>
    <t xml:space="preserve">Valor no modificable y variable conforme a necesidades diagnosticadas por medio comunitario conforme requerimientos del Anexo Técnico. </t>
  </si>
  <si>
    <t>APOYO A LA DIVULGACIÓN</t>
  </si>
  <si>
    <t>Bolsa para los medios comunitarios y alternativos que culminaron la fase de capacitación especializada y entrega de herramientas tecnológicas, quienes tendrán además un apoyo para producir, difundir y divulgar las acciones, actividades y eventos definidos por el Área de Prensa de la Alcaldía Local de Suba, por valor a monto agotable de trece millones de pesos M/Cte. ($13.000.000) IVA incluido, gravamen a los movimientos financieros (4x1000) y/o todos los demás impuestos en que se incurran, si aplican, de acuerdo con el Estatuto Tributario.</t>
  </si>
  <si>
    <t>No se aplica IVA sino IMPOCONSUMO.
Valores de referencia se toman de la bolsa de cotizaciones de planeación ALS suministrada que cuenta con 2 cotizaciones para el ítem.</t>
  </si>
  <si>
    <t xml:space="preserve">Valores de referencia se toman de la bolsa de cotizaciones de planeación ALS suministrada y se realiza homologación a la cotización 3 aplicándole IVA.  </t>
  </si>
  <si>
    <t>PRECIO DE REFERENCIA - 
Tabla de honorarios 2025 Resolución 1124/2024 - Actualizado mediante memorando 20254000408633 Secretaría Distrial de Gobierno</t>
  </si>
  <si>
    <t>VALOR ESTUDIO DE MERCADO - 3 (Cotizaciones o valores de referencia) PROVEEDORES</t>
  </si>
  <si>
    <t xml:space="preserve">PRECIO DE REFERENCIA - 
Tabla de honorarios 2025 Resolución 1124/2024 - Actualizado mediante memorando 20254000408633 Secretaría Distrial de Gobierno. Adicionalmente, se verifica su razonabilidad frente al valor de referencia de la hora cátedra de $126.500/hora (ver documento "Justificación del Valor de Referencia para la Hora Cátedra — Estándar 2026", FDL Suba), equivalente aproximado a un total combinado de quinientas noventa (590) horas entre los dos perfiles de capacitador (doscientas noventa y cinco (295) horas cada uno), correspondientes a las cuarenta (40) horas de capacitación grupal más veintidós (22) horas de asistencia técnica individualizada por cada uno de los veinticinco (25) medios comunitarios y alternativos beneficiarios, conformadas así:
Capacitación especializada de carácter grupal, dirigida a los veinticinco (25) medios comunitarios y alternativos beneficiarios (hasta dos (2) integrantes por medio, capacidad máxima cincuenta (50) participantes), con una intensidad total de cuarenta (40) horas en el proceso formativo de capacitación, en modalidad híbrida: treinta y seis (36) horas virtuales (80%) y cuatro (4) horas presenciales (20%).
Asistencia técnica individualizada por medio comunitario, hasta veintidós (22) horas por medio, distribuidas así: seis (6) horas de diagnóstico inicial (diagnóstico general del medio, referenciado al Modelo de Fortalecimiento del IDPAC, y conformación del listado de necesidades y elementos de suministro) y dieciseis (16) horas de acompañamiento especializado posterior a la entrega de herramientas tecnológicas, incluido acompañamiento en la etapa de apoyo a la divulgación. </t>
  </si>
  <si>
    <t>Valores de referencia se toman de la bolsa de cotizaciones de planeación ALS suministrada.</t>
  </si>
  <si>
    <t>MARCELA GONZÁLEZ</t>
  </si>
  <si>
    <t>Los elementos definidos en la Bolsa de herramientas de acuerdo a las necesidades de cada medio deberán ser remitidos al área de Planeación del FDLS  quienes realizarán el estudio  de mercado y establecerá los precios de referencia, para el Operador,  es indispensable remitir los ítems con la descripción exacta y completa.</t>
  </si>
  <si>
    <t xml:space="preserve">La sumatoria de los elementos a entregar a cada medio comunitario y alternativo no podrá superar el monto de doce Millones de pesos M/cte ($12.000.000) IVA incluidos, gravámenes a los movimientos financieros (4x1000) y todos los demás impuestos en que se incurran que sean aplicables. Así mismo, dentro de este valor estarán discriminados por parte del operador los costos logísticos asociados a la entrega, en el sitio establecido, de los elementos y este valor que en ningún caso podrán superar el 4% del valor a neto (luego de descontar los impuestos aplicados) a entregar y esto deberá ser discriminado detalladamente en la correspondiente factura. </t>
  </si>
  <si>
    <t>Bolsa para los medios comunitarios y alternativos que culminaron la fase de capacitación especializada y entrega de herramientas tecnológicas, quienes tendrán además un apoyo para producir, difundir y divulgar las acciones, actividades y eventos definidos por el Área de Prensa de la Alcaldía Local de Suba, por valor a monto agotable de quince millones de pesos M/Cte. ($15.000.000) IVA incluido, gravamen a los movimientos financieros (4x1000) y/o todos los demás impuestos en que se incurran, si aplican, de acuerdo con el Estatuto Tributario.</t>
  </si>
  <si>
    <t>BOLSA DE APOYO A LA DIVULGACIÓN POR MEDIO COMUNITARIO Y ALTERNATIVO</t>
  </si>
  <si>
    <t>PRECIO DE REFERENCIA - 
Tabla de honorarios 2025 Resolución 1124/2024 - Actualizado mediante memorando 20254000408633 Secretaría Distrital de Gobierno</t>
  </si>
  <si>
    <t xml:space="preserve">PRECIO DE REFERENCIA - 
Tabla de honorarios 2025 Resolución 1124/2024 - Actualizado mediante memorando 20254000408633 Secretaría Distrital de Gobierno. Adicionalmente, se verifica su razonabilidad frente al valor de referencia de la hora cátedra de $126.500/hora (ver documento "Justificación del Valor de Referencia para la Hora Cátedra — Estándar 2026", FDL Suba), equivalente a un total combinado de quinientas noventa (590) horas entre los dos perfiles de capacitador (doscientas noventa y cinco (295) horas cada uno; 295 horas x $126.500 = $37.317.500 por capacitador), correspondientes a las cuarenta (40) horas de capacitación grupal más veintidós (22) horas de asistencia técnica individualizada por cada uno de los veinticinco (25) medios comunitarios y alternativos beneficiarios, conformadas así:
Capacitación especializada de carácter grupal, dirigida a los veinticinco (25) medios comunitarios y alternativos beneficiarios (hasta dos (2) integrantes por medio, capacidad máxima cincuenta (50) participantes), con una intensidad total de cuarenta (40) horas en el proceso formativo de capacitación, en modalidad híbrida: treinta y seis (36) horas virtuales (90%) y cuatro (4) horas presenciales (10%).
Asistencia técnica individualizada por medio comunitario, hasta veintidós (22) horas por medio, distribuidas así: seis (6) horas de diagnóstico inicial (diagnóstico general del medio, referenciado al Modelo de Fortalecimiento del IDPAC, y conformación del listado de necesidades y elementos de suministro) y dieciséis (16) horas de acompañamiento especializado posterior a la entrega de herramientas tecnológicas, incluido acompañamiento en la etapa de apoyo a la divulgación. </t>
  </si>
  <si>
    <t>Profesional capacitador en comunicación, marketing digital y sostenibilidad económica de medios</t>
  </si>
  <si>
    <t>Título profesional en Comunicación Social, o Periodismo, o Comunicación Audiovisual, o Producción Multimedia, o medios audiovisuales, o Dirección y Producción de Medios Audiovisuales, o Ingeniería de Telecomunicaciones o afines dentro del NBC.
Título de posgrado en marketing digital o comunicación social o periodismo.
Mínimo dos (2) años de experiencia profesional relacionada en producción de medios o edición audiovisuales o manejo de medios tecnológicos y comunicativos o relacionados.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</si>
</sst>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s>
  <fonts count="59"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1"/>
      <color theme="0"/>
      <name val="Garamond"/>
      <family val="1"/>
    </font>
    <font>
      <sz val="16"/>
      <color rgb="FF000000"/>
      <name val="Aptos Narrow"/>
      <family val="2"/>
      <scheme val="minor"/>
    </font>
    <font>
      <b/>
      <sz val="11"/>
      <color theme="1"/>
      <name val="Aptos Narrow"/>
      <family val="2"/>
      <scheme val="minor"/>
    </font>
    <font>
      <sz val="16"/>
      <color theme="0"/>
      <name val="Aptos Narrow"/>
      <family val="2"/>
      <scheme val="minor"/>
    </font>
    <font>
      <sz val="16"/>
      <name val="Aptos Narrow"/>
      <family val="2"/>
      <scheme val="minor"/>
    </font>
    <font>
      <u/>
      <sz val="11"/>
      <color theme="10"/>
      <name val="Aptos Narrow"/>
      <family val="2"/>
      <scheme val="minor"/>
    </font>
    <font>
      <b/>
      <sz val="20"/>
      <color theme="0"/>
      <name val="Aptos Narrow"/>
      <family val="2"/>
      <scheme val="minor"/>
    </font>
    <font>
      <sz val="9"/>
      <color theme="1"/>
      <name val="Aptos Narrow"/>
      <family val="2"/>
      <scheme val="minor"/>
    </font>
    <font>
      <b/>
      <sz val="24"/>
      <color theme="1"/>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16"/>
      <color rgb="FFFF0000"/>
      <name val="Aptos Narrow"/>
      <family val="2"/>
      <scheme val="minor"/>
    </font>
    <font>
      <sz val="16"/>
      <color rgb="FF000000"/>
      <name val="Aptos Narrow"/>
      <family val="2"/>
    </font>
    <font>
      <sz val="16"/>
      <name val="Aptos Narrow"/>
      <family val="2"/>
    </font>
    <font>
      <sz val="16"/>
      <color rgb="FF000000"/>
      <name val="Aptos Display"/>
      <family val="2"/>
    </font>
    <font>
      <sz val="8"/>
      <name val="Aptos Narrow"/>
      <family val="2"/>
      <scheme val="minor"/>
    </font>
    <font>
      <sz val="14"/>
      <color theme="1"/>
      <name val="Aptos Narrow"/>
      <family val="2"/>
      <scheme val="minor"/>
    </font>
    <font>
      <sz val="20"/>
      <color theme="1"/>
      <name val="Aptos Narrow"/>
      <family val="2"/>
      <scheme val="minor"/>
    </font>
    <font>
      <sz val="22"/>
      <color theme="1"/>
      <name val="Aptos Narrow"/>
      <family val="2"/>
      <scheme val="minor"/>
    </font>
  </fonts>
  <fills count="36">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9" fillId="0" borderId="0" applyNumberFormat="0" applyFill="0" applyBorder="0" applyAlignment="0" applyProtection="0"/>
  </cellStyleXfs>
  <cellXfs count="361">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44"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5" fillId="9" borderId="1" xfId="0" applyFont="1" applyFill="1" applyBorder="1" applyAlignment="1" applyProtection="1">
      <alignment vertical="center" wrapText="1"/>
      <protection locked="0"/>
    </xf>
    <xf numFmtId="44" fontId="25" fillId="9" borderId="1" xfId="1" applyFont="1" applyFill="1" applyBorder="1" applyAlignment="1" applyProtection="1">
      <alignment vertical="center" wrapText="1"/>
      <protection locked="0"/>
    </xf>
    <xf numFmtId="44" fontId="25" fillId="19" borderId="0" xfId="0" applyNumberFormat="1" applyFont="1" applyFill="1" applyAlignment="1">
      <alignment vertical="center" wrapText="1"/>
    </xf>
    <xf numFmtId="0" fontId="26" fillId="3"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5" fillId="0" borderId="1" xfId="1" applyNumberFormat="1" applyFont="1" applyFill="1" applyBorder="1" applyAlignment="1">
      <alignment horizontal="center" vertical="center" wrapText="1"/>
    </xf>
    <xf numFmtId="0" fontId="25" fillId="7" borderId="1" xfId="0" applyFont="1" applyFill="1" applyBorder="1" applyAlignment="1" applyProtection="1">
      <alignment vertical="center" wrapText="1"/>
      <protection locked="0"/>
    </xf>
    <xf numFmtId="0" fontId="35" fillId="6" borderId="1" xfId="0" applyFont="1" applyFill="1" applyBorder="1" applyAlignment="1" applyProtection="1">
      <alignment vertical="center" wrapText="1"/>
      <protection locked="0"/>
    </xf>
    <xf numFmtId="0" fontId="3" fillId="22" borderId="0" xfId="0" applyFont="1" applyFill="1" applyAlignment="1">
      <alignment vertical="center" wrapText="1"/>
    </xf>
    <xf numFmtId="10" fontId="25" fillId="15" borderId="1" xfId="2" applyNumberFormat="1" applyFont="1" applyFill="1" applyBorder="1" applyAlignment="1">
      <alignment horizontal="center" vertical="center" wrapText="1"/>
    </xf>
    <xf numFmtId="0" fontId="18" fillId="7" borderId="1" xfId="0" applyFont="1" applyFill="1" applyBorder="1" applyAlignment="1" applyProtection="1">
      <alignment horizontal="justify" vertical="center" wrapText="1"/>
      <protection locked="0"/>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35" fillId="10" borderId="1" xfId="0" applyFont="1" applyFill="1" applyBorder="1" applyAlignment="1" applyProtection="1">
      <alignment vertical="center" wrapText="1"/>
      <protection locked="0"/>
    </xf>
    <xf numFmtId="0" fontId="35" fillId="19" borderId="1" xfId="0" applyFont="1" applyFill="1" applyBorder="1" applyAlignment="1" applyProtection="1">
      <alignment vertical="center" wrapText="1"/>
      <protection locked="0"/>
    </xf>
    <xf numFmtId="0" fontId="38" fillId="7" borderId="1" xfId="0" applyFont="1" applyFill="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44" fontId="0" fillId="0" borderId="0" xfId="0" applyNumberFormat="1" applyAlignment="1">
      <alignment wrapText="1"/>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6"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40" fillId="3" borderId="1" xfId="0" applyFont="1" applyFill="1" applyBorder="1" applyAlignment="1">
      <alignment horizontal="center" vertical="center" wrapText="1"/>
    </xf>
    <xf numFmtId="0" fontId="40" fillId="8"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4" fontId="17" fillId="0" borderId="1" xfId="0" applyNumberFormat="1" applyFont="1" applyBorder="1" applyAlignment="1" applyProtection="1">
      <alignment horizontal="center" vertical="center" wrapText="1"/>
      <protection locked="0"/>
    </xf>
    <xf numFmtId="0" fontId="17" fillId="0" borderId="0" xfId="0" applyFont="1" applyAlignment="1">
      <alignment wrapText="1"/>
    </xf>
    <xf numFmtId="44" fontId="17" fillId="0" borderId="0" xfId="1" applyFont="1" applyAlignment="1" applyProtection="1">
      <alignment wrapText="1"/>
    </xf>
    <xf numFmtId="44" fontId="29" fillId="0" borderId="25" xfId="1" applyFont="1" applyBorder="1" applyAlignment="1" applyProtection="1">
      <alignment wrapText="1"/>
    </xf>
    <xf numFmtId="164" fontId="30" fillId="0" borderId="25" xfId="1" applyNumberFormat="1" applyFont="1" applyBorder="1" applyAlignment="1" applyProtection="1">
      <alignment vertical="center" wrapText="1"/>
    </xf>
    <xf numFmtId="0" fontId="29" fillId="0" borderId="25" xfId="0" applyFont="1" applyBorder="1" applyAlignment="1">
      <alignment wrapText="1"/>
    </xf>
    <xf numFmtId="166" fontId="30" fillId="0" borderId="25" xfId="0" applyNumberFormat="1" applyFont="1" applyBorder="1" applyAlignment="1">
      <alignment vertical="center" wrapText="1"/>
    </xf>
    <xf numFmtId="0" fontId="29" fillId="0" borderId="0" xfId="0" applyFont="1" applyAlignment="1">
      <alignment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4" fontId="31" fillId="0" borderId="1" xfId="1" applyNumberFormat="1" applyFont="1" applyBorder="1" applyAlignment="1" applyProtection="1">
      <alignment vertical="center" wrapText="1"/>
    </xf>
    <xf numFmtId="164" fontId="17" fillId="0" borderId="1" xfId="0" applyNumberFormat="1" applyFont="1" applyBorder="1" applyAlignment="1">
      <alignment wrapText="1"/>
    </xf>
    <xf numFmtId="167" fontId="17" fillId="20" borderId="9" xfId="0" applyNumberFormat="1" applyFont="1" applyFill="1" applyBorder="1" applyAlignment="1">
      <alignment wrapText="1"/>
    </xf>
    <xf numFmtId="0" fontId="17" fillId="20" borderId="6" xfId="0" applyFont="1" applyFill="1" applyBorder="1" applyAlignment="1">
      <alignment wrapText="1"/>
    </xf>
    <xf numFmtId="0" fontId="17" fillId="0" borderId="1" xfId="0" applyFont="1" applyBorder="1" applyAlignment="1">
      <alignment horizontal="left" vertical="center" wrapText="1"/>
    </xf>
    <xf numFmtId="167" fontId="17" fillId="0" borderId="1" xfId="0" applyNumberFormat="1" applyFont="1" applyBorder="1" applyAlignment="1">
      <alignment horizontal="center" vertical="center" wrapText="1"/>
    </xf>
    <xf numFmtId="167" fontId="17" fillId="0" borderId="1" xfId="0" applyNumberFormat="1" applyFont="1" applyBorder="1" applyAlignment="1">
      <alignment wrapText="1"/>
    </xf>
    <xf numFmtId="44" fontId="0" fillId="0" borderId="0" xfId="1" applyFont="1" applyAlignment="1" applyProtection="1">
      <alignment vertical="center" wrapText="1"/>
    </xf>
    <xf numFmtId="164" fontId="35" fillId="10" borderId="1" xfId="1" applyNumberFormat="1" applyFont="1" applyFill="1" applyBorder="1" applyAlignment="1" applyProtection="1">
      <alignment vertical="center" wrapText="1"/>
      <protection locked="0"/>
    </xf>
    <xf numFmtId="164" fontId="35" fillId="10" borderId="1" xfId="1" applyNumberFormat="1" applyFont="1" applyFill="1" applyBorder="1" applyAlignment="1">
      <alignment vertical="center" wrapText="1"/>
    </xf>
    <xf numFmtId="164" fontId="35" fillId="19" borderId="1" xfId="1" applyNumberFormat="1" applyFont="1" applyFill="1" applyBorder="1" applyAlignment="1" applyProtection="1">
      <alignment vertical="center" wrapText="1"/>
      <protection locked="0"/>
    </xf>
    <xf numFmtId="164" fontId="35" fillId="19" borderId="1" xfId="1" applyNumberFormat="1" applyFont="1" applyFill="1" applyBorder="1" applyAlignment="1">
      <alignment vertical="center" wrapText="1"/>
    </xf>
    <xf numFmtId="164" fontId="35" fillId="6" borderId="1" xfId="1" applyNumberFormat="1" applyFont="1" applyFill="1" applyBorder="1" applyAlignment="1" applyProtection="1">
      <alignment vertical="center" wrapText="1"/>
      <protection locked="0"/>
    </xf>
    <xf numFmtId="164" fontId="35" fillId="6" borderId="1" xfId="1" applyNumberFormat="1" applyFont="1" applyFill="1" applyBorder="1" applyAlignment="1">
      <alignment vertical="center" wrapText="1"/>
    </xf>
    <xf numFmtId="164" fontId="35" fillId="15" borderId="1" xfId="1" applyNumberFormat="1" applyFont="1" applyFill="1" applyBorder="1" applyAlignment="1">
      <alignment vertical="center" wrapText="1"/>
    </xf>
    <xf numFmtId="164" fontId="25" fillId="15" borderId="1" xfId="1" applyNumberFormat="1" applyFont="1" applyFill="1" applyBorder="1" applyAlignment="1">
      <alignment vertical="center" wrapText="1"/>
    </xf>
    <xf numFmtId="0" fontId="42" fillId="0" borderId="11" xfId="3" applyFont="1" applyBorder="1" applyAlignment="1">
      <alignment vertical="center" wrapText="1"/>
    </xf>
    <xf numFmtId="0" fontId="43" fillId="0" borderId="1" xfId="0" applyFont="1" applyBorder="1" applyAlignment="1" applyProtection="1">
      <alignment vertical="center" wrapText="1"/>
      <protection locked="0"/>
    </xf>
    <xf numFmtId="0" fontId="43" fillId="0" borderId="1" xfId="0" applyFont="1" applyBorder="1" applyAlignment="1">
      <alignment horizontal="left" vertical="center" wrapText="1"/>
    </xf>
    <xf numFmtId="0" fontId="44" fillId="7" borderId="1" xfId="0" applyFont="1" applyFill="1" applyBorder="1" applyAlignment="1" applyProtection="1">
      <alignment horizontal="center" vertical="center" wrapText="1"/>
      <protection locked="0"/>
    </xf>
    <xf numFmtId="0" fontId="43" fillId="0" borderId="1" xfId="0" applyFont="1" applyBorder="1" applyAlignment="1" applyProtection="1">
      <alignment horizontal="center" vertical="center" wrapText="1"/>
      <protection locked="0"/>
    </xf>
    <xf numFmtId="0" fontId="44" fillId="27" borderId="1" xfId="0" applyFont="1" applyFill="1" applyBorder="1" applyAlignment="1" applyProtection="1">
      <alignment horizontal="center" vertical="center" wrapText="1"/>
      <protection locked="0"/>
    </xf>
    <xf numFmtId="14" fontId="43" fillId="28" borderId="1" xfId="1" applyNumberFormat="1" applyFont="1" applyFill="1" applyBorder="1" applyAlignment="1" applyProtection="1">
      <alignment vertical="center" wrapText="1"/>
      <protection locked="0"/>
    </xf>
    <xf numFmtId="0" fontId="43" fillId="28" borderId="28" xfId="0" applyFont="1" applyFill="1" applyBorder="1" applyAlignment="1" applyProtection="1">
      <alignment horizontal="center" vertical="center" wrapText="1"/>
      <protection locked="0"/>
    </xf>
    <xf numFmtId="0" fontId="43" fillId="28" borderId="1" xfId="0" applyFont="1" applyFill="1" applyBorder="1" applyAlignment="1" applyProtection="1">
      <alignment horizontal="center" vertical="center" wrapText="1"/>
      <protection locked="0"/>
    </xf>
    <xf numFmtId="44" fontId="43" fillId="28" borderId="1" xfId="1" applyFont="1" applyFill="1" applyBorder="1" applyAlignment="1" applyProtection="1">
      <alignment vertical="center" wrapText="1"/>
      <protection locked="0"/>
    </xf>
    <xf numFmtId="44" fontId="43" fillId="10" borderId="1" xfId="1" applyFont="1" applyFill="1" applyBorder="1" applyAlignment="1" applyProtection="1">
      <alignment vertical="center" wrapText="1"/>
    </xf>
    <xf numFmtId="165" fontId="43" fillId="10" borderId="1" xfId="1" applyNumberFormat="1" applyFont="1" applyFill="1" applyBorder="1" applyAlignment="1" applyProtection="1">
      <alignment vertical="center" wrapText="1"/>
    </xf>
    <xf numFmtId="0" fontId="44" fillId="12" borderId="1" xfId="0" applyFont="1" applyFill="1" applyBorder="1" applyAlignment="1" applyProtection="1">
      <alignment horizontal="center" vertical="center" wrapText="1"/>
      <protection locked="0"/>
    </xf>
    <xf numFmtId="14" fontId="43" fillId="12" borderId="1" xfId="1" applyNumberFormat="1" applyFont="1" applyFill="1" applyBorder="1" applyAlignment="1" applyProtection="1">
      <alignment vertical="center" wrapText="1"/>
      <protection locked="0"/>
    </xf>
    <xf numFmtId="0" fontId="45" fillId="12" borderId="28" xfId="6" applyFont="1" applyFill="1" applyBorder="1"/>
    <xf numFmtId="0" fontId="43" fillId="12" borderId="1" xfId="0" applyFont="1" applyFill="1" applyBorder="1" applyAlignment="1" applyProtection="1">
      <alignment horizontal="center" vertical="center" wrapText="1"/>
      <protection locked="0"/>
    </xf>
    <xf numFmtId="0" fontId="43" fillId="12" borderId="28" xfId="0" applyFont="1" applyFill="1" applyBorder="1" applyAlignment="1" applyProtection="1">
      <alignment vertical="center" wrapText="1"/>
      <protection locked="0"/>
    </xf>
    <xf numFmtId="44" fontId="43" fillId="12" borderId="1" xfId="1" applyFont="1" applyFill="1" applyBorder="1" applyAlignment="1" applyProtection="1">
      <alignment vertical="center" wrapText="1"/>
      <protection locked="0"/>
    </xf>
    <xf numFmtId="44" fontId="43" fillId="21" borderId="1" xfId="1" applyFont="1" applyFill="1" applyBorder="1" applyAlignment="1" applyProtection="1">
      <alignment vertical="center" wrapText="1"/>
    </xf>
    <xf numFmtId="165" fontId="43" fillId="21" borderId="1" xfId="1" applyNumberFormat="1" applyFont="1" applyFill="1" applyBorder="1" applyAlignment="1" applyProtection="1">
      <alignment vertical="center" wrapText="1"/>
    </xf>
    <xf numFmtId="0" fontId="44" fillId="29" borderId="1" xfId="0" applyFont="1" applyFill="1" applyBorder="1" applyAlignment="1" applyProtection="1">
      <alignment horizontal="center" vertical="center" wrapText="1"/>
      <protection locked="0"/>
    </xf>
    <xf numFmtId="14" fontId="43" fillId="29" borderId="1" xfId="1" applyNumberFormat="1" applyFont="1" applyFill="1" applyBorder="1" applyAlignment="1" applyProtection="1">
      <alignment vertical="center" wrapText="1"/>
      <protection locked="0"/>
    </xf>
    <xf numFmtId="44" fontId="43" fillId="29" borderId="26" xfId="1" applyFont="1" applyFill="1" applyBorder="1" applyAlignment="1" applyProtection="1">
      <alignment horizontal="justify" vertical="center" wrapText="1"/>
      <protection locked="0"/>
    </xf>
    <xf numFmtId="0" fontId="43" fillId="29" borderId="1" xfId="0" applyFont="1" applyFill="1" applyBorder="1" applyAlignment="1" applyProtection="1">
      <alignment horizontal="center" vertical="center" wrapText="1"/>
      <protection locked="0"/>
    </xf>
    <xf numFmtId="44" fontId="43" fillId="29" borderId="1" xfId="1" applyFont="1" applyFill="1" applyBorder="1" applyAlignment="1" applyProtection="1">
      <alignment horizontal="justify" vertical="center" wrapText="1"/>
      <protection locked="0"/>
    </xf>
    <xf numFmtId="44" fontId="43" fillId="29" borderId="1" xfId="1" applyFont="1" applyFill="1" applyBorder="1" applyAlignment="1" applyProtection="1">
      <alignment vertical="center" wrapText="1"/>
      <protection locked="0"/>
    </xf>
    <xf numFmtId="44" fontId="43" fillId="29" borderId="28" xfId="1" applyFont="1" applyFill="1" applyBorder="1" applyAlignment="1" applyProtection="1">
      <alignment vertical="center" wrapText="1"/>
      <protection locked="0"/>
    </xf>
    <xf numFmtId="44" fontId="43" fillId="6" borderId="1" xfId="1" applyFont="1" applyFill="1" applyBorder="1" applyAlignment="1" applyProtection="1">
      <alignment vertical="center" wrapText="1"/>
    </xf>
    <xf numFmtId="165" fontId="43" fillId="6" borderId="1" xfId="1" applyNumberFormat="1" applyFont="1" applyFill="1" applyBorder="1" applyAlignment="1" applyProtection="1">
      <alignment vertical="center" wrapText="1"/>
    </xf>
    <xf numFmtId="44" fontId="43" fillId="15" borderId="1" xfId="1" applyFont="1" applyFill="1" applyBorder="1" applyAlignment="1" applyProtection="1">
      <alignment vertical="center" wrapText="1"/>
    </xf>
    <xf numFmtId="10" fontId="43" fillId="15" borderId="1" xfId="2" applyNumberFormat="1" applyFont="1" applyFill="1" applyBorder="1" applyAlignment="1" applyProtection="1">
      <alignment horizontal="center" vertical="center" wrapText="1"/>
    </xf>
    <xf numFmtId="0" fontId="46" fillId="25" borderId="1" xfId="0" applyFont="1" applyFill="1" applyBorder="1" applyAlignment="1">
      <alignment wrapText="1"/>
    </xf>
    <xf numFmtId="168" fontId="43" fillId="21" borderId="1" xfId="1" applyNumberFormat="1" applyFont="1" applyFill="1" applyBorder="1" applyAlignment="1" applyProtection="1">
      <alignment vertical="center" wrapText="1"/>
    </xf>
    <xf numFmtId="14" fontId="46" fillId="26" borderId="1" xfId="1" applyNumberFormat="1" applyFont="1" applyFill="1" applyBorder="1" applyAlignment="1" applyProtection="1">
      <alignment vertical="center" wrapText="1"/>
      <protection locked="0"/>
    </xf>
    <xf numFmtId="44" fontId="46" fillId="24" borderId="6" xfId="1" applyFont="1" applyFill="1" applyBorder="1" applyAlignment="1" applyProtection="1">
      <alignment vertical="center" wrapText="1"/>
      <protection locked="0"/>
    </xf>
    <xf numFmtId="0" fontId="46" fillId="23" borderId="1" xfId="0" applyFont="1" applyFill="1" applyBorder="1" applyAlignment="1" applyProtection="1">
      <alignment vertical="center" wrapText="1"/>
      <protection locked="0"/>
    </xf>
    <xf numFmtId="44" fontId="46" fillId="23" borderId="6" xfId="1" applyFont="1" applyFill="1" applyBorder="1" applyAlignment="1" applyProtection="1">
      <alignment vertical="center" wrapText="1"/>
      <protection locked="0"/>
    </xf>
    <xf numFmtId="0" fontId="44" fillId="27" borderId="28" xfId="0" applyFont="1" applyFill="1" applyBorder="1" applyAlignment="1" applyProtection="1">
      <alignment horizontal="center" vertical="center" wrapText="1"/>
      <protection locked="0"/>
    </xf>
    <xf numFmtId="14" fontId="43" fillId="28" borderId="28" xfId="1" applyNumberFormat="1" applyFont="1" applyFill="1" applyBorder="1" applyAlignment="1" applyProtection="1">
      <alignment vertical="center" wrapText="1"/>
      <protection locked="0"/>
    </xf>
    <xf numFmtId="14" fontId="43" fillId="28" borderId="27" xfId="1" applyNumberFormat="1" applyFont="1" applyFill="1" applyBorder="1" applyAlignment="1" applyProtection="1">
      <alignment vertical="center" wrapText="1"/>
      <protection locked="0"/>
    </xf>
    <xf numFmtId="44" fontId="47" fillId="28" borderId="28" xfId="1" applyFont="1" applyFill="1" applyBorder="1" applyAlignment="1" applyProtection="1">
      <alignment vertical="center" wrapText="1"/>
      <protection locked="0"/>
    </xf>
    <xf numFmtId="44" fontId="47" fillId="10" borderId="1" xfId="1" applyFont="1" applyFill="1" applyBorder="1" applyAlignment="1">
      <alignment vertical="center" wrapText="1"/>
    </xf>
    <xf numFmtId="165" fontId="47" fillId="10" borderId="1" xfId="1" applyNumberFormat="1" applyFont="1" applyFill="1" applyBorder="1" applyAlignment="1">
      <alignment vertical="center" wrapText="1"/>
    </xf>
    <xf numFmtId="0" fontId="44" fillId="12" borderId="28" xfId="0" applyFont="1" applyFill="1" applyBorder="1" applyAlignment="1" applyProtection="1">
      <alignment horizontal="center" vertical="center" wrapText="1"/>
      <protection locked="0"/>
    </xf>
    <xf numFmtId="14" fontId="43" fillId="12" borderId="28" xfId="1" applyNumberFormat="1" applyFont="1" applyFill="1" applyBorder="1" applyAlignment="1" applyProtection="1">
      <alignment vertical="center" wrapText="1"/>
      <protection locked="0"/>
    </xf>
    <xf numFmtId="0" fontId="45" fillId="12" borderId="28" xfId="6" applyFont="1" applyFill="1" applyBorder="1" applyProtection="1">
      <protection locked="0"/>
    </xf>
    <xf numFmtId="0" fontId="43" fillId="12" borderId="28" xfId="0" applyFont="1" applyFill="1" applyBorder="1" applyAlignment="1" applyProtection="1">
      <alignment horizontal="center" vertical="center" wrapText="1"/>
      <protection locked="0"/>
    </xf>
    <xf numFmtId="44" fontId="43" fillId="12" borderId="28" xfId="1" applyFont="1" applyFill="1" applyBorder="1" applyAlignment="1" applyProtection="1">
      <alignment vertical="center" wrapText="1"/>
      <protection locked="0"/>
    </xf>
    <xf numFmtId="44" fontId="43" fillId="19" borderId="1" xfId="1" applyFont="1" applyFill="1" applyBorder="1" applyAlignment="1" applyProtection="1">
      <alignment vertical="center" wrapText="1"/>
    </xf>
    <xf numFmtId="165" fontId="43" fillId="19" borderId="1" xfId="1" applyNumberFormat="1" applyFont="1" applyFill="1" applyBorder="1" applyAlignment="1" applyProtection="1">
      <alignment vertical="center" wrapText="1"/>
    </xf>
    <xf numFmtId="0" fontId="44" fillId="29" borderId="26" xfId="0" applyFont="1" applyFill="1" applyBorder="1" applyAlignment="1" applyProtection="1">
      <alignment horizontal="center" vertical="center" wrapText="1"/>
      <protection locked="0"/>
    </xf>
    <xf numFmtId="14" fontId="43" fillId="29" borderId="28" xfId="1" applyNumberFormat="1" applyFont="1" applyFill="1" applyBorder="1" applyAlignment="1" applyProtection="1">
      <alignment vertical="center" wrapText="1"/>
      <protection locked="0"/>
    </xf>
    <xf numFmtId="14" fontId="43" fillId="29" borderId="0" xfId="1" applyNumberFormat="1" applyFont="1" applyFill="1" applyBorder="1" applyAlignment="1" applyProtection="1">
      <alignment vertical="center" wrapText="1"/>
      <protection locked="0"/>
    </xf>
    <xf numFmtId="0" fontId="43" fillId="29" borderId="26" xfId="0" applyFont="1" applyFill="1" applyBorder="1" applyAlignment="1" applyProtection="1">
      <alignment horizontal="center" vertical="center" wrapText="1"/>
      <protection locked="0"/>
    </xf>
    <xf numFmtId="14" fontId="43" fillId="29" borderId="26" xfId="1" applyNumberFormat="1" applyFont="1" applyFill="1" applyBorder="1" applyAlignment="1" applyProtection="1">
      <alignment vertical="center" wrapText="1"/>
      <protection locked="0"/>
    </xf>
    <xf numFmtId="44" fontId="43" fillId="29" borderId="7" xfId="1" applyFont="1" applyFill="1" applyBorder="1" applyAlignment="1" applyProtection="1">
      <alignment vertical="center" wrapText="1"/>
      <protection locked="0"/>
    </xf>
    <xf numFmtId="0" fontId="46" fillId="30" borderId="28" xfId="0" applyFont="1" applyFill="1" applyBorder="1" applyAlignment="1">
      <alignment horizontal="center" vertical="center" wrapText="1"/>
    </xf>
    <xf numFmtId="0" fontId="43" fillId="0" borderId="0" xfId="0" applyFont="1"/>
    <xf numFmtId="0" fontId="44" fillId="30" borderId="28" xfId="0" applyFont="1" applyFill="1" applyBorder="1" applyAlignment="1">
      <alignment horizontal="center" vertical="center" wrapText="1"/>
    </xf>
    <xf numFmtId="0" fontId="46" fillId="0" borderId="28" xfId="0" applyFont="1" applyBorder="1" applyAlignment="1">
      <alignment horizontal="center" vertical="center" wrapText="1"/>
    </xf>
    <xf numFmtId="0" fontId="44" fillId="31" borderId="28" xfId="0" applyFont="1" applyFill="1" applyBorder="1" applyAlignment="1">
      <alignment horizontal="center" vertical="center" wrapText="1"/>
    </xf>
    <xf numFmtId="14" fontId="46" fillId="31" borderId="28" xfId="0" applyNumberFormat="1" applyFont="1" applyFill="1" applyBorder="1" applyAlignment="1">
      <alignment horizontal="center" vertical="center" wrapText="1"/>
    </xf>
    <xf numFmtId="0" fontId="45" fillId="31" borderId="28" xfId="6" applyFont="1" applyFill="1" applyBorder="1" applyAlignment="1">
      <alignment horizontal="center" vertical="center" wrapText="1"/>
    </xf>
    <xf numFmtId="0" fontId="46" fillId="31" borderId="28" xfId="0" applyFont="1" applyFill="1" applyBorder="1" applyAlignment="1">
      <alignment horizontal="center" vertical="center" wrapText="1"/>
    </xf>
    <xf numFmtId="4" fontId="46" fillId="31" borderId="28" xfId="0" applyNumberFormat="1" applyFont="1" applyFill="1" applyBorder="1" applyAlignment="1">
      <alignment horizontal="center" vertical="center" wrapText="1"/>
    </xf>
    <xf numFmtId="8" fontId="48" fillId="32" borderId="28" xfId="0" applyNumberFormat="1" applyFont="1" applyFill="1" applyBorder="1" applyAlignment="1">
      <alignment horizontal="center" vertical="center" wrapText="1"/>
    </xf>
    <xf numFmtId="6" fontId="48" fillId="32" borderId="28" xfId="0" applyNumberFormat="1" applyFont="1" applyFill="1" applyBorder="1" applyAlignment="1">
      <alignment horizontal="center" vertical="center" wrapText="1"/>
    </xf>
    <xf numFmtId="6" fontId="49" fillId="32" borderId="28" xfId="0" applyNumberFormat="1" applyFont="1" applyFill="1" applyBorder="1" applyAlignment="1">
      <alignment horizontal="center" vertical="center" wrapText="1"/>
    </xf>
    <xf numFmtId="0" fontId="44" fillId="24" borderId="28" xfId="0" applyFont="1" applyFill="1" applyBorder="1" applyAlignment="1">
      <alignment horizontal="center" vertical="center" wrapText="1"/>
    </xf>
    <xf numFmtId="14" fontId="46" fillId="24" borderId="28" xfId="0" applyNumberFormat="1" applyFont="1" applyFill="1" applyBorder="1" applyAlignment="1">
      <alignment horizontal="center" vertical="center" wrapText="1"/>
    </xf>
    <xf numFmtId="0" fontId="45" fillId="24" borderId="28" xfId="6" applyFont="1" applyFill="1" applyBorder="1" applyAlignment="1">
      <alignment horizontal="center" vertical="center" wrapText="1"/>
    </xf>
    <xf numFmtId="0" fontId="46" fillId="24" borderId="28" xfId="0" applyFont="1" applyFill="1" applyBorder="1" applyAlignment="1">
      <alignment horizontal="center" vertical="center" wrapText="1"/>
    </xf>
    <xf numFmtId="4" fontId="46" fillId="24" borderId="28" xfId="0" applyNumberFormat="1" applyFont="1" applyFill="1" applyBorder="1" applyAlignment="1">
      <alignment horizontal="center" vertical="center" wrapText="1"/>
    </xf>
    <xf numFmtId="8" fontId="48" fillId="33" borderId="28" xfId="0" applyNumberFormat="1" applyFont="1" applyFill="1" applyBorder="1" applyAlignment="1">
      <alignment horizontal="center" vertical="center" wrapText="1"/>
    </xf>
    <xf numFmtId="6" fontId="48" fillId="33" borderId="28" xfId="0" applyNumberFormat="1" applyFont="1" applyFill="1" applyBorder="1" applyAlignment="1">
      <alignment horizontal="center" vertical="center" wrapText="1"/>
    </xf>
    <xf numFmtId="6" fontId="46" fillId="33" borderId="28" xfId="0" applyNumberFormat="1" applyFont="1" applyFill="1" applyBorder="1" applyAlignment="1">
      <alignment horizontal="center" vertical="center" wrapText="1"/>
    </xf>
    <xf numFmtId="0" fontId="46" fillId="34" borderId="28" xfId="0" applyFont="1" applyFill="1" applyBorder="1" applyAlignment="1">
      <alignment horizontal="center" vertical="center" wrapText="1"/>
    </xf>
    <xf numFmtId="14" fontId="46" fillId="34" borderId="28" xfId="0" applyNumberFormat="1" applyFont="1" applyFill="1" applyBorder="1" applyAlignment="1">
      <alignment horizontal="center" vertical="center" wrapText="1"/>
    </xf>
    <xf numFmtId="0" fontId="45" fillId="34" borderId="28" xfId="6" applyFont="1" applyFill="1" applyBorder="1" applyAlignment="1">
      <alignment horizontal="center" vertical="center" wrapText="1"/>
    </xf>
    <xf numFmtId="4" fontId="46" fillId="34" borderId="28" xfId="0" applyNumberFormat="1" applyFont="1" applyFill="1" applyBorder="1" applyAlignment="1">
      <alignment horizontal="center" vertical="center" wrapText="1"/>
    </xf>
    <xf numFmtId="8" fontId="48" fillId="23" borderId="28" xfId="0" applyNumberFormat="1" applyFont="1" applyFill="1" applyBorder="1" applyAlignment="1">
      <alignment horizontal="center" vertical="center" wrapText="1"/>
    </xf>
    <xf numFmtId="6" fontId="48" fillId="23" borderId="28" xfId="0" applyNumberFormat="1" applyFont="1" applyFill="1" applyBorder="1" applyAlignment="1">
      <alignment horizontal="center" vertical="center" wrapText="1"/>
    </xf>
    <xf numFmtId="6" fontId="46" fillId="23" borderId="28" xfId="0" applyNumberFormat="1" applyFont="1" applyFill="1" applyBorder="1" applyAlignment="1">
      <alignment horizontal="center" vertical="center" wrapText="1"/>
    </xf>
    <xf numFmtId="10" fontId="46" fillId="35" borderId="28" xfId="0" applyNumberFormat="1" applyFont="1" applyFill="1" applyBorder="1" applyAlignment="1">
      <alignment horizontal="center" vertical="center" wrapText="1"/>
    </xf>
    <xf numFmtId="8" fontId="50" fillId="32" borderId="28" xfId="0" applyNumberFormat="1" applyFont="1" applyFill="1" applyBorder="1" applyAlignment="1">
      <alignment horizontal="center" vertical="center" wrapText="1"/>
    </xf>
    <xf numFmtId="6" fontId="50" fillId="32" borderId="28" xfId="0" applyNumberFormat="1" applyFont="1" applyFill="1" applyBorder="1" applyAlignment="1">
      <alignment horizontal="center" vertical="center" wrapText="1"/>
    </xf>
    <xf numFmtId="0" fontId="46" fillId="31" borderId="28" xfId="0" applyFont="1" applyFill="1" applyBorder="1" applyAlignment="1">
      <alignment horizontal="justify" vertical="center" wrapText="1"/>
    </xf>
    <xf numFmtId="14" fontId="46" fillId="31" borderId="28" xfId="0" applyNumberFormat="1" applyFont="1" applyFill="1" applyBorder="1" applyAlignment="1">
      <alignment horizontal="justify" vertical="center" wrapText="1"/>
    </xf>
    <xf numFmtId="0" fontId="45" fillId="31" borderId="28" xfId="6" applyFont="1" applyFill="1" applyBorder="1"/>
    <xf numFmtId="0" fontId="46" fillId="31" borderId="29" xfId="0" applyFont="1" applyFill="1" applyBorder="1" applyAlignment="1">
      <alignment horizontal="justify" vertical="center" wrapText="1"/>
    </xf>
    <xf numFmtId="4" fontId="46" fillId="31" borderId="28" xfId="0" applyNumberFormat="1" applyFont="1" applyFill="1" applyBorder="1" applyAlignment="1">
      <alignment horizontal="right" vertical="center" wrapText="1"/>
    </xf>
    <xf numFmtId="0" fontId="46" fillId="24" borderId="28" xfId="0" applyFont="1" applyFill="1" applyBorder="1" applyAlignment="1">
      <alignment horizontal="justify" vertical="center" wrapText="1"/>
    </xf>
    <xf numFmtId="14" fontId="46" fillId="24" borderId="28" xfId="0" applyNumberFormat="1" applyFont="1" applyFill="1" applyBorder="1" applyAlignment="1">
      <alignment horizontal="justify" vertical="center" wrapText="1"/>
    </xf>
    <xf numFmtId="0" fontId="45" fillId="24" borderId="28" xfId="6" applyFont="1" applyFill="1" applyBorder="1"/>
    <xf numFmtId="0" fontId="46" fillId="24" borderId="29" xfId="0" applyFont="1" applyFill="1" applyBorder="1" applyAlignment="1">
      <alignment horizontal="justify" vertical="center" wrapText="1"/>
    </xf>
    <xf numFmtId="4" fontId="46" fillId="24" borderId="28" xfId="0" applyNumberFormat="1" applyFont="1" applyFill="1" applyBorder="1" applyAlignment="1">
      <alignment horizontal="right" vertical="center" wrapText="1"/>
    </xf>
    <xf numFmtId="0" fontId="25" fillId="0" borderId="0" xfId="0" applyFont="1" applyAlignment="1">
      <alignment wrapText="1"/>
    </xf>
    <xf numFmtId="0" fontId="51" fillId="0" borderId="3" xfId="0" applyFont="1" applyBorder="1" applyAlignment="1">
      <alignment wrapText="1"/>
    </xf>
    <xf numFmtId="0" fontId="25" fillId="0" borderId="1" xfId="0" applyFont="1" applyBorder="1" applyAlignment="1">
      <alignment vertical="center" wrapText="1"/>
    </xf>
    <xf numFmtId="0" fontId="25" fillId="7" borderId="1" xfId="0" applyFont="1" applyFill="1" applyBorder="1" applyAlignment="1" applyProtection="1">
      <alignment horizontal="justify" vertical="center" wrapText="1"/>
      <protection locked="0"/>
    </xf>
    <xf numFmtId="0" fontId="25" fillId="0" borderId="1" xfId="0" applyFont="1" applyBorder="1" applyAlignment="1">
      <alignment horizontal="center" vertical="center" wrapText="1"/>
    </xf>
    <xf numFmtId="165" fontId="25" fillId="10" borderId="1" xfId="1" applyNumberFormat="1" applyFont="1" applyFill="1" applyBorder="1" applyAlignment="1">
      <alignment vertical="center" wrapText="1"/>
    </xf>
    <xf numFmtId="0" fontId="52" fillId="0" borderId="6" xfId="0" applyFont="1" applyBorder="1" applyAlignment="1">
      <alignment horizontal="center" vertical="center" wrapText="1"/>
    </xf>
    <xf numFmtId="0" fontId="53" fillId="30" borderId="6" xfId="0" applyFont="1" applyFill="1" applyBorder="1" applyAlignment="1">
      <alignment horizontal="center" vertical="center" wrapText="1"/>
    </xf>
    <xf numFmtId="0" fontId="54" fillId="0" borderId="6" xfId="0" applyFont="1" applyBorder="1" applyAlignment="1">
      <alignment horizontal="center" vertical="center" wrapText="1"/>
    </xf>
    <xf numFmtId="0" fontId="52" fillId="0" borderId="1" xfId="0" applyFont="1" applyBorder="1" applyAlignment="1">
      <alignment horizontal="left" vertical="center" wrapText="1"/>
    </xf>
    <xf numFmtId="0" fontId="52" fillId="0" borderId="6" xfId="0" applyFont="1" applyBorder="1" applyAlignment="1">
      <alignment horizontal="left" vertical="center" wrapText="1"/>
    </xf>
    <xf numFmtId="0" fontId="25" fillId="6" borderId="1" xfId="0" applyFont="1" applyFill="1" applyBorder="1" applyAlignment="1" applyProtection="1">
      <alignment vertical="center" wrapText="1"/>
      <protection locked="0"/>
    </xf>
    <xf numFmtId="164" fontId="25" fillId="6" borderId="1" xfId="1" applyNumberFormat="1" applyFont="1" applyFill="1" applyBorder="1" applyAlignment="1" applyProtection="1">
      <alignment vertical="center" wrapText="1"/>
      <protection locked="0"/>
    </xf>
    <xf numFmtId="164" fontId="25" fillId="6" borderId="1" xfId="1" applyNumberFormat="1" applyFont="1" applyFill="1" applyBorder="1" applyAlignment="1">
      <alignment vertical="center" wrapText="1"/>
    </xf>
    <xf numFmtId="0" fontId="25" fillId="19" borderId="1" xfId="0" applyFont="1" applyFill="1" applyBorder="1" applyAlignment="1" applyProtection="1">
      <alignment vertical="center" wrapText="1"/>
      <protection locked="0"/>
    </xf>
    <xf numFmtId="164" fontId="25" fillId="19" borderId="1" xfId="1" applyNumberFormat="1" applyFont="1" applyFill="1" applyBorder="1" applyAlignment="1" applyProtection="1">
      <alignment vertical="center" wrapText="1"/>
      <protection locked="0"/>
    </xf>
    <xf numFmtId="164" fontId="25" fillId="19" borderId="1" xfId="1" applyNumberFormat="1" applyFont="1" applyFill="1" applyBorder="1" applyAlignment="1">
      <alignment vertical="center" wrapText="1"/>
    </xf>
    <xf numFmtId="0" fontId="25" fillId="7" borderId="1" xfId="0" applyFont="1" applyFill="1" applyBorder="1" applyAlignment="1" applyProtection="1">
      <alignment horizontal="center" vertical="center" wrapText="1"/>
      <protection locked="0"/>
    </xf>
    <xf numFmtId="0" fontId="25" fillId="10" borderId="1" xfId="0" applyFont="1" applyFill="1" applyBorder="1" applyAlignment="1" applyProtection="1">
      <alignment vertical="center" wrapText="1"/>
      <protection locked="0"/>
    </xf>
    <xf numFmtId="44" fontId="25" fillId="10" borderId="1" xfId="1" applyFont="1" applyFill="1" applyBorder="1" applyAlignment="1" applyProtection="1">
      <alignment vertical="center" wrapText="1"/>
      <protection locked="0"/>
    </xf>
    <xf numFmtId="164" fontId="25" fillId="10" borderId="1" xfId="1" applyNumberFormat="1" applyFont="1" applyFill="1" applyBorder="1" applyAlignment="1" applyProtection="1">
      <alignment vertical="center" wrapText="1"/>
      <protection locked="0"/>
    </xf>
    <xf numFmtId="43" fontId="0" fillId="0" borderId="0" xfId="0" applyNumberFormat="1" applyAlignment="1">
      <alignment wrapText="1"/>
    </xf>
    <xf numFmtId="0" fontId="38" fillId="0" borderId="1" xfId="0" applyFont="1" applyBorder="1" applyAlignment="1" applyProtection="1">
      <alignment horizontal="center" vertical="center" wrapText="1"/>
      <protection locked="0"/>
    </xf>
    <xf numFmtId="0" fontId="25" fillId="0" borderId="1" xfId="0" applyFont="1" applyBorder="1" applyAlignment="1" applyProtection="1">
      <alignment horizontal="justify" vertical="center" wrapText="1"/>
      <protection locked="0"/>
    </xf>
    <xf numFmtId="0" fontId="41" fillId="0" borderId="0" xfId="0" applyFont="1" applyAlignment="1">
      <alignment vertical="center" wrapText="1"/>
    </xf>
    <xf numFmtId="0" fontId="23" fillId="20" borderId="1" xfId="0" applyFont="1" applyFill="1" applyBorder="1" applyAlignment="1">
      <alignment vertical="center" wrapText="1"/>
    </xf>
    <xf numFmtId="0" fontId="17" fillId="0" borderId="9" xfId="0" applyFont="1" applyBorder="1" applyAlignment="1">
      <alignment horizontal="center" vertical="center" wrapText="1"/>
    </xf>
    <xf numFmtId="0" fontId="17" fillId="0" borderId="9" xfId="0" applyFont="1" applyBorder="1" applyAlignment="1">
      <alignment horizontal="left" vertical="center" wrapText="1"/>
    </xf>
    <xf numFmtId="44" fontId="31" fillId="0" borderId="9" xfId="1" applyFont="1" applyBorder="1" applyAlignment="1" applyProtection="1">
      <alignment vertical="center" wrapText="1"/>
    </xf>
    <xf numFmtId="167" fontId="17" fillId="0" borderId="9" xfId="0" applyNumberFormat="1" applyFont="1" applyBorder="1" applyAlignment="1">
      <alignment horizontal="center" vertical="center" wrapText="1"/>
    </xf>
    <xf numFmtId="167" fontId="17" fillId="0" borderId="6" xfId="0" applyNumberFormat="1" applyFont="1" applyBorder="1" applyAlignment="1">
      <alignment wrapText="1"/>
    </xf>
    <xf numFmtId="164" fontId="25" fillId="10" borderId="1" xfId="1" applyNumberFormat="1" applyFont="1" applyFill="1" applyBorder="1" applyAlignment="1">
      <alignment vertical="center" wrapText="1"/>
    </xf>
    <xf numFmtId="164" fontId="25" fillId="9" borderId="1" xfId="1" applyNumberFormat="1" applyFont="1" applyFill="1" applyBorder="1" applyAlignment="1" applyProtection="1">
      <alignment vertical="center" wrapText="1"/>
      <protection locked="0"/>
    </xf>
    <xf numFmtId="164" fontId="25" fillId="19" borderId="0" xfId="0" applyNumberFormat="1" applyFont="1" applyFill="1" applyAlignment="1">
      <alignment vertical="center" wrapText="1"/>
    </xf>
    <xf numFmtId="164" fontId="23" fillId="4" borderId="1" xfId="0" applyNumberFormat="1" applyFont="1" applyFill="1" applyBorder="1" applyAlignment="1">
      <alignment vertical="center" wrapText="1"/>
    </xf>
    <xf numFmtId="164" fontId="6" fillId="0" borderId="0" xfId="3" applyNumberFormat="1" applyFont="1" applyAlignment="1">
      <alignment horizontal="center" vertical="center" wrapText="1"/>
    </xf>
    <xf numFmtId="164" fontId="6" fillId="11" borderId="0" xfId="3" applyNumberFormat="1" applyFont="1" applyFill="1" applyAlignment="1">
      <alignment horizontal="center" vertical="center" wrapText="1"/>
    </xf>
    <xf numFmtId="0" fontId="25" fillId="20" borderId="3" xfId="0" applyFont="1" applyFill="1" applyBorder="1" applyAlignment="1">
      <alignment horizontal="center" vertical="center" wrapText="1"/>
    </xf>
    <xf numFmtId="0" fontId="57"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26" fillId="18"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58" fillId="9" borderId="1" xfId="0" applyFont="1" applyFill="1" applyBorder="1" applyAlignment="1">
      <alignment horizontal="center" vertical="center" wrapText="1"/>
    </xf>
    <xf numFmtId="0" fontId="56" fillId="0" borderId="1" xfId="0" applyFont="1" applyBorder="1" applyAlignment="1">
      <alignment horizontal="center" vertical="center" wrapText="1"/>
    </xf>
    <xf numFmtId="0" fontId="37" fillId="22" borderId="0" xfId="0" applyFont="1" applyFill="1" applyAlignment="1">
      <alignment horizontal="center" vertical="center" wrapText="1"/>
    </xf>
    <xf numFmtId="0" fontId="42" fillId="0" borderId="0" xfId="3" applyFont="1" applyAlignment="1">
      <alignment horizontal="center" vertical="center" wrapText="1"/>
    </xf>
    <xf numFmtId="0" fontId="6" fillId="0" borderId="1" xfId="3" applyFont="1" applyBorder="1" applyAlignment="1">
      <alignment horizontal="left" vertical="center" wrapText="1"/>
    </xf>
    <xf numFmtId="0" fontId="8" fillId="0" borderId="1" xfId="0" applyFont="1" applyBorder="1" applyAlignment="1">
      <alignment horizontal="center" vertical="center" wrapText="1"/>
    </xf>
    <xf numFmtId="0" fontId="51" fillId="0" borderId="3" xfId="0" applyFont="1" applyBorder="1" applyAlignment="1">
      <alignment horizont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5" fillId="20" borderId="3" xfId="0" applyFont="1" applyFill="1" applyBorder="1" applyAlignment="1">
      <alignment horizontal="right" vertical="center" wrapText="1"/>
    </xf>
    <xf numFmtId="0" fontId="6" fillId="0" borderId="1" xfId="3" applyFont="1" applyBorder="1" applyAlignment="1">
      <alignment horizontal="center" vertical="center" wrapText="1"/>
    </xf>
    <xf numFmtId="14" fontId="6" fillId="0" borderId="1" xfId="3" applyNumberFormat="1" applyFont="1" applyBorder="1" applyAlignment="1">
      <alignment horizontal="center" vertical="center" wrapText="1"/>
    </xf>
    <xf numFmtId="0" fontId="0" fillId="9" borderId="1" xfId="0" applyFill="1" applyBorder="1" applyAlignment="1">
      <alignment horizontal="center" vertical="center" wrapText="1"/>
    </xf>
    <xf numFmtId="0" fontId="41" fillId="0" borderId="3" xfId="0" applyFont="1" applyBorder="1" applyAlignment="1">
      <alignment horizontal="center" vertical="center" wrapText="1"/>
    </xf>
    <xf numFmtId="0" fontId="41" fillId="0" borderId="0" xfId="0" applyFont="1" applyAlignment="1">
      <alignment horizontal="center" vertical="center" wrapText="1"/>
    </xf>
    <xf numFmtId="0" fontId="23" fillId="20" borderId="3" xfId="0" applyFont="1" applyFill="1" applyBorder="1" applyAlignment="1">
      <alignment horizontal="center" vertical="center" wrapText="1"/>
    </xf>
    <xf numFmtId="0" fontId="23" fillId="20" borderId="0" xfId="0" applyFont="1" applyFill="1" applyAlignment="1">
      <alignment horizontal="center" vertical="center" wrapText="1"/>
    </xf>
    <xf numFmtId="44" fontId="23" fillId="4" borderId="3" xfId="0" applyNumberFormat="1" applyFont="1" applyFill="1" applyBorder="1" applyAlignment="1">
      <alignment horizontal="center" vertical="center" wrapText="1"/>
    </xf>
    <xf numFmtId="44" fontId="23" fillId="4" borderId="0" xfId="0" applyNumberFormat="1" applyFont="1" applyFill="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1" xfId="3" applyFont="1" applyBorder="1" applyAlignment="1">
      <alignment horizontal="center" vertic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4" fillId="0" borderId="1" xfId="3" applyFont="1" applyBorder="1" applyAlignment="1">
      <alignment horizontal="center" vertical="center" wrapText="1"/>
    </xf>
    <xf numFmtId="0" fontId="27" fillId="0" borderId="5" xfId="3" applyFont="1" applyBorder="1" applyAlignment="1">
      <alignment horizontal="center" vertical="center" wrapText="1"/>
    </xf>
    <xf numFmtId="0" fontId="27" fillId="0" borderId="9" xfId="3" applyFont="1" applyBorder="1" applyAlignment="1">
      <alignment horizontal="center" vertical="center" wrapText="1"/>
    </xf>
    <xf numFmtId="0" fontId="27" fillId="0" borderId="6" xfId="3" applyFont="1" applyBorder="1" applyAlignment="1">
      <alignment horizontal="center" vertical="center" wrapText="1"/>
    </xf>
    <xf numFmtId="0" fontId="28" fillId="0" borderId="25" xfId="0" applyFont="1" applyBorder="1" applyAlignment="1">
      <alignment horizontal="right" vertical="center" wrapText="1"/>
    </xf>
    <xf numFmtId="0" fontId="30" fillId="2" borderId="1" xfId="0" applyFont="1" applyFill="1" applyBorder="1" applyAlignment="1">
      <alignment horizontal="center" vertical="center" wrapText="1"/>
    </xf>
    <xf numFmtId="44" fontId="30" fillId="21" borderId="1" xfId="1" applyFont="1" applyFill="1" applyBorder="1" applyAlignment="1" applyProtection="1">
      <alignment horizontal="center" vertical="center" wrapText="1"/>
    </xf>
    <xf numFmtId="0" fontId="30" fillId="6"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32" fillId="7" borderId="1" xfId="0" applyFont="1" applyFill="1" applyBorder="1" applyAlignment="1">
      <alignment horizontal="right" vertical="center" wrapText="1"/>
    </xf>
    <xf numFmtId="0" fontId="33" fillId="7" borderId="1" xfId="0" applyFont="1" applyFill="1" applyBorder="1" applyAlignment="1">
      <alignment horizontal="center" vertical="center" wrapText="1"/>
    </xf>
    <xf numFmtId="0" fontId="17" fillId="20" borderId="9" xfId="0" applyFont="1" applyFill="1" applyBorder="1" applyAlignment="1">
      <alignment horizontal="center" wrapText="1"/>
    </xf>
    <xf numFmtId="0" fontId="34" fillId="22" borderId="2" xfId="0" applyFont="1" applyFill="1" applyBorder="1" applyAlignment="1">
      <alignment horizontal="center" vertical="center" wrapText="1"/>
    </xf>
    <xf numFmtId="0" fontId="34" fillId="22" borderId="3" xfId="0" applyFont="1" applyFill="1" applyBorder="1" applyAlignment="1">
      <alignment horizontal="center" vertical="center" wrapText="1"/>
    </xf>
    <xf numFmtId="0" fontId="34" fillId="22" borderId="10" xfId="0" applyFont="1" applyFill="1" applyBorder="1" applyAlignment="1">
      <alignment horizontal="center" vertical="center" wrapText="1"/>
    </xf>
    <xf numFmtId="0" fontId="34" fillId="22" borderId="11" xfId="0" applyFont="1" applyFill="1" applyBorder="1" applyAlignment="1">
      <alignment horizontal="center" vertical="center" wrapText="1"/>
    </xf>
    <xf numFmtId="0" fontId="13" fillId="0" borderId="7" xfId="0" applyFont="1" applyBorder="1" applyAlignment="1">
      <alignment vertical="center" wrapText="1"/>
    </xf>
    <xf numFmtId="0" fontId="13" fillId="0" borderId="0" xfId="0" applyFont="1" applyAlignment="1">
      <alignment vertic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7">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3.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B2C3E3C3-2D71-4D7F-9A17-83286DB6384D}"/>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51726"/>
          <a:ext cx="2449830" cy="24621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5.%20Archivo%20digital%202025/1.FORMULACIONES/Formatos_2025/Estudio_Mercado_2025.xlsm" TargetMode="External"/><Relationship Id="rId1" Type="http://schemas.openxmlformats.org/officeDocument/2006/relationships/externalLinkPath" Target="/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38"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37"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37"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1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9"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639"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5681136-029F-468C-8DFE-10F829100609}">
  <we:reference id="WA200009404" version="1.0.0.8" store="Omex" storeType="OMEX"/>
  <we:alternateReferences>
    <we:reference id="WA200009404" version="1.0.0.8" store="WA200009404" storeType="OMEX"/>
  </we:alternateReferences>
  <we:properties>
    <we:property name="claude.fileId" value="&quot;3a31bb28-a12b-4007-8a10-b2e682a000e1&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5.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6.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2:CR154"/>
  <sheetViews>
    <sheetView view="pageBreakPreview" topLeftCell="M1" zoomScale="40" zoomScaleNormal="40" zoomScaleSheetLayoutView="40" workbookViewId="0">
      <selection activeCell="Z9" sqref="Z9:AC9"/>
    </sheetView>
  </sheetViews>
  <sheetFormatPr baseColWidth="10" defaultColWidth="11.42578125" defaultRowHeight="15" customHeight="1" x14ac:dyDescent="0.25"/>
  <cols>
    <col min="1" max="1" width="17.140625" style="3" customWidth="1"/>
    <col min="2" max="2" width="28.28515625" style="3" customWidth="1"/>
    <col min="3" max="3" width="52.42578125" style="3" customWidth="1"/>
    <col min="4" max="4" width="166.140625" style="3" customWidth="1"/>
    <col min="5" max="7" width="28.42578125" style="3" customWidth="1"/>
    <col min="8" max="8" width="31.42578125" style="3" customWidth="1"/>
    <col min="9" max="9" width="25.42578125" style="3" customWidth="1"/>
    <col min="10" max="10" width="32.28515625" style="3" customWidth="1"/>
    <col min="11" max="13" width="25.42578125" style="3" customWidth="1"/>
    <col min="14" max="14" width="44.7109375"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43.425781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2" spans="1:96" ht="15" customHeight="1" x14ac:dyDescent="0.35">
      <c r="A2" s="232"/>
      <c r="B2" s="232"/>
      <c r="C2" s="232"/>
      <c r="D2" s="232"/>
      <c r="E2" s="232"/>
      <c r="F2" s="232"/>
      <c r="G2" s="232"/>
      <c r="H2" s="232"/>
      <c r="I2" s="232"/>
      <c r="J2" s="232"/>
      <c r="K2" s="232"/>
      <c r="L2" s="232"/>
      <c r="M2" s="232"/>
      <c r="N2" s="232"/>
      <c r="O2" s="232"/>
      <c r="P2" s="232"/>
      <c r="Q2" s="232"/>
      <c r="R2" s="232"/>
      <c r="S2" s="232"/>
      <c r="T2" s="232"/>
      <c r="U2" s="232"/>
      <c r="V2" s="232"/>
      <c r="W2" s="232"/>
    </row>
    <row r="3" spans="1:96" s="1" customFormat="1" ht="93.75" x14ac:dyDescent="0.25">
      <c r="A3" s="293" t="s">
        <v>0</v>
      </c>
      <c r="B3" s="293"/>
      <c r="C3" s="293"/>
      <c r="D3" s="293"/>
      <c r="E3" s="293"/>
      <c r="F3" s="293"/>
      <c r="G3" s="293"/>
      <c r="H3" s="293"/>
      <c r="I3" s="293"/>
      <c r="J3" s="293"/>
      <c r="K3" s="293"/>
      <c r="L3" s="293"/>
      <c r="M3" s="293"/>
      <c r="N3" s="293" t="s">
        <v>1</v>
      </c>
      <c r="O3" s="293"/>
      <c r="P3" s="293"/>
      <c r="Q3" s="293"/>
      <c r="R3" s="293"/>
      <c r="S3" s="293"/>
      <c r="T3" s="293"/>
      <c r="U3" s="293"/>
      <c r="V3" s="293"/>
      <c r="W3" s="293"/>
      <c r="X3" s="33"/>
      <c r="Y3" s="33"/>
      <c r="Z3" s="33"/>
      <c r="AA3" s="33"/>
      <c r="AB3" s="33"/>
      <c r="AC3" s="33"/>
    </row>
    <row r="4" spans="1:96" s="2" customFormat="1" ht="93.75" x14ac:dyDescent="0.25">
      <c r="A4" s="293"/>
      <c r="B4" s="293"/>
      <c r="C4" s="45" t="s">
        <v>2</v>
      </c>
      <c r="D4" s="279" t="s">
        <v>1359</v>
      </c>
      <c r="E4" s="279"/>
      <c r="F4" s="279"/>
      <c r="G4" s="279"/>
      <c r="H4" s="279"/>
      <c r="I4" s="279"/>
      <c r="J4" s="279" t="s">
        <v>3</v>
      </c>
      <c r="K4" s="279"/>
      <c r="L4" s="294">
        <v>46282</v>
      </c>
      <c r="M4" s="293"/>
      <c r="N4" s="293"/>
      <c r="O4" s="293"/>
      <c r="P4" s="293"/>
      <c r="Q4" s="293"/>
      <c r="R4" s="293"/>
      <c r="S4" s="293"/>
      <c r="T4" s="293"/>
      <c r="U4" s="293"/>
      <c r="V4" s="293"/>
      <c r="W4" s="293"/>
      <c r="Z4" s="277" t="s">
        <v>4</v>
      </c>
      <c r="AA4" s="277"/>
      <c r="AB4" s="73">
        <f>IF(B11="","",AA138)</f>
        <v>678339602</v>
      </c>
      <c r="AC4" s="38"/>
    </row>
    <row r="5" spans="1:96" s="2" customFormat="1" ht="93.75" x14ac:dyDescent="0.25">
      <c r="A5" s="293"/>
      <c r="B5" s="293"/>
      <c r="C5" s="45" t="s">
        <v>5</v>
      </c>
      <c r="D5" s="278" t="s">
        <v>138</v>
      </c>
      <c r="E5" s="278"/>
      <c r="F5" s="278"/>
      <c r="G5" s="278"/>
      <c r="H5" s="278"/>
      <c r="I5" s="278"/>
      <c r="J5" s="278"/>
      <c r="K5" s="278"/>
      <c r="L5" s="278"/>
      <c r="M5" s="278"/>
      <c r="N5" s="293"/>
      <c r="O5" s="293"/>
      <c r="P5" s="293"/>
      <c r="Q5" s="293"/>
      <c r="R5" s="293"/>
      <c r="S5" s="293"/>
      <c r="T5" s="293"/>
      <c r="U5" s="293"/>
      <c r="V5" s="293"/>
      <c r="W5" s="293"/>
      <c r="Z5" s="277" t="s">
        <v>6</v>
      </c>
      <c r="AA5" s="277"/>
      <c r="AB5" s="73">
        <f>+J148</f>
        <v>221660393</v>
      </c>
      <c r="AC5" s="38"/>
      <c r="AD5" s="136" t="s">
        <v>7</v>
      </c>
    </row>
    <row r="6" spans="1:96" s="2" customFormat="1" ht="47.45" customHeight="1" x14ac:dyDescent="0.25">
      <c r="A6" s="293"/>
      <c r="B6" s="293"/>
      <c r="C6" s="94" t="s">
        <v>8</v>
      </c>
      <c r="D6" s="107" t="s">
        <v>1360</v>
      </c>
      <c r="E6" s="94" t="s">
        <v>9</v>
      </c>
      <c r="F6" s="279"/>
      <c r="G6" s="279"/>
      <c r="H6" s="279"/>
      <c r="I6" s="279"/>
      <c r="J6" s="279"/>
      <c r="K6" s="279"/>
      <c r="L6" s="279"/>
      <c r="M6" s="279"/>
      <c r="N6" s="293"/>
      <c r="O6" s="293"/>
      <c r="P6" s="293"/>
      <c r="Q6" s="293"/>
      <c r="R6" s="293"/>
      <c r="S6" s="293"/>
      <c r="T6" s="293"/>
      <c r="U6" s="293"/>
      <c r="V6" s="293"/>
      <c r="W6" s="293"/>
      <c r="Z6" s="277" t="s">
        <v>10</v>
      </c>
      <c r="AA6" s="277"/>
      <c r="AB6" s="74">
        <f>IF(B11="","",(AB4+AB5))</f>
        <v>899999995</v>
      </c>
      <c r="AD6" s="87"/>
      <c r="AE6" s="88"/>
      <c r="CA6">
        <v>1</v>
      </c>
      <c r="CB6">
        <v>2</v>
      </c>
      <c r="CC6">
        <v>10</v>
      </c>
      <c r="CD6">
        <v>14</v>
      </c>
      <c r="CE6">
        <v>23</v>
      </c>
      <c r="CF6">
        <v>29</v>
      </c>
      <c r="CG6">
        <v>36</v>
      </c>
      <c r="CH6">
        <v>40</v>
      </c>
      <c r="CI6"/>
      <c r="CJ6">
        <v>48</v>
      </c>
    </row>
    <row r="7" spans="1:96" ht="59.45" customHeight="1" x14ac:dyDescent="0.35">
      <c r="A7" s="280" t="s">
        <v>11</v>
      </c>
      <c r="B7" s="280"/>
      <c r="C7" s="280"/>
      <c r="D7" s="280"/>
      <c r="E7" s="280"/>
      <c r="F7" s="280"/>
      <c r="G7" s="280"/>
      <c r="H7" s="280"/>
      <c r="I7" s="280"/>
      <c r="J7" s="280"/>
      <c r="K7" s="280"/>
      <c r="L7" s="280"/>
      <c r="M7" s="280"/>
      <c r="N7" s="233"/>
      <c r="O7" s="233"/>
      <c r="P7" s="232"/>
      <c r="Q7" s="232"/>
      <c r="R7" s="232"/>
      <c r="S7" s="232"/>
      <c r="T7" s="232"/>
      <c r="U7" s="232"/>
      <c r="V7" s="232"/>
      <c r="W7" s="232"/>
      <c r="AE7" s="253"/>
      <c r="CA7" t="s">
        <v>12</v>
      </c>
      <c r="CB7" t="s">
        <v>13</v>
      </c>
      <c r="CC7" t="s">
        <v>14</v>
      </c>
      <c r="CD7" t="s">
        <v>15</v>
      </c>
      <c r="CE7" t="s">
        <v>16</v>
      </c>
      <c r="CF7" t="s">
        <v>17</v>
      </c>
      <c r="CG7" t="s">
        <v>18</v>
      </c>
      <c r="CH7" t="s">
        <v>19</v>
      </c>
      <c r="CI7"/>
      <c r="CJ7" t="s">
        <v>20</v>
      </c>
    </row>
    <row r="8" spans="1:96" x14ac:dyDescent="0.25">
      <c r="J8" s="16"/>
      <c r="K8" s="16"/>
      <c r="L8" s="16"/>
      <c r="M8" s="16"/>
      <c r="P8" s="16"/>
      <c r="Q8" s="16"/>
      <c r="R8" s="16"/>
      <c r="S8" s="16"/>
      <c r="V8" s="16"/>
      <c r="W8" s="16"/>
      <c r="X8" s="16"/>
      <c r="Y8" s="16"/>
      <c r="Z8" s="16"/>
      <c r="AE8" s="253"/>
    </row>
    <row r="9" spans="1:96" s="18" customFormat="1" ht="24" x14ac:dyDescent="0.4">
      <c r="H9" s="281" t="s">
        <v>21</v>
      </c>
      <c r="I9" s="282"/>
      <c r="J9" s="282"/>
      <c r="K9" s="282"/>
      <c r="L9" s="282"/>
      <c r="M9" s="283"/>
      <c r="N9" s="284" t="s">
        <v>22</v>
      </c>
      <c r="O9" s="285"/>
      <c r="P9" s="285"/>
      <c r="Q9" s="285"/>
      <c r="R9" s="285"/>
      <c r="S9" s="286"/>
      <c r="T9" s="287" t="s">
        <v>23</v>
      </c>
      <c r="U9" s="288"/>
      <c r="V9" s="288"/>
      <c r="W9" s="288"/>
      <c r="X9" s="288"/>
      <c r="Y9" s="289"/>
      <c r="Z9" s="290" t="s">
        <v>24</v>
      </c>
      <c r="AA9" s="291"/>
      <c r="AB9" s="291"/>
      <c r="AC9" s="291"/>
      <c r="CA9" s="18" t="s">
        <v>25</v>
      </c>
      <c r="CJ9" s="18" t="s">
        <v>26</v>
      </c>
    </row>
    <row r="10" spans="1:96" s="102" customFormat="1" ht="103.35" customHeight="1" x14ac:dyDescent="0.4">
      <c r="A10" s="103" t="s">
        <v>27</v>
      </c>
      <c r="B10" s="103" t="s">
        <v>28</v>
      </c>
      <c r="C10" s="103" t="s">
        <v>29</v>
      </c>
      <c r="D10" s="103" t="s">
        <v>13</v>
      </c>
      <c r="E10" s="103" t="s">
        <v>30</v>
      </c>
      <c r="F10" s="103" t="s">
        <v>31</v>
      </c>
      <c r="G10" s="103" t="s">
        <v>32</v>
      </c>
      <c r="H10" s="104" t="s">
        <v>14</v>
      </c>
      <c r="I10" s="104" t="s">
        <v>19</v>
      </c>
      <c r="J10" s="104" t="s">
        <v>33</v>
      </c>
      <c r="K10" s="104" t="s">
        <v>17</v>
      </c>
      <c r="L10" s="104" t="s">
        <v>34</v>
      </c>
      <c r="M10" s="104" t="s">
        <v>35</v>
      </c>
      <c r="N10" s="103" t="s">
        <v>16</v>
      </c>
      <c r="O10" s="103" t="s">
        <v>19</v>
      </c>
      <c r="P10" s="103" t="s">
        <v>36</v>
      </c>
      <c r="Q10" s="103" t="s">
        <v>17</v>
      </c>
      <c r="R10" s="103" t="s">
        <v>34</v>
      </c>
      <c r="S10" s="103" t="s">
        <v>35</v>
      </c>
      <c r="T10" s="105" t="s">
        <v>18</v>
      </c>
      <c r="U10" s="105" t="s">
        <v>19</v>
      </c>
      <c r="V10" s="105" t="s">
        <v>37</v>
      </c>
      <c r="W10" s="105" t="s">
        <v>17</v>
      </c>
      <c r="X10" s="105" t="s">
        <v>34</v>
      </c>
      <c r="Y10" s="105" t="s">
        <v>35</v>
      </c>
      <c r="Z10" s="104" t="s">
        <v>38</v>
      </c>
      <c r="AA10" s="104" t="s">
        <v>39</v>
      </c>
      <c r="AB10" s="104" t="s">
        <v>40</v>
      </c>
      <c r="AC10" s="104" t="s">
        <v>20</v>
      </c>
      <c r="AD10" s="106" t="s">
        <v>41</v>
      </c>
      <c r="CA10" s="102" t="s">
        <v>42</v>
      </c>
      <c r="CB10" s="102" t="s">
        <v>43</v>
      </c>
      <c r="CC10" s="102" t="s">
        <v>44</v>
      </c>
      <c r="CD10" s="102" t="s">
        <v>45</v>
      </c>
      <c r="CE10" s="102" t="s">
        <v>46</v>
      </c>
      <c r="CF10" s="102" t="s">
        <v>47</v>
      </c>
      <c r="CG10" s="102" t="s">
        <v>48</v>
      </c>
      <c r="CH10" s="102" t="s">
        <v>49</v>
      </c>
      <c r="CI10" s="102" t="s">
        <v>50</v>
      </c>
      <c r="CJ10" s="102" t="s">
        <v>42</v>
      </c>
      <c r="CK10" s="102" t="s">
        <v>43</v>
      </c>
      <c r="CL10" s="102" t="s">
        <v>44</v>
      </c>
      <c r="CM10" s="102" t="s">
        <v>45</v>
      </c>
      <c r="CN10" s="102" t="s">
        <v>46</v>
      </c>
      <c r="CO10" s="102" t="s">
        <v>47</v>
      </c>
      <c r="CP10" s="102" t="s">
        <v>48</v>
      </c>
      <c r="CQ10" s="102" t="s">
        <v>49</v>
      </c>
      <c r="CR10" s="102" t="s">
        <v>50</v>
      </c>
    </row>
    <row r="11" spans="1:96" s="7" customFormat="1" ht="81" customHeight="1" x14ac:dyDescent="0.25">
      <c r="A11" s="75">
        <v>1</v>
      </c>
      <c r="B11" s="91" t="s">
        <v>1361</v>
      </c>
      <c r="C11" s="241" t="s">
        <v>997</v>
      </c>
      <c r="D11" s="242" t="s">
        <v>1363</v>
      </c>
      <c r="E11" s="239" t="s">
        <v>233</v>
      </c>
      <c r="F11" s="240">
        <v>1</v>
      </c>
      <c r="G11" s="238" t="s">
        <v>335</v>
      </c>
      <c r="H11" s="250" t="s">
        <v>988</v>
      </c>
      <c r="I11" s="251">
        <v>302522</v>
      </c>
      <c r="J11" s="237">
        <f>I11*19%</f>
        <v>57479.18</v>
      </c>
      <c r="K11" s="237">
        <f>I11+J11</f>
        <v>360001.18</v>
      </c>
      <c r="L11" s="129">
        <f>IF(B11="","",(I11*F11))</f>
        <v>302522</v>
      </c>
      <c r="M11" s="129">
        <f t="shared" ref="M11:M12" si="0">IF(B11="","",(K11*F11))</f>
        <v>360001.18</v>
      </c>
      <c r="N11" s="90" t="str">
        <f>IF(C11="","",VLOOKUP(C11,listaBolsa!$D$2:$AZ$1276,23,0))</f>
        <v>JAC URBANIZACION EL LAGUITO DE SUBA</v>
      </c>
      <c r="O11" s="130">
        <f>IF(C11="","",VLOOKUP(C11,listaBolsa!$D$2:$AZ$1276,27,0))</f>
        <v>252101</v>
      </c>
      <c r="P11" s="131">
        <f t="shared" ref="P11" si="1">O11*19%</f>
        <v>47899.19</v>
      </c>
      <c r="Q11" s="131">
        <f t="shared" ref="Q11:Q13" si="2">O11+P11</f>
        <v>300000.19</v>
      </c>
      <c r="R11" s="131">
        <f t="shared" ref="R11:R13" si="3">IF(B11="","",(O11*F11))</f>
        <v>252101</v>
      </c>
      <c r="S11" s="131">
        <f t="shared" ref="S11:S13" si="4">IF(B11="","",(Q11*F11))</f>
        <v>300000.19</v>
      </c>
      <c r="T11" s="83">
        <f>IF(C11="","",VLOOKUP(C11,listaBolsa!$D$2:$BB$1276,36,0))</f>
        <v>0</v>
      </c>
      <c r="U11" s="132">
        <f>IF(C11="","",VLOOKUP(C11,listaBolsa!$D$2:$BB$1276,40,0))</f>
        <v>0</v>
      </c>
      <c r="V11" s="133">
        <f t="shared" ref="V11:V13" si="5">U11*19%</f>
        <v>0</v>
      </c>
      <c r="W11" s="133">
        <f t="shared" ref="W11:W13" si="6">U11+V11</f>
        <v>0</v>
      </c>
      <c r="X11" s="133">
        <f t="shared" ref="X11:X13" si="7">IF(B11="","",(U11*F11))</f>
        <v>0</v>
      </c>
      <c r="Y11" s="133">
        <f t="shared" ref="Y11:Y13" si="8">IF(B11="","",(W11*F11))</f>
        <v>0</v>
      </c>
      <c r="Z11" s="134">
        <f>IF(A11="","",ROUND(AVERAGE(K11,Q11),0))</f>
        <v>330001</v>
      </c>
      <c r="AA11" s="134">
        <f t="shared" ref="AA11:AA15" si="9">IF(B11="","",Z11*F11)</f>
        <v>330001</v>
      </c>
      <c r="AB11" s="135">
        <f>IF(B11="","",ROUND(STDEV(M11,S11),0))</f>
        <v>42427</v>
      </c>
      <c r="AC11" s="85">
        <f t="shared" ref="AC11:AC15" si="10">IF(B11="","",(AB11/AA11))</f>
        <v>0.12856627707188767</v>
      </c>
      <c r="AD11" s="234" t="s">
        <v>1364</v>
      </c>
      <c r="AF11" s="7">
        <f>IF(C11="","",VLOOKUP(C11,listaBolsa!$D$2:$BB$276,51,0))</f>
        <v>0</v>
      </c>
      <c r="BG11" s="7">
        <v>1</v>
      </c>
      <c r="CA11" s="7" t="str">
        <f>VLOOKUP(C11,listaBolsa!$D$2:$BA$1248,1,0)</f>
        <v>Salón - Espacio Apto para 50 personas  (media jornada más equipos audiovisuales)</v>
      </c>
      <c r="CB11" s="7" t="str">
        <f>VLOOKUP(C11,listaBolsa!$D$2:$BA$1248,2,0)</f>
        <v>Espacio físico para 50 personas con baño, sillas y mesas, ubicado en la localidad de Suba, con disponibilidad de espacio exterior para desarrollo de actividades_x000D_
Dotado con equipo de computo, video beam y sonido_x000D_
Jornada de 4 horas</v>
      </c>
      <c r="CC11" s="7" t="str">
        <f>VLOOKUP(C11,listaBolsa!$D$2:$BA$1248,10,0)</f>
        <v xml:space="preserve">JAC PRADO PINZON </v>
      </c>
      <c r="CD11" s="7">
        <f>VLOOKUP(C11,listaBolsa!$D$2:$BA$1248,14,0)</f>
        <v>302522</v>
      </c>
      <c r="CE11" s="7" t="str">
        <f>VLOOKUP(C11,listaBolsa!$D$2:$BA$1248,23,0)</f>
        <v>JAC URBANIZACION EL LAGUITO DE SUBA</v>
      </c>
      <c r="CF11" s="7">
        <f>VLOOKUP(C11,listaBolsa!$D$2:$BA$1248,29,0)</f>
        <v>300000.19</v>
      </c>
      <c r="CG11" s="7">
        <f>VLOOKUP(C11,listaBolsa!$D$2:$BA$1248,36,0)</f>
        <v>0</v>
      </c>
      <c r="CH11" s="7">
        <f>VLOOKUP(C11,listaBolsa!$D$2:$BA$1248,40,0)</f>
        <v>0</v>
      </c>
      <c r="CI11" s="7">
        <f>VLOOKUP(C11,listaBolsa!$D$2:$BA$1248,48,0)</f>
        <v>0.12856627707188767</v>
      </c>
      <c r="CJ11" s="7" t="b">
        <f t="shared" ref="CJ11:CJ42" si="11">CA11=C11</f>
        <v>1</v>
      </c>
      <c r="CK11" s="7" t="b">
        <f t="shared" ref="CK11:CK42" si="12">CB11=D11</f>
        <v>0</v>
      </c>
      <c r="CL11" s="7" t="b">
        <f t="shared" ref="CL11:CL42" si="13">CC11=H11</f>
        <v>1</v>
      </c>
      <c r="CM11" s="7" t="b">
        <f t="shared" ref="CM11:CM42" si="14">CD11=I11</f>
        <v>1</v>
      </c>
      <c r="CN11" s="7" t="b">
        <f t="shared" ref="CN11:CN42" si="15">CE11=N11</f>
        <v>1</v>
      </c>
      <c r="CO11" s="7" t="b">
        <f t="shared" ref="CO11:CO42" si="16">CF11=O11</f>
        <v>0</v>
      </c>
      <c r="CP11" s="7" t="b">
        <f t="shared" ref="CP11:CP42" si="17">CG11=T11</f>
        <v>1</v>
      </c>
      <c r="CQ11" s="7" t="b">
        <f t="shared" ref="CQ11:CQ42" si="18">CH11=U11</f>
        <v>1</v>
      </c>
      <c r="CR11" s="7" t="b">
        <f t="shared" ref="CR11:CR42" si="19">CI11=AC11</f>
        <v>1</v>
      </c>
    </row>
    <row r="12" spans="1:96" s="7" customFormat="1" ht="242.25" customHeight="1" x14ac:dyDescent="0.25">
      <c r="A12" s="75">
        <v>2</v>
      </c>
      <c r="B12" s="91" t="s">
        <v>1361</v>
      </c>
      <c r="C12" s="82" t="s">
        <v>969</v>
      </c>
      <c r="D12" s="75" t="str">
        <f>IF(C12="","",VLOOKUP(C12,listaBolsa!$D$2:$H$1118,2,0))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2" s="91" t="s">
        <v>233</v>
      </c>
      <c r="F12" s="92">
        <v>50</v>
      </c>
      <c r="G12" s="249" t="s">
        <v>51</v>
      </c>
      <c r="H12" s="250" t="s">
        <v>319</v>
      </c>
      <c r="I12" s="252">
        <v>11700</v>
      </c>
      <c r="J12" s="237">
        <f>I12*8%</f>
        <v>936</v>
      </c>
      <c r="K12" s="237">
        <f t="shared" ref="K12" si="20">I12+J12</f>
        <v>12636</v>
      </c>
      <c r="L12" s="129">
        <f t="shared" ref="L12:L13" si="21">IF(B12="","",(I12*F12))</f>
        <v>585000</v>
      </c>
      <c r="M12" s="129">
        <f t="shared" si="0"/>
        <v>631800</v>
      </c>
      <c r="N12" s="246" t="s">
        <v>972</v>
      </c>
      <c r="O12" s="247">
        <v>8570</v>
      </c>
      <c r="P12" s="248">
        <f>O12*8%</f>
        <v>685.6</v>
      </c>
      <c r="Q12" s="248">
        <f t="shared" si="2"/>
        <v>9255.6</v>
      </c>
      <c r="R12" s="131">
        <f t="shared" si="3"/>
        <v>428500</v>
      </c>
      <c r="S12" s="131">
        <f t="shared" si="4"/>
        <v>462780</v>
      </c>
      <c r="T12" s="243" t="s">
        <v>304</v>
      </c>
      <c r="U12" s="244">
        <v>12843.4</v>
      </c>
      <c r="V12" s="245">
        <f>U12*8%</f>
        <v>1027.472</v>
      </c>
      <c r="W12" s="245">
        <f t="shared" si="6"/>
        <v>13870.871999999999</v>
      </c>
      <c r="X12" s="133">
        <f t="shared" si="7"/>
        <v>642170</v>
      </c>
      <c r="Y12" s="133">
        <f t="shared" si="8"/>
        <v>693543.6</v>
      </c>
      <c r="Z12" s="134">
        <f t="shared" ref="Z12:Z15" si="22">IF(A12="","",ROUND(AVERAGE(K12,Q12,W12),0))</f>
        <v>11921</v>
      </c>
      <c r="AA12" s="134">
        <f t="shared" si="9"/>
        <v>596050</v>
      </c>
      <c r="AB12" s="135">
        <f>IF(B12="","",ROUND(STDEV(M12,S12,Y12),0))</f>
        <v>119465</v>
      </c>
      <c r="AC12" s="85">
        <f t="shared" si="10"/>
        <v>0.20042781645835081</v>
      </c>
      <c r="AD12" s="234" t="s">
        <v>1365</v>
      </c>
      <c r="AF12" s="7">
        <f>IF(C12="","",VLOOKUP(C12,listaBolsa!$D$2:$BB$276,51,0))</f>
        <v>0</v>
      </c>
      <c r="BG12" s="7">
        <v>2</v>
      </c>
      <c r="CA12" s="7" t="str">
        <f>VLOOKUP(C12,listaBolsa!$D$2:$BA$1248,1,0)</f>
        <v>Refrigerio Tipo 1</v>
      </c>
      <c r="CB12" s="7" t="str">
        <f>VLOOKUP(C12,listaBolsa!$D$2:$BA$1248,2,0)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12" s="7" t="str">
        <f>VLOOKUP(C12,listaBolsa!$D$2:$BA$1248,10,0)</f>
        <v>INVERSIONES BECORATI E Y O SAS</v>
      </c>
      <c r="CD12" s="7">
        <f>VLOOKUP(C12,listaBolsa!$D$2:$BA$1248,14,0)</f>
        <v>11700</v>
      </c>
      <c r="CE12" s="7" t="str">
        <f>VLOOKUP(C12,listaBolsa!$D$2:$BA$1248,23,0)</f>
        <v>ENTERPRISE INVESTMENT DEVELOPMENT S.A.S.</v>
      </c>
      <c r="CF12" s="7">
        <f>VLOOKUP(C12,listaBolsa!$D$2:$BA$1248,29,0)</f>
        <v>9255.6</v>
      </c>
      <c r="CG12" s="7" t="str">
        <f>VLOOKUP(C12,listaBolsa!$D$2:$BA$1248,36,0)</f>
        <v>Estimación de precios con base en el proceso FDLSUBA-LP-013-2025 (140689) – Contrato 1000 – 2025, indexando el incremento de precios en el mercado con base en el Índice de Precios al Consumidor (IPC) para el mes de marzo de 2026, el cual fue de 5,56%.</v>
      </c>
      <c r="CH12" s="7">
        <f>VLOOKUP(C12,listaBolsa!$D$2:$BA$1248,40,0)</f>
        <v>12843.518518518518</v>
      </c>
      <c r="CI12" s="7">
        <f>VLOOKUP(C12,listaBolsa!$D$2:$BA$1248,48,0)</f>
        <v>0.20040265078433017</v>
      </c>
      <c r="CJ12" s="7" t="b">
        <f t="shared" si="11"/>
        <v>1</v>
      </c>
      <c r="CK12" s="7" t="b">
        <f t="shared" si="12"/>
        <v>1</v>
      </c>
      <c r="CL12" s="7" t="b">
        <f t="shared" si="13"/>
        <v>1</v>
      </c>
      <c r="CM12" s="7" t="b">
        <f t="shared" si="14"/>
        <v>1</v>
      </c>
      <c r="CN12" s="7" t="b">
        <f t="shared" si="15"/>
        <v>1</v>
      </c>
      <c r="CO12" s="7" t="b">
        <f t="shared" si="16"/>
        <v>0</v>
      </c>
      <c r="CP12" s="7" t="b">
        <f t="shared" si="17"/>
        <v>1</v>
      </c>
      <c r="CQ12" s="7" t="b">
        <f t="shared" si="18"/>
        <v>0</v>
      </c>
      <c r="CR12" s="7" t="b">
        <f t="shared" si="19"/>
        <v>0</v>
      </c>
    </row>
    <row r="13" spans="1:96" s="7" customFormat="1" ht="169.5" customHeight="1" x14ac:dyDescent="0.25">
      <c r="A13" s="75">
        <v>3</v>
      </c>
      <c r="B13" s="236" t="s">
        <v>1361</v>
      </c>
      <c r="C13" s="82" t="s">
        <v>717</v>
      </c>
      <c r="D13" s="75" t="str">
        <f>IF(C13="","",VLOOKUP(C13,listaBolsa!$D$2:$H$1118,2,0))</f>
        <v>Servicio de cafetería para 50 personas (tinto, aromática y agua): Operario + presentación mesa + vasos de cartón bebida caliente 4 oz. + mezclador + azúcar + crema para café). Incluye galletas tipo avena o integrales. Duración del evento aprox. 6 horas. Transporte incluido.</v>
      </c>
      <c r="E13" s="91" t="s">
        <v>302</v>
      </c>
      <c r="F13" s="92">
        <v>1</v>
      </c>
      <c r="G13" s="235" t="s">
        <v>1163</v>
      </c>
      <c r="H13" s="89" t="str">
        <f>IF(C13="","",VLOOKUP(C13,listaBolsa!$D$2:$W$1118,10,0))</f>
        <v>D&amp;R PRODUCCIONES SAS</v>
      </c>
      <c r="I13" s="128">
        <f>IF(C13="","",VLOOKUP(C13,listaBolsa!$D$2:$W$1118,14,0))</f>
        <v>641250</v>
      </c>
      <c r="J13" s="129">
        <f>I13*8%</f>
        <v>51300</v>
      </c>
      <c r="K13" s="129">
        <f t="shared" ref="K13" si="23">I13+J13</f>
        <v>692550</v>
      </c>
      <c r="L13" s="129">
        <f t="shared" si="21"/>
        <v>641250</v>
      </c>
      <c r="M13" s="129">
        <f>IF(B13="","",(K13*F13))</f>
        <v>692550</v>
      </c>
      <c r="N13" s="90" t="str">
        <f>IF(C13="","",VLOOKUP(C13,listaBolsa!$D$2:$AZ$1276,23,0))</f>
        <v>LOGISTBOX L&amp;L SAS</v>
      </c>
      <c r="O13" s="130">
        <v>544444.43999999994</v>
      </c>
      <c r="P13" s="131">
        <f>O13*8%</f>
        <v>43555.555199999995</v>
      </c>
      <c r="Q13" s="248">
        <f t="shared" si="2"/>
        <v>587999.99519999989</v>
      </c>
      <c r="R13" s="131">
        <f t="shared" si="3"/>
        <v>544444.43999999994</v>
      </c>
      <c r="S13" s="131">
        <f t="shared" si="4"/>
        <v>587999.99519999989</v>
      </c>
      <c r="T13" s="83">
        <f>IF(C13="","",VLOOKUP(C13,listaBolsa!$D$2:$BB$1276,36,0))</f>
        <v>0</v>
      </c>
      <c r="U13" s="132">
        <f>IF(C13="","",VLOOKUP(C13,listaBolsa!$D$2:$BB$1276,40,0))</f>
        <v>0</v>
      </c>
      <c r="V13" s="133">
        <f t="shared" si="5"/>
        <v>0</v>
      </c>
      <c r="W13" s="133">
        <f t="shared" si="6"/>
        <v>0</v>
      </c>
      <c r="X13" s="133">
        <f t="shared" si="7"/>
        <v>0</v>
      </c>
      <c r="Y13" s="133">
        <f t="shared" si="8"/>
        <v>0</v>
      </c>
      <c r="Z13" s="134">
        <f>IF(A13="","",ROUND(AVERAGE(K13,Q13),0))</f>
        <v>640275</v>
      </c>
      <c r="AA13" s="134">
        <f t="shared" si="9"/>
        <v>640275</v>
      </c>
      <c r="AB13" s="135">
        <f>IF(B13="","",ROUND(STDEV(M13,S13),0))</f>
        <v>73928</v>
      </c>
      <c r="AC13" s="85">
        <f t="shared" si="10"/>
        <v>0.11546288704072469</v>
      </c>
      <c r="AD13" s="234" t="s">
        <v>1389</v>
      </c>
      <c r="AF13" s="7" t="str">
        <f>IF(C13="","",VLOOKUP(C13,listaBolsa!$D$2:$BB$276,51,0))</f>
        <v>Tercer ítem sin IVA</v>
      </c>
      <c r="BG13" s="7">
        <v>3</v>
      </c>
      <c r="CA13" s="7" t="str">
        <f>VLOOKUP(C13,listaBolsa!$D$2:$BA$1248,1,0)</f>
        <v>Estación de café tipo 3</v>
      </c>
      <c r="CB13" s="7" t="str">
        <f>VLOOKUP(C13,listaBolsa!$D$2:$BA$1248,2,0)</f>
        <v>Servicio de cafetería para 50 personas (tinto, aromática y agua): Operario + presentación mesa + vasos de cartón bebida caliente 4 oz. + mezclador + azúcar + crema para café). Incluye galletas tipo avena o integrales. Duración del evento aprox. 6 horas. Transporte incluido.</v>
      </c>
      <c r="CC13" s="7" t="str">
        <f>VLOOKUP(C13,listaBolsa!$D$2:$BA$1248,10,0)</f>
        <v>D&amp;R PRODUCCIONES SAS</v>
      </c>
      <c r="CD13" s="7">
        <f>VLOOKUP(C13,listaBolsa!$D$2:$BA$1248,14,0)</f>
        <v>641250</v>
      </c>
      <c r="CE13" s="7" t="str">
        <f>VLOOKUP(C13,listaBolsa!$D$2:$BA$1248,23,0)</f>
        <v>LOGISTBOX L&amp;L SAS</v>
      </c>
      <c r="CF13" s="7">
        <f>VLOOKUP(C13,listaBolsa!$D$2:$BA$1248,29,0)</f>
        <v>587999.99999999988</v>
      </c>
      <c r="CG13" s="7">
        <f>VLOOKUP(C13,listaBolsa!$D$2:$BA$1248,36,0)</f>
        <v>0</v>
      </c>
      <c r="CH13" s="7">
        <f>VLOOKUP(C13,listaBolsa!$D$2:$BA$1248,40,0)</f>
        <v>0</v>
      </c>
      <c r="CI13" s="7">
        <f>VLOOKUP(C13,listaBolsa!$D$2:$BA$1248,48,0)</f>
        <v>0.8746421459529109</v>
      </c>
      <c r="CJ13" s="7" t="b">
        <f t="shared" si="11"/>
        <v>1</v>
      </c>
      <c r="CK13" s="7" t="b">
        <f t="shared" si="12"/>
        <v>1</v>
      </c>
      <c r="CL13" s="7" t="b">
        <f t="shared" si="13"/>
        <v>1</v>
      </c>
      <c r="CM13" s="7" t="b">
        <f t="shared" si="14"/>
        <v>1</v>
      </c>
      <c r="CN13" s="7" t="b">
        <f t="shared" si="15"/>
        <v>1</v>
      </c>
      <c r="CO13" s="7" t="b">
        <f t="shared" si="16"/>
        <v>0</v>
      </c>
      <c r="CP13" s="7" t="b">
        <f t="shared" si="17"/>
        <v>1</v>
      </c>
      <c r="CQ13" s="7" t="b">
        <f t="shared" si="18"/>
        <v>1</v>
      </c>
      <c r="CR13" s="7" t="b">
        <f t="shared" si="19"/>
        <v>0</v>
      </c>
    </row>
    <row r="14" spans="1:96" s="7" customFormat="1" ht="140.25" customHeight="1" x14ac:dyDescent="0.25">
      <c r="A14" s="75">
        <v>4</v>
      </c>
      <c r="B14" s="236" t="s">
        <v>1382</v>
      </c>
      <c r="C14" s="82" t="s">
        <v>1383</v>
      </c>
      <c r="D14" s="75" t="s">
        <v>1384</v>
      </c>
      <c r="E14" s="91" t="s">
        <v>233</v>
      </c>
      <c r="F14" s="92">
        <v>1</v>
      </c>
      <c r="G14" s="235" t="s">
        <v>1163</v>
      </c>
      <c r="H14" s="89" t="s">
        <v>1385</v>
      </c>
      <c r="I14" s="128"/>
      <c r="J14" s="129"/>
      <c r="K14" s="129"/>
      <c r="L14" s="129"/>
      <c r="M14" s="129"/>
      <c r="N14" s="90" t="s">
        <v>1385</v>
      </c>
      <c r="O14" s="130"/>
      <c r="P14" s="131"/>
      <c r="Q14" s="131"/>
      <c r="R14" s="131"/>
      <c r="S14" s="131"/>
      <c r="T14" s="83" t="s">
        <v>1385</v>
      </c>
      <c r="U14" s="132"/>
      <c r="V14" s="133"/>
      <c r="W14" s="133"/>
      <c r="X14" s="133"/>
      <c r="Y14" s="133"/>
      <c r="Z14" s="134"/>
      <c r="AA14" s="134">
        <f>12000000*25</f>
        <v>300000000</v>
      </c>
      <c r="AB14" s="135"/>
      <c r="AC14" s="85"/>
      <c r="AD14" s="234" t="s">
        <v>1386</v>
      </c>
    </row>
    <row r="15" spans="1:96" s="7" customFormat="1" ht="118.5" customHeight="1" x14ac:dyDescent="0.25">
      <c r="A15" s="75">
        <v>4</v>
      </c>
      <c r="B15" s="254" t="s">
        <v>1362</v>
      </c>
      <c r="C15" s="75" t="s">
        <v>636</v>
      </c>
      <c r="D15" s="75" t="str">
        <f>IF(C15="","",VLOOKUP(C15,listaBolsa!$D$2:$H$1118,2,0))</f>
        <v xml:space="preserve">Impresión a media carta 4 tintas en papel _x000D_
propalcote o kimberly 200 gr, tamaño 22x28 cm con nombres individuales o espacio para el mismo, refilados._x000D_
</v>
      </c>
      <c r="E15" s="254" t="s">
        <v>233</v>
      </c>
      <c r="F15" s="92">
        <v>25</v>
      </c>
      <c r="G15" s="255" t="s">
        <v>51</v>
      </c>
      <c r="H15" s="89" t="str">
        <f>IF(C15="","",VLOOKUP(C15,listaBolsa!$D$2:$W$1118,10,0))</f>
        <v>GUERRA EDITORES</v>
      </c>
      <c r="I15" s="128">
        <f>IF(C15="","",VLOOKUP(C15,listaBolsa!$D$2:$W$1118,14,0))</f>
        <v>2200</v>
      </c>
      <c r="J15" s="129">
        <f t="shared" ref="J15:J33" si="24">I15*19%</f>
        <v>418</v>
      </c>
      <c r="K15" s="129">
        <f t="shared" ref="K15:K33" si="25">I15+J15</f>
        <v>2618</v>
      </c>
      <c r="L15" s="129">
        <f t="shared" ref="L15:L75" si="26">IF(B15="","",(I15*F15))</f>
        <v>55000</v>
      </c>
      <c r="M15" s="129">
        <f t="shared" ref="M15:M75" si="27">IF(B15="","",(K15*F15))</f>
        <v>65450</v>
      </c>
      <c r="N15" s="90" t="str">
        <f>IF(C15="","",VLOOKUP(C15,listaBolsa!$D$2:$AZ$1276,23,0))</f>
        <v>SG DIGITAL S.A.S</v>
      </c>
      <c r="O15" s="130">
        <f>IF(C15="","",VLOOKUP(C15,listaBolsa!$D$2:$AZ$1276,27,0))</f>
        <v>2689.0756302521008</v>
      </c>
      <c r="P15" s="131">
        <f t="shared" ref="P15:P75" si="28">O15*19%</f>
        <v>510.92436974789916</v>
      </c>
      <c r="Q15" s="131">
        <f t="shared" ref="Q15:Q75" si="29">O15+P15</f>
        <v>3200</v>
      </c>
      <c r="R15" s="131">
        <f t="shared" ref="R15:R75" si="30">IF(B15="","",(O15*F15))</f>
        <v>67226.890756302528</v>
      </c>
      <c r="S15" s="131">
        <f t="shared" ref="S15:S75" si="31">IF(B15="","",(Q15*F15))</f>
        <v>80000</v>
      </c>
      <c r="T15" s="83" t="str">
        <f>IF(C15="","",VLOOKUP(C15,listaBolsa!$D$2:$BB$1276,36,0))</f>
        <v>JEGAR PUBLICIDAD MISIONES</v>
      </c>
      <c r="U15" s="132">
        <f>IF(C15="","",VLOOKUP(C15,listaBolsa!$D$2:$BB$1276,40,0))</f>
        <v>3800</v>
      </c>
      <c r="V15" s="133">
        <f t="shared" ref="V15:V75" si="32">U15*19%</f>
        <v>722</v>
      </c>
      <c r="W15" s="133">
        <f t="shared" ref="W15:W75" si="33">U15+V15</f>
        <v>4522</v>
      </c>
      <c r="X15" s="133">
        <f t="shared" ref="X15:X75" si="34">IF(B15="","",(U15*F15))</f>
        <v>95000</v>
      </c>
      <c r="Y15" s="133">
        <f t="shared" ref="Y15:Y75" si="35">IF(B15="","",(W15*F15))</f>
        <v>113050</v>
      </c>
      <c r="Z15" s="134">
        <f t="shared" si="22"/>
        <v>3447</v>
      </c>
      <c r="AA15" s="134">
        <f t="shared" si="9"/>
        <v>86175</v>
      </c>
      <c r="AB15" s="135">
        <f t="shared" ref="AB15" si="36">IF(B15="","",ROUND(STDEV(M15,S15,Y15),0))</f>
        <v>24392</v>
      </c>
      <c r="AC15" s="85">
        <f t="shared" si="10"/>
        <v>0.28305192921380912</v>
      </c>
      <c r="AD15" s="234" t="s">
        <v>1390</v>
      </c>
      <c r="AF15" s="7" t="str">
        <f>IF(C15="","",VLOOKUP(C15,listaBolsa!$D$2:$BB$276,51,0))</f>
        <v>Tercer ítem sin IVA</v>
      </c>
      <c r="BG15" s="7">
        <v>6</v>
      </c>
      <c r="CA15" s="7" t="str">
        <f>VLOOKUP(C15,listaBolsa!$D$2:$BA$1248,1,0)</f>
        <v>Certificado de participación</v>
      </c>
      <c r="CB15" s="7" t="str">
        <f>VLOOKUP(C15,listaBolsa!$D$2:$BA$1248,2,0)</f>
        <v xml:space="preserve">Impresión a media carta 4 tintas en papel _x000D_
propalcote o kimberly 200 gr, tamaño 22x28 cm con nombres individuales o espacio para el mismo, refilados._x000D_
</v>
      </c>
      <c r="CC15" s="7" t="str">
        <f>VLOOKUP(C15,listaBolsa!$D$2:$BA$1248,10,0)</f>
        <v>GUERRA EDITORES</v>
      </c>
      <c r="CD15" s="7">
        <f>VLOOKUP(C15,listaBolsa!$D$2:$BA$1248,14,0)</f>
        <v>2200</v>
      </c>
      <c r="CE15" s="7" t="str">
        <f>VLOOKUP(C15,listaBolsa!$D$2:$BA$1248,23,0)</f>
        <v>SG DIGITAL S.A.S</v>
      </c>
      <c r="CF15" s="7">
        <f>VLOOKUP(C15,listaBolsa!$D$2:$BA$1248,29,0)</f>
        <v>3200</v>
      </c>
      <c r="CG15" s="7" t="str">
        <f>VLOOKUP(C15,listaBolsa!$D$2:$BA$1248,36,0)</f>
        <v>JEGAR PUBLICIDAD MISIONES</v>
      </c>
      <c r="CH15" s="7">
        <f>VLOOKUP(C15,listaBolsa!$D$2:$BA$1248,40,0)</f>
        <v>3800</v>
      </c>
      <c r="CI15" s="7">
        <f>VLOOKUP(C15,listaBolsa!$D$2:$BA$1248,48,0)</f>
        <v>0.1843418590143481</v>
      </c>
      <c r="CJ15" s="7" t="b">
        <f t="shared" si="11"/>
        <v>1</v>
      </c>
      <c r="CK15" s="7" t="b">
        <f t="shared" si="12"/>
        <v>1</v>
      </c>
      <c r="CL15" s="7" t="b">
        <f t="shared" si="13"/>
        <v>1</v>
      </c>
      <c r="CM15" s="7" t="b">
        <f t="shared" si="14"/>
        <v>1</v>
      </c>
      <c r="CN15" s="7" t="b">
        <f t="shared" si="15"/>
        <v>1</v>
      </c>
      <c r="CO15" s="7" t="b">
        <f t="shared" si="16"/>
        <v>0</v>
      </c>
      <c r="CP15" s="7" t="b">
        <f t="shared" si="17"/>
        <v>1</v>
      </c>
      <c r="CQ15" s="7" t="b">
        <f t="shared" si="18"/>
        <v>1</v>
      </c>
      <c r="CR15" s="7" t="b">
        <f t="shared" si="19"/>
        <v>0</v>
      </c>
    </row>
    <row r="16" spans="1:96" s="7" customFormat="1" ht="105" x14ac:dyDescent="0.25">
      <c r="A16" s="75">
        <v>5</v>
      </c>
      <c r="B16" s="91" t="s">
        <v>1362</v>
      </c>
      <c r="C16" s="82" t="s">
        <v>985</v>
      </c>
      <c r="D16" s="75" t="str">
        <f>IF(C16="","",VLOOKUP(C16,listaBolsa!$D$2:$H$1118,2,0))</f>
        <v>Espacio físico para 100 personas con baño, sillas y mesas, ubicado en la localidad de Suba, con disponibilidad de espacio exterior para desarrollo de actividades_x000D_
Dotado con equipo de computo, video beam y sonido_x000D_
Jornada de 8 horas</v>
      </c>
      <c r="E16" s="91" t="s">
        <v>233</v>
      </c>
      <c r="F16" s="92">
        <v>1</v>
      </c>
      <c r="G16" s="235" t="s">
        <v>335</v>
      </c>
      <c r="H16" s="89" t="str">
        <f>IF(C16="","",VLOOKUP(C16,listaBolsa!$D$2:$W$1118,10,0))</f>
        <v xml:space="preserve">JAC PRADO PINZON </v>
      </c>
      <c r="I16" s="128">
        <f>IF(C16="","",VLOOKUP(C16,listaBolsa!$D$2:$W$1118,14,0))</f>
        <v>470589</v>
      </c>
      <c r="J16" s="129">
        <f t="shared" si="24"/>
        <v>89411.91</v>
      </c>
      <c r="K16" s="129">
        <f t="shared" si="25"/>
        <v>560000.91</v>
      </c>
      <c r="L16" s="129">
        <f t="shared" si="26"/>
        <v>470589</v>
      </c>
      <c r="M16" s="129">
        <f t="shared" si="27"/>
        <v>560000.91</v>
      </c>
      <c r="N16" s="90" t="str">
        <f>IF(C16="","",VLOOKUP(C16,listaBolsa!$D$2:$AZ$1276,23,0))</f>
        <v>JAC URBANIZACION EL LAGUITO DE SUBA</v>
      </c>
      <c r="O16" s="130">
        <f>IF(C16="","",VLOOKUP(C16,listaBolsa!$D$2:$AZ$1276,27,0))</f>
        <v>361345</v>
      </c>
      <c r="P16" s="131">
        <f t="shared" si="28"/>
        <v>68655.55</v>
      </c>
      <c r="Q16" s="131">
        <f t="shared" si="29"/>
        <v>430000.55</v>
      </c>
      <c r="R16" s="131">
        <f t="shared" si="30"/>
        <v>361345</v>
      </c>
      <c r="S16" s="131">
        <f t="shared" si="31"/>
        <v>430000.55</v>
      </c>
      <c r="T16" s="83">
        <f>IF(C16="","",VLOOKUP(C16,listaBolsa!$D$2:$BB$1276,36,0))</f>
        <v>0</v>
      </c>
      <c r="U16" s="132">
        <f>IF(C16="","",VLOOKUP(C16,listaBolsa!$D$2:$BB$1276,40,0))</f>
        <v>0</v>
      </c>
      <c r="V16" s="133">
        <f t="shared" si="32"/>
        <v>0</v>
      </c>
      <c r="W16" s="133">
        <f t="shared" si="33"/>
        <v>0</v>
      </c>
      <c r="X16" s="133">
        <f t="shared" si="34"/>
        <v>0</v>
      </c>
      <c r="Y16" s="133">
        <f t="shared" si="35"/>
        <v>0</v>
      </c>
      <c r="Z16" s="134">
        <f>IF(A16="","",ROUND(AVERAGE(K16,Q16),0))</f>
        <v>495001</v>
      </c>
      <c r="AA16" s="134">
        <f t="shared" ref="AA16:AA17" si="37">IF(B16="","",Z16*F16)</f>
        <v>495001</v>
      </c>
      <c r="AB16" s="135">
        <f>IF(B16="","",ROUND(STDEV(M16,S16),0))</f>
        <v>91924</v>
      </c>
      <c r="AC16" s="85">
        <f>IF(B16="","",(AB16/AA16))</f>
        <v>0.18570467534409021</v>
      </c>
      <c r="AD16" s="234"/>
      <c r="AF16" s="7">
        <f>IF(C16="","",VLOOKUP(C16,listaBolsa!$D$2:$BB$276,51,0))</f>
        <v>0</v>
      </c>
      <c r="BG16" s="7">
        <v>7</v>
      </c>
      <c r="CA16" s="7" t="str">
        <f>VLOOKUP(C16,listaBolsa!$D$2:$BA$1248,1,0)</f>
        <v>Salón - Espacio Apto para 100 personas   (jornada completa más equipos audiovisuales)</v>
      </c>
      <c r="CB16" s="7" t="str">
        <f>VLOOKUP(C16,listaBolsa!$D$2:$BA$1248,2,0)</f>
        <v>Espacio físico para 100 personas con baño, sillas y mesas, ubicado en la localidad de Suba, con disponibilidad de espacio exterior para desarrollo de actividades_x000D_
Dotado con equipo de computo, video beam y sonido_x000D_
Jornada de 8 horas</v>
      </c>
      <c r="CC16" s="7" t="str">
        <f>VLOOKUP(C16,listaBolsa!$D$2:$BA$1248,10,0)</f>
        <v xml:space="preserve">JAC PRADO PINZON </v>
      </c>
      <c r="CD16" s="7">
        <f>VLOOKUP(C16,listaBolsa!$D$2:$BA$1248,14,0)</f>
        <v>470589</v>
      </c>
      <c r="CE16" s="7" t="str">
        <f>VLOOKUP(C16,listaBolsa!$D$2:$BA$1248,23,0)</f>
        <v>JAC URBANIZACION EL LAGUITO DE SUBA</v>
      </c>
      <c r="CF16" s="7">
        <f>VLOOKUP(C16,listaBolsa!$D$2:$BA$1248,29,0)</f>
        <v>430000.55</v>
      </c>
      <c r="CG16" s="7">
        <f>VLOOKUP(C16,listaBolsa!$D$2:$BA$1248,36,0)</f>
        <v>0</v>
      </c>
      <c r="CH16" s="7">
        <f>VLOOKUP(C16,listaBolsa!$D$2:$BA$1248,40,0)</f>
        <v>0</v>
      </c>
      <c r="CI16" s="7">
        <f>VLOOKUP(C16,listaBolsa!$D$2:$BA$1248,48,0)</f>
        <v>0.18570467534409021</v>
      </c>
      <c r="CJ16" s="7" t="b">
        <f t="shared" si="11"/>
        <v>1</v>
      </c>
      <c r="CK16" s="7" t="b">
        <f t="shared" si="12"/>
        <v>1</v>
      </c>
      <c r="CL16" s="7" t="b">
        <f t="shared" si="13"/>
        <v>1</v>
      </c>
      <c r="CM16" s="7" t="b">
        <f t="shared" si="14"/>
        <v>1</v>
      </c>
      <c r="CN16" s="7" t="b">
        <f t="shared" si="15"/>
        <v>1</v>
      </c>
      <c r="CO16" s="7" t="b">
        <f t="shared" si="16"/>
        <v>0</v>
      </c>
      <c r="CP16" s="7" t="b">
        <f t="shared" si="17"/>
        <v>1</v>
      </c>
      <c r="CQ16" s="7" t="b">
        <f t="shared" si="18"/>
        <v>1</v>
      </c>
      <c r="CR16" s="7" t="b">
        <f t="shared" si="19"/>
        <v>1</v>
      </c>
    </row>
    <row r="17" spans="1:96" s="7" customFormat="1" ht="236.65" customHeight="1" x14ac:dyDescent="0.25">
      <c r="A17" s="75">
        <v>6</v>
      </c>
      <c r="B17" s="91" t="s">
        <v>1362</v>
      </c>
      <c r="C17" s="82" t="s">
        <v>969</v>
      </c>
      <c r="D17" s="75" t="str">
        <f>IF(C17="","",VLOOKUP(C17,listaBolsa!$D$2:$H$1118,2,0))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7" s="91" t="s">
        <v>233</v>
      </c>
      <c r="F17" s="92">
        <v>100</v>
      </c>
      <c r="G17" s="235" t="s">
        <v>51</v>
      </c>
      <c r="H17" s="250" t="s">
        <v>319</v>
      </c>
      <c r="I17" s="252">
        <v>11700</v>
      </c>
      <c r="J17" s="237">
        <f>I17*8%</f>
        <v>936</v>
      </c>
      <c r="K17" s="237">
        <f t="shared" ref="K17" si="38">I17+J17</f>
        <v>12636</v>
      </c>
      <c r="L17" s="129">
        <f t="shared" ref="L17" si="39">IF(B17="","",(I17*F17))</f>
        <v>1170000</v>
      </c>
      <c r="M17" s="129">
        <f t="shared" ref="M17" si="40">IF(B17="","",(K17*F17))</f>
        <v>1263600</v>
      </c>
      <c r="N17" s="246" t="s">
        <v>972</v>
      </c>
      <c r="O17" s="247">
        <v>8570</v>
      </c>
      <c r="P17" s="248">
        <f>O17*8%</f>
        <v>685.6</v>
      </c>
      <c r="Q17" s="248">
        <f t="shared" ref="Q17" si="41">O17+P17</f>
        <v>9255.6</v>
      </c>
      <c r="R17" s="131">
        <f t="shared" ref="R17" si="42">IF(B17="","",(O17*F17))</f>
        <v>857000</v>
      </c>
      <c r="S17" s="131">
        <f t="shared" ref="S17" si="43">IF(B17="","",(Q17*F17))</f>
        <v>925560</v>
      </c>
      <c r="T17" s="243" t="s">
        <v>304</v>
      </c>
      <c r="U17" s="244">
        <v>12843.4</v>
      </c>
      <c r="V17" s="245">
        <f>U17*8%</f>
        <v>1027.472</v>
      </c>
      <c r="W17" s="245">
        <f t="shared" ref="W17" si="44">U17+V17</f>
        <v>13870.871999999999</v>
      </c>
      <c r="X17" s="133">
        <f t="shared" ref="X17" si="45">IF(B17="","",(U17*F17))</f>
        <v>1284340</v>
      </c>
      <c r="Y17" s="133">
        <f t="shared" ref="Y17" si="46">IF(B17="","",(W17*F17))</f>
        <v>1387087.2</v>
      </c>
      <c r="Z17" s="134">
        <f t="shared" ref="Z17" si="47">IF(A17="","",ROUND(AVERAGE(K17,Q17,W17),0))</f>
        <v>11921</v>
      </c>
      <c r="AA17" s="134">
        <f t="shared" si="37"/>
        <v>1192100</v>
      </c>
      <c r="AB17" s="135">
        <f t="shared" ref="AB17" si="48">IF(B17="","",ROUND(STDEV(M17,S17,Y17),0))</f>
        <v>238931</v>
      </c>
      <c r="AC17" s="85">
        <f t="shared" ref="AC17" si="49">IF(B17="","",(AB17/AA17))</f>
        <v>0.20042865531415149</v>
      </c>
      <c r="AD17" s="234" t="s">
        <v>1365</v>
      </c>
    </row>
    <row r="18" spans="1:96" s="7" customFormat="1" ht="105" x14ac:dyDescent="0.25">
      <c r="A18" s="75">
        <v>7</v>
      </c>
      <c r="B18" s="91" t="s">
        <v>1387</v>
      </c>
      <c r="C18" s="82" t="s">
        <v>1383</v>
      </c>
      <c r="D18" s="75" t="s">
        <v>1388</v>
      </c>
      <c r="E18" s="91" t="s">
        <v>233</v>
      </c>
      <c r="F18" s="92">
        <v>1</v>
      </c>
      <c r="G18" s="235" t="s">
        <v>51</v>
      </c>
      <c r="H18" s="89" t="s">
        <v>1385</v>
      </c>
      <c r="I18" s="128"/>
      <c r="J18" s="129"/>
      <c r="K18" s="129"/>
      <c r="L18" s="129"/>
      <c r="M18" s="129"/>
      <c r="N18" s="90" t="s">
        <v>1385</v>
      </c>
      <c r="O18" s="130"/>
      <c r="P18" s="131"/>
      <c r="Q18" s="131"/>
      <c r="R18" s="131"/>
      <c r="S18" s="131"/>
      <c r="T18" s="83" t="s">
        <v>1385</v>
      </c>
      <c r="U18" s="132"/>
      <c r="V18" s="133"/>
      <c r="W18" s="133"/>
      <c r="X18" s="133"/>
      <c r="Y18" s="133"/>
      <c r="Z18" s="134"/>
      <c r="AA18" s="134">
        <f>15000000*25</f>
        <v>375000000</v>
      </c>
      <c r="AB18" s="135"/>
      <c r="AC18" s="85"/>
      <c r="AD18" s="234" t="s">
        <v>1386</v>
      </c>
      <c r="AF18" s="7" t="e">
        <f>IF(C18="","",VLOOKUP(C18,listaBolsa!$D$2:$BB$276,51,0))</f>
        <v>#N/A</v>
      </c>
      <c r="BG18" s="7">
        <v>8</v>
      </c>
      <c r="CA18" s="7" t="e">
        <f>VLOOKUP(C18,listaBolsa!$D$2:$BA$1248,1,0)</f>
        <v>#N/A</v>
      </c>
      <c r="CB18" s="7" t="e">
        <f>VLOOKUP(C18,listaBolsa!$D$2:$BA$1248,2,0)</f>
        <v>#N/A</v>
      </c>
      <c r="CC18" s="7" t="e">
        <f>VLOOKUP(C18,listaBolsa!$D$2:$BA$1248,10,0)</f>
        <v>#N/A</v>
      </c>
      <c r="CD18" s="7" t="e">
        <f>VLOOKUP(C18,listaBolsa!$D$2:$BA$1248,14,0)</f>
        <v>#N/A</v>
      </c>
      <c r="CE18" s="7" t="e">
        <f>VLOOKUP(C18,listaBolsa!$D$2:$BA$1248,23,0)</f>
        <v>#N/A</v>
      </c>
      <c r="CF18" s="7" t="e">
        <f>VLOOKUP(C18,listaBolsa!$D$2:$BA$1248,29,0)</f>
        <v>#N/A</v>
      </c>
      <c r="CG18" s="7" t="e">
        <f>VLOOKUP(C18,listaBolsa!$D$2:$BA$1248,36,0)</f>
        <v>#N/A</v>
      </c>
      <c r="CH18" s="7" t="e">
        <f>VLOOKUP(C18,listaBolsa!$D$2:$BA$1248,40,0)</f>
        <v>#N/A</v>
      </c>
      <c r="CI18" s="7" t="e">
        <f>VLOOKUP(C18,listaBolsa!$D$2:$BA$1248,48,0)</f>
        <v>#N/A</v>
      </c>
      <c r="CJ18" s="7" t="e">
        <f t="shared" si="11"/>
        <v>#N/A</v>
      </c>
      <c r="CK18" s="7" t="e">
        <f t="shared" si="12"/>
        <v>#N/A</v>
      </c>
      <c r="CL18" s="7" t="e">
        <f t="shared" si="13"/>
        <v>#N/A</v>
      </c>
      <c r="CM18" s="7" t="e">
        <f t="shared" si="14"/>
        <v>#N/A</v>
      </c>
      <c r="CN18" s="7" t="e">
        <f t="shared" si="15"/>
        <v>#N/A</v>
      </c>
      <c r="CO18" s="7" t="e">
        <f t="shared" si="16"/>
        <v>#N/A</v>
      </c>
      <c r="CP18" s="7" t="e">
        <f t="shared" si="17"/>
        <v>#N/A</v>
      </c>
      <c r="CQ18" s="7" t="e">
        <f t="shared" si="18"/>
        <v>#N/A</v>
      </c>
      <c r="CR18" s="7" t="e">
        <f t="shared" si="19"/>
        <v>#N/A</v>
      </c>
    </row>
    <row r="19" spans="1:96" s="7" customFormat="1" ht="21" hidden="1" x14ac:dyDescent="0.25">
      <c r="A19" s="75" t="str">
        <f t="shared" ref="A19:A75" si="50">IF(B19&lt;&gt;"",BG19,"")</f>
        <v/>
      </c>
      <c r="B19" s="91"/>
      <c r="C19" s="82"/>
      <c r="D19" s="75" t="str">
        <f>IF(C19="","",VLOOKUP(C19,listaBolsa!$D$2:$H$1118,2,0))</f>
        <v/>
      </c>
      <c r="E19" s="91" t="str">
        <f>IF(C19="","",VLOOKUP(C19,listaBolsa!$D$2:$H$1118,3,0))</f>
        <v/>
      </c>
      <c r="F19" s="92"/>
      <c r="G19" s="235" t="str">
        <f>IF(C19="","",VLOOKUP(C19,listaBolsa!$D$2:$H$1118,5,0))</f>
        <v/>
      </c>
      <c r="H19" s="89" t="str">
        <f>IF(C19="","",VLOOKUP(C19,listaBolsa!$D$2:$W$1118,10,0))</f>
        <v/>
      </c>
      <c r="I19" s="128" t="str">
        <f>IF(C19="","",VLOOKUP(C19,listaBolsa!$D$2:$W$1118,14,0))</f>
        <v/>
      </c>
      <c r="J19" s="129" t="e">
        <f t="shared" si="24"/>
        <v>#VALUE!</v>
      </c>
      <c r="K19" s="129" t="e">
        <f t="shared" si="25"/>
        <v>#VALUE!</v>
      </c>
      <c r="L19" s="129" t="str">
        <f t="shared" si="26"/>
        <v/>
      </c>
      <c r="M19" s="129" t="str">
        <f t="shared" si="27"/>
        <v/>
      </c>
      <c r="N19" s="90" t="str">
        <f>IF(C19="","",VLOOKUP(C19,listaBolsa!$D$2:$AZ$1276,23,0))</f>
        <v/>
      </c>
      <c r="O19" s="130" t="str">
        <f>IF(C19="","",VLOOKUP(C19,listaBolsa!$D$2:$AZ$1276,27,0))</f>
        <v/>
      </c>
      <c r="P19" s="131" t="e">
        <f t="shared" si="28"/>
        <v>#VALUE!</v>
      </c>
      <c r="Q19" s="131" t="e">
        <f t="shared" si="29"/>
        <v>#VALUE!</v>
      </c>
      <c r="R19" s="131" t="str">
        <f t="shared" si="30"/>
        <v/>
      </c>
      <c r="S19" s="131" t="str">
        <f t="shared" si="31"/>
        <v/>
      </c>
      <c r="T19" s="83" t="str">
        <f>IF(C19="","",VLOOKUP(C19,listaBolsa!$D$2:$BB$1276,36,0))</f>
        <v/>
      </c>
      <c r="U19" s="132" t="str">
        <f>IF(C19="","",VLOOKUP(C19,listaBolsa!$D$2:$BB$1276,40,0))</f>
        <v/>
      </c>
      <c r="V19" s="133" t="e">
        <f t="shared" si="32"/>
        <v>#VALUE!</v>
      </c>
      <c r="W19" s="133" t="e">
        <f t="shared" si="33"/>
        <v>#VALUE!</v>
      </c>
      <c r="X19" s="133" t="str">
        <f t="shared" si="34"/>
        <v/>
      </c>
      <c r="Y19" s="133" t="str">
        <f t="shared" si="35"/>
        <v/>
      </c>
      <c r="Z19" s="134" t="str">
        <f t="shared" ref="Z19:Z75" si="51">IF(A19="","",ROUND(AVERAGE(K19,Q19,W19),0))</f>
        <v/>
      </c>
      <c r="AA19" s="134" t="str">
        <f t="shared" ref="AA19:AA75" si="52">IF(B19="","",Z19*F19)</f>
        <v/>
      </c>
      <c r="AB19" s="135" t="str">
        <f t="shared" ref="AB19:AB75" si="53">IF(B19="","",ROUND(STDEV(M19,S19,Y19),0))</f>
        <v/>
      </c>
      <c r="AC19" s="85" t="str">
        <f t="shared" ref="AC19:AC75" si="54">IF(B19="","",(AB19/AA19))</f>
        <v/>
      </c>
      <c r="AD19" s="234"/>
      <c r="AF19" s="7" t="str">
        <f>IF(C19="","",VLOOKUP(C19,listaBolsa!$D$2:$BB$276,51,0))</f>
        <v/>
      </c>
      <c r="BG19" s="7">
        <v>9</v>
      </c>
      <c r="CA19" s="7" t="e">
        <f>VLOOKUP(C19,listaBolsa!$D$2:$BA$1248,1,0)</f>
        <v>#N/A</v>
      </c>
      <c r="CB19" s="7" t="e">
        <f>VLOOKUP(C19,listaBolsa!$D$2:$BA$1248,2,0)</f>
        <v>#N/A</v>
      </c>
      <c r="CC19" s="7" t="e">
        <f>VLOOKUP(C19,listaBolsa!$D$2:$BA$1248,10,0)</f>
        <v>#N/A</v>
      </c>
      <c r="CD19" s="7" t="e">
        <f>VLOOKUP(C19,listaBolsa!$D$2:$BA$1248,14,0)</f>
        <v>#N/A</v>
      </c>
      <c r="CE19" s="7" t="e">
        <f>VLOOKUP(C19,listaBolsa!$D$2:$BA$1248,23,0)</f>
        <v>#N/A</v>
      </c>
      <c r="CF19" s="7" t="e">
        <f>VLOOKUP(C19,listaBolsa!$D$2:$BA$1248,29,0)</f>
        <v>#N/A</v>
      </c>
      <c r="CG19" s="7" t="e">
        <f>VLOOKUP(C19,listaBolsa!$D$2:$BA$1248,36,0)</f>
        <v>#N/A</v>
      </c>
      <c r="CH19" s="7" t="e">
        <f>VLOOKUP(C19,listaBolsa!$D$2:$BA$1248,40,0)</f>
        <v>#N/A</v>
      </c>
      <c r="CI19" s="7" t="e">
        <f>VLOOKUP(C19,listaBolsa!$D$2:$BA$1248,48,0)</f>
        <v>#N/A</v>
      </c>
      <c r="CJ19" s="7" t="e">
        <f t="shared" si="11"/>
        <v>#N/A</v>
      </c>
      <c r="CK19" s="7" t="e">
        <f t="shared" si="12"/>
        <v>#N/A</v>
      </c>
      <c r="CL19" s="7" t="e">
        <f t="shared" si="13"/>
        <v>#N/A</v>
      </c>
      <c r="CM19" s="7" t="e">
        <f t="shared" si="14"/>
        <v>#N/A</v>
      </c>
      <c r="CN19" s="7" t="e">
        <f t="shared" si="15"/>
        <v>#N/A</v>
      </c>
      <c r="CO19" s="7" t="e">
        <f t="shared" si="16"/>
        <v>#N/A</v>
      </c>
      <c r="CP19" s="7" t="e">
        <f t="shared" si="17"/>
        <v>#N/A</v>
      </c>
      <c r="CQ19" s="7" t="e">
        <f t="shared" si="18"/>
        <v>#N/A</v>
      </c>
      <c r="CR19" s="7" t="e">
        <f t="shared" si="19"/>
        <v>#N/A</v>
      </c>
    </row>
    <row r="20" spans="1:96" s="7" customFormat="1" ht="21" hidden="1" x14ac:dyDescent="0.25">
      <c r="A20" s="75" t="str">
        <f t="shared" si="50"/>
        <v/>
      </c>
      <c r="B20" s="91"/>
      <c r="C20" s="82"/>
      <c r="D20" s="75" t="str">
        <f>IF(C20="","",VLOOKUP(C20,listaBolsa!$D$2:$H$1118,2,0))</f>
        <v/>
      </c>
      <c r="E20" s="91" t="str">
        <f>IF(C20="","",VLOOKUP(C20,listaBolsa!$D$2:$H$1118,3,0))</f>
        <v/>
      </c>
      <c r="F20" s="92"/>
      <c r="G20" s="235" t="str">
        <f>IF(C20="","",VLOOKUP(C20,listaBolsa!$D$2:$H$1118,5,0))</f>
        <v/>
      </c>
      <c r="H20" s="89" t="str">
        <f>IF(C20="","",VLOOKUP(C20,listaBolsa!$D$2:$W$1118,10,0))</f>
        <v/>
      </c>
      <c r="I20" s="128" t="str">
        <f>IF(C20="","",VLOOKUP(C20,listaBolsa!$D$2:$W$1118,14,0))</f>
        <v/>
      </c>
      <c r="J20" s="129" t="e">
        <f t="shared" si="24"/>
        <v>#VALUE!</v>
      </c>
      <c r="K20" s="129" t="e">
        <f t="shared" si="25"/>
        <v>#VALUE!</v>
      </c>
      <c r="L20" s="129" t="str">
        <f t="shared" si="26"/>
        <v/>
      </c>
      <c r="M20" s="129" t="str">
        <f t="shared" si="27"/>
        <v/>
      </c>
      <c r="N20" s="90" t="str">
        <f>IF(C20="","",VLOOKUP(C20,listaBolsa!$D$2:$AZ$1276,23,0))</f>
        <v/>
      </c>
      <c r="O20" s="130" t="str">
        <f>IF(C20="","",VLOOKUP(C20,listaBolsa!$D$2:$AZ$1276,27,0))</f>
        <v/>
      </c>
      <c r="P20" s="131" t="e">
        <f t="shared" si="28"/>
        <v>#VALUE!</v>
      </c>
      <c r="Q20" s="131" t="e">
        <f t="shared" si="29"/>
        <v>#VALUE!</v>
      </c>
      <c r="R20" s="131" t="str">
        <f t="shared" si="30"/>
        <v/>
      </c>
      <c r="S20" s="131" t="str">
        <f t="shared" si="31"/>
        <v/>
      </c>
      <c r="T20" s="83" t="str">
        <f>IF(C20="","",VLOOKUP(C20,listaBolsa!$D$2:$BB$1276,36,0))</f>
        <v/>
      </c>
      <c r="U20" s="132" t="str">
        <f>IF(C20="","",VLOOKUP(C20,listaBolsa!$D$2:$BB$1276,40,0))</f>
        <v/>
      </c>
      <c r="V20" s="133" t="e">
        <f t="shared" si="32"/>
        <v>#VALUE!</v>
      </c>
      <c r="W20" s="133" t="e">
        <f t="shared" si="33"/>
        <v>#VALUE!</v>
      </c>
      <c r="X20" s="133" t="str">
        <f t="shared" si="34"/>
        <v/>
      </c>
      <c r="Y20" s="133" t="str">
        <f t="shared" si="35"/>
        <v/>
      </c>
      <c r="Z20" s="134" t="str">
        <f t="shared" si="51"/>
        <v/>
      </c>
      <c r="AA20" s="134" t="str">
        <f t="shared" si="52"/>
        <v/>
      </c>
      <c r="AB20" s="135" t="str">
        <f t="shared" si="53"/>
        <v/>
      </c>
      <c r="AC20" s="85" t="str">
        <f t="shared" si="54"/>
        <v/>
      </c>
      <c r="AD20" s="234"/>
      <c r="AF20" s="7" t="str">
        <f>IF(C20="","",VLOOKUP(C20,listaBolsa!$D$2:$BB$276,51,0))</f>
        <v/>
      </c>
      <c r="BG20" s="7">
        <v>10</v>
      </c>
      <c r="CA20" s="7" t="e">
        <f>VLOOKUP(C20,listaBolsa!$D$2:$BA$1248,1,0)</f>
        <v>#N/A</v>
      </c>
      <c r="CB20" s="7" t="e">
        <f>VLOOKUP(C20,listaBolsa!$D$2:$BA$1248,2,0)</f>
        <v>#N/A</v>
      </c>
      <c r="CC20" s="7" t="e">
        <f>VLOOKUP(C20,listaBolsa!$D$2:$BA$1248,10,0)</f>
        <v>#N/A</v>
      </c>
      <c r="CD20" s="7" t="e">
        <f>VLOOKUP(C20,listaBolsa!$D$2:$BA$1248,14,0)</f>
        <v>#N/A</v>
      </c>
      <c r="CE20" s="7" t="e">
        <f>VLOOKUP(C20,listaBolsa!$D$2:$BA$1248,23,0)</f>
        <v>#N/A</v>
      </c>
      <c r="CF20" s="7" t="e">
        <f>VLOOKUP(C20,listaBolsa!$D$2:$BA$1248,29,0)</f>
        <v>#N/A</v>
      </c>
      <c r="CG20" s="7" t="e">
        <f>VLOOKUP(C20,listaBolsa!$D$2:$BA$1248,36,0)</f>
        <v>#N/A</v>
      </c>
      <c r="CH20" s="7" t="e">
        <f>VLOOKUP(C20,listaBolsa!$D$2:$BA$1248,40,0)</f>
        <v>#N/A</v>
      </c>
      <c r="CI20" s="7" t="e">
        <f>VLOOKUP(C20,listaBolsa!$D$2:$BA$1248,48,0)</f>
        <v>#N/A</v>
      </c>
      <c r="CJ20" s="7" t="e">
        <f t="shared" si="11"/>
        <v>#N/A</v>
      </c>
      <c r="CK20" s="7" t="e">
        <f t="shared" si="12"/>
        <v>#N/A</v>
      </c>
      <c r="CL20" s="7" t="e">
        <f t="shared" si="13"/>
        <v>#N/A</v>
      </c>
      <c r="CM20" s="7" t="e">
        <f t="shared" si="14"/>
        <v>#N/A</v>
      </c>
      <c r="CN20" s="7" t="e">
        <f t="shared" si="15"/>
        <v>#N/A</v>
      </c>
      <c r="CO20" s="7" t="e">
        <f t="shared" si="16"/>
        <v>#N/A</v>
      </c>
      <c r="CP20" s="7" t="e">
        <f t="shared" si="17"/>
        <v>#N/A</v>
      </c>
      <c r="CQ20" s="7" t="e">
        <f t="shared" si="18"/>
        <v>#N/A</v>
      </c>
      <c r="CR20" s="7" t="e">
        <f t="shared" si="19"/>
        <v>#N/A</v>
      </c>
    </row>
    <row r="21" spans="1:96" s="7" customFormat="1" ht="21" hidden="1" x14ac:dyDescent="0.25">
      <c r="A21" s="75" t="str">
        <f t="shared" si="50"/>
        <v/>
      </c>
      <c r="B21" s="91"/>
      <c r="C21" s="82"/>
      <c r="D21" s="75" t="str">
        <f>IF(C21="","",VLOOKUP(C21,listaBolsa!$D$2:$H$1118,2,0))</f>
        <v/>
      </c>
      <c r="E21" s="91" t="str">
        <f>IF(C21="","",VLOOKUP(C21,listaBolsa!$D$2:$H$1118,3,0))</f>
        <v/>
      </c>
      <c r="F21" s="92"/>
      <c r="G21" s="235" t="str">
        <f>IF(C21="","",VLOOKUP(C21,listaBolsa!$D$2:$H$1118,5,0))</f>
        <v/>
      </c>
      <c r="H21" s="89" t="str">
        <f>IF(C21="","",VLOOKUP(C21,listaBolsa!$D$2:$W$1118,10,0))</f>
        <v/>
      </c>
      <c r="I21" s="128" t="str">
        <f>IF(C21="","",VLOOKUP(C21,listaBolsa!$D$2:$W$1118,14,0))</f>
        <v/>
      </c>
      <c r="J21" s="129" t="e">
        <f t="shared" si="24"/>
        <v>#VALUE!</v>
      </c>
      <c r="K21" s="129" t="e">
        <f t="shared" si="25"/>
        <v>#VALUE!</v>
      </c>
      <c r="L21" s="129" t="str">
        <f t="shared" si="26"/>
        <v/>
      </c>
      <c r="M21" s="129" t="str">
        <f t="shared" si="27"/>
        <v/>
      </c>
      <c r="N21" s="90" t="str">
        <f>IF(C21="","",VLOOKUP(C21,listaBolsa!$D$2:$AZ$1276,23,0))</f>
        <v/>
      </c>
      <c r="O21" s="130" t="str">
        <f>IF(C21="","",VLOOKUP(C21,listaBolsa!$D$2:$AZ$1276,27,0))</f>
        <v/>
      </c>
      <c r="P21" s="131" t="e">
        <f t="shared" si="28"/>
        <v>#VALUE!</v>
      </c>
      <c r="Q21" s="131" t="e">
        <f t="shared" si="29"/>
        <v>#VALUE!</v>
      </c>
      <c r="R21" s="131" t="str">
        <f t="shared" si="30"/>
        <v/>
      </c>
      <c r="S21" s="131" t="str">
        <f t="shared" si="31"/>
        <v/>
      </c>
      <c r="T21" s="83" t="str">
        <f>IF(C21="","",VLOOKUP(C21,listaBolsa!$D$2:$BB$1276,36,0))</f>
        <v/>
      </c>
      <c r="U21" s="132" t="str">
        <f>IF(C21="","",VLOOKUP(C21,listaBolsa!$D$2:$BB$1276,40,0))</f>
        <v/>
      </c>
      <c r="V21" s="133" t="e">
        <f t="shared" si="32"/>
        <v>#VALUE!</v>
      </c>
      <c r="W21" s="133" t="e">
        <f t="shared" si="33"/>
        <v>#VALUE!</v>
      </c>
      <c r="X21" s="133" t="str">
        <f t="shared" si="34"/>
        <v/>
      </c>
      <c r="Y21" s="133" t="str">
        <f t="shared" si="35"/>
        <v/>
      </c>
      <c r="Z21" s="134" t="str">
        <f t="shared" si="51"/>
        <v/>
      </c>
      <c r="AA21" s="134" t="str">
        <f t="shared" si="52"/>
        <v/>
      </c>
      <c r="AB21" s="135" t="str">
        <f t="shared" si="53"/>
        <v/>
      </c>
      <c r="AC21" s="85" t="str">
        <f t="shared" si="54"/>
        <v/>
      </c>
      <c r="AD21" s="234"/>
      <c r="AF21" s="7" t="str">
        <f>IF(C21="","",VLOOKUP(C21,listaBolsa!$D$2:$BB$276,51,0))</f>
        <v/>
      </c>
      <c r="BG21" s="7">
        <v>11</v>
      </c>
      <c r="CA21" s="7" t="e">
        <f>VLOOKUP(C21,listaBolsa!$D$2:$BA$1248,1,0)</f>
        <v>#N/A</v>
      </c>
      <c r="CB21" s="7" t="e">
        <f>VLOOKUP(C21,listaBolsa!$D$2:$BA$1248,2,0)</f>
        <v>#N/A</v>
      </c>
      <c r="CC21" s="7" t="e">
        <f>VLOOKUP(C21,listaBolsa!$D$2:$BA$1248,10,0)</f>
        <v>#N/A</v>
      </c>
      <c r="CD21" s="7" t="e">
        <f>VLOOKUP(C21,listaBolsa!$D$2:$BA$1248,14,0)</f>
        <v>#N/A</v>
      </c>
      <c r="CE21" s="7" t="e">
        <f>VLOOKUP(C21,listaBolsa!$D$2:$BA$1248,23,0)</f>
        <v>#N/A</v>
      </c>
      <c r="CF21" s="7" t="e">
        <f>VLOOKUP(C21,listaBolsa!$D$2:$BA$1248,29,0)</f>
        <v>#N/A</v>
      </c>
      <c r="CG21" s="7" t="e">
        <f>VLOOKUP(C21,listaBolsa!$D$2:$BA$1248,36,0)</f>
        <v>#N/A</v>
      </c>
      <c r="CH21" s="7" t="e">
        <f>VLOOKUP(C21,listaBolsa!$D$2:$BA$1248,40,0)</f>
        <v>#N/A</v>
      </c>
      <c r="CI21" s="7" t="e">
        <f>VLOOKUP(C21,listaBolsa!$D$2:$BA$1248,48,0)</f>
        <v>#N/A</v>
      </c>
      <c r="CJ21" s="7" t="e">
        <f t="shared" si="11"/>
        <v>#N/A</v>
      </c>
      <c r="CK21" s="7" t="e">
        <f t="shared" si="12"/>
        <v>#N/A</v>
      </c>
      <c r="CL21" s="7" t="e">
        <f t="shared" si="13"/>
        <v>#N/A</v>
      </c>
      <c r="CM21" s="7" t="e">
        <f t="shared" si="14"/>
        <v>#N/A</v>
      </c>
      <c r="CN21" s="7" t="e">
        <f t="shared" si="15"/>
        <v>#N/A</v>
      </c>
      <c r="CO21" s="7" t="e">
        <f t="shared" si="16"/>
        <v>#N/A</v>
      </c>
      <c r="CP21" s="7" t="e">
        <f t="shared" si="17"/>
        <v>#N/A</v>
      </c>
      <c r="CQ21" s="7" t="e">
        <f t="shared" si="18"/>
        <v>#N/A</v>
      </c>
      <c r="CR21" s="7" t="e">
        <f t="shared" si="19"/>
        <v>#N/A</v>
      </c>
    </row>
    <row r="22" spans="1:96" s="7" customFormat="1" ht="21" hidden="1" x14ac:dyDescent="0.25">
      <c r="A22" s="75" t="str">
        <f t="shared" si="50"/>
        <v/>
      </c>
      <c r="B22" s="91"/>
      <c r="C22" s="82"/>
      <c r="D22" s="75" t="str">
        <f>IF(C22="","",VLOOKUP(C22,listaBolsa!$D$2:$H$1118,2,0))</f>
        <v/>
      </c>
      <c r="E22" s="91" t="str">
        <f>IF(C22="","",VLOOKUP(C22,listaBolsa!$D$2:$H$1118,3,0))</f>
        <v/>
      </c>
      <c r="F22" s="92"/>
      <c r="G22" s="235" t="str">
        <f>IF(C22="","",VLOOKUP(C22,listaBolsa!$D$2:$H$1118,5,0))</f>
        <v/>
      </c>
      <c r="H22" s="89" t="str">
        <f>IF(C22="","",VLOOKUP(C22,listaBolsa!$D$2:$W$1118,10,0))</f>
        <v/>
      </c>
      <c r="I22" s="128" t="str">
        <f>IF(C22="","",VLOOKUP(C22,listaBolsa!$D$2:$W$1118,14,0))</f>
        <v/>
      </c>
      <c r="J22" s="129" t="e">
        <f t="shared" si="24"/>
        <v>#VALUE!</v>
      </c>
      <c r="K22" s="129" t="e">
        <f t="shared" si="25"/>
        <v>#VALUE!</v>
      </c>
      <c r="L22" s="129" t="str">
        <f t="shared" si="26"/>
        <v/>
      </c>
      <c r="M22" s="129" t="str">
        <f t="shared" si="27"/>
        <v/>
      </c>
      <c r="N22" s="90" t="str">
        <f>IF(C22="","",VLOOKUP(C22,listaBolsa!$D$2:$AZ$1276,23,0))</f>
        <v/>
      </c>
      <c r="O22" s="130" t="str">
        <f>IF(C22="","",VLOOKUP(C22,listaBolsa!$D$2:$AZ$1276,27,0))</f>
        <v/>
      </c>
      <c r="P22" s="131" t="e">
        <f t="shared" si="28"/>
        <v>#VALUE!</v>
      </c>
      <c r="Q22" s="131" t="e">
        <f t="shared" si="29"/>
        <v>#VALUE!</v>
      </c>
      <c r="R22" s="131" t="str">
        <f t="shared" si="30"/>
        <v/>
      </c>
      <c r="S22" s="131" t="str">
        <f t="shared" si="31"/>
        <v/>
      </c>
      <c r="T22" s="83" t="str">
        <f>IF(C22="","",VLOOKUP(C22,listaBolsa!$D$2:$BB$1276,36,0))</f>
        <v/>
      </c>
      <c r="U22" s="132" t="str">
        <f>IF(C22="","",VLOOKUP(C22,listaBolsa!$D$2:$BB$1276,40,0))</f>
        <v/>
      </c>
      <c r="V22" s="133" t="e">
        <f t="shared" si="32"/>
        <v>#VALUE!</v>
      </c>
      <c r="W22" s="133" t="e">
        <f t="shared" si="33"/>
        <v>#VALUE!</v>
      </c>
      <c r="X22" s="133" t="str">
        <f t="shared" si="34"/>
        <v/>
      </c>
      <c r="Y22" s="133" t="str">
        <f t="shared" si="35"/>
        <v/>
      </c>
      <c r="Z22" s="134" t="str">
        <f t="shared" si="51"/>
        <v/>
      </c>
      <c r="AA22" s="134" t="str">
        <f t="shared" si="52"/>
        <v/>
      </c>
      <c r="AB22" s="135" t="str">
        <f t="shared" si="53"/>
        <v/>
      </c>
      <c r="AC22" s="85" t="str">
        <f t="shared" si="54"/>
        <v/>
      </c>
      <c r="AD22" s="234"/>
      <c r="AF22" s="7" t="str">
        <f>IF(C22="","",VLOOKUP(C22,listaBolsa!$D$2:$BB$276,51,0))</f>
        <v/>
      </c>
      <c r="BG22" s="7">
        <v>12</v>
      </c>
      <c r="CA22" s="7" t="e">
        <f>VLOOKUP(C22,listaBolsa!$D$2:$BA$1248,1,0)</f>
        <v>#N/A</v>
      </c>
      <c r="CB22" s="7" t="e">
        <f>VLOOKUP(C22,listaBolsa!$D$2:$BA$1248,2,0)</f>
        <v>#N/A</v>
      </c>
      <c r="CC22" s="7" t="e">
        <f>VLOOKUP(C22,listaBolsa!$D$2:$BA$1248,10,0)</f>
        <v>#N/A</v>
      </c>
      <c r="CD22" s="7" t="e">
        <f>VLOOKUP(C22,listaBolsa!$D$2:$BA$1248,14,0)</f>
        <v>#N/A</v>
      </c>
      <c r="CE22" s="7" t="e">
        <f>VLOOKUP(C22,listaBolsa!$D$2:$BA$1248,23,0)</f>
        <v>#N/A</v>
      </c>
      <c r="CF22" s="7" t="e">
        <f>VLOOKUP(C22,listaBolsa!$D$2:$BA$1248,29,0)</f>
        <v>#N/A</v>
      </c>
      <c r="CG22" s="7" t="e">
        <f>VLOOKUP(C22,listaBolsa!$D$2:$BA$1248,36,0)</f>
        <v>#N/A</v>
      </c>
      <c r="CH22" s="7" t="e">
        <f>VLOOKUP(C22,listaBolsa!$D$2:$BA$1248,40,0)</f>
        <v>#N/A</v>
      </c>
      <c r="CI22" s="7" t="e">
        <f>VLOOKUP(C22,listaBolsa!$D$2:$BA$1248,48,0)</f>
        <v>#N/A</v>
      </c>
      <c r="CJ22" s="7" t="e">
        <f t="shared" si="11"/>
        <v>#N/A</v>
      </c>
      <c r="CK22" s="7" t="e">
        <f t="shared" si="12"/>
        <v>#N/A</v>
      </c>
      <c r="CL22" s="7" t="e">
        <f t="shared" si="13"/>
        <v>#N/A</v>
      </c>
      <c r="CM22" s="7" t="e">
        <f t="shared" si="14"/>
        <v>#N/A</v>
      </c>
      <c r="CN22" s="7" t="e">
        <f t="shared" si="15"/>
        <v>#N/A</v>
      </c>
      <c r="CO22" s="7" t="e">
        <f t="shared" si="16"/>
        <v>#N/A</v>
      </c>
      <c r="CP22" s="7" t="e">
        <f t="shared" si="17"/>
        <v>#N/A</v>
      </c>
      <c r="CQ22" s="7" t="e">
        <f t="shared" si="18"/>
        <v>#N/A</v>
      </c>
      <c r="CR22" s="7" t="e">
        <f t="shared" si="19"/>
        <v>#N/A</v>
      </c>
    </row>
    <row r="23" spans="1:96" s="7" customFormat="1" ht="21" hidden="1" x14ac:dyDescent="0.25">
      <c r="A23" s="75" t="str">
        <f t="shared" si="50"/>
        <v/>
      </c>
      <c r="B23" s="91"/>
      <c r="C23" s="82"/>
      <c r="D23" s="75" t="str">
        <f>IF(C23="","",VLOOKUP(C23,listaBolsa!$D$2:$H$1118,2,0))</f>
        <v/>
      </c>
      <c r="E23" s="91" t="str">
        <f>IF(C23="","",VLOOKUP(C23,listaBolsa!$D$2:$H$1118,3,0))</f>
        <v/>
      </c>
      <c r="F23" s="92"/>
      <c r="G23" s="235" t="str">
        <f>IF(C23="","",VLOOKUP(C23,listaBolsa!$D$2:$H$1118,5,0))</f>
        <v/>
      </c>
      <c r="H23" s="89" t="str">
        <f>IF(C23="","",VLOOKUP(C23,listaBolsa!$D$2:$W$1118,10,0))</f>
        <v/>
      </c>
      <c r="I23" s="128" t="str">
        <f>IF(C23="","",VLOOKUP(C23,listaBolsa!$D$2:$W$1118,14,0))</f>
        <v/>
      </c>
      <c r="J23" s="129" t="e">
        <f t="shared" si="24"/>
        <v>#VALUE!</v>
      </c>
      <c r="K23" s="129" t="e">
        <f t="shared" si="25"/>
        <v>#VALUE!</v>
      </c>
      <c r="L23" s="129" t="str">
        <f t="shared" si="26"/>
        <v/>
      </c>
      <c r="M23" s="129" t="str">
        <f t="shared" si="27"/>
        <v/>
      </c>
      <c r="N23" s="90" t="str">
        <f>IF(C23="","",VLOOKUP(C23,listaBolsa!$D$2:$AZ$1276,23,0))</f>
        <v/>
      </c>
      <c r="O23" s="130" t="str">
        <f>IF(C23="","",VLOOKUP(C23,listaBolsa!$D$2:$AZ$1276,27,0))</f>
        <v/>
      </c>
      <c r="P23" s="131" t="e">
        <f t="shared" si="28"/>
        <v>#VALUE!</v>
      </c>
      <c r="Q23" s="131" t="e">
        <f t="shared" si="29"/>
        <v>#VALUE!</v>
      </c>
      <c r="R23" s="131" t="str">
        <f t="shared" si="30"/>
        <v/>
      </c>
      <c r="S23" s="131" t="str">
        <f t="shared" si="31"/>
        <v/>
      </c>
      <c r="T23" s="83" t="str">
        <f>IF(C23="","",VLOOKUP(C23,listaBolsa!$D$2:$BB$1276,36,0))</f>
        <v/>
      </c>
      <c r="U23" s="132" t="str">
        <f>IF(C23="","",VLOOKUP(C23,listaBolsa!$D$2:$BB$1276,40,0))</f>
        <v/>
      </c>
      <c r="V23" s="133" t="e">
        <f t="shared" si="32"/>
        <v>#VALUE!</v>
      </c>
      <c r="W23" s="133" t="e">
        <f t="shared" si="33"/>
        <v>#VALUE!</v>
      </c>
      <c r="X23" s="133" t="str">
        <f t="shared" si="34"/>
        <v/>
      </c>
      <c r="Y23" s="133" t="str">
        <f t="shared" si="35"/>
        <v/>
      </c>
      <c r="Z23" s="134" t="str">
        <f t="shared" si="51"/>
        <v/>
      </c>
      <c r="AA23" s="134" t="str">
        <f t="shared" si="52"/>
        <v/>
      </c>
      <c r="AB23" s="135" t="str">
        <f t="shared" si="53"/>
        <v/>
      </c>
      <c r="AC23" s="85" t="str">
        <f t="shared" si="54"/>
        <v/>
      </c>
      <c r="AD23" s="234"/>
      <c r="AF23" s="7" t="str">
        <f>IF(C23="","",VLOOKUP(C23,listaBolsa!$D$2:$BB$276,51,0))</f>
        <v/>
      </c>
      <c r="BG23" s="7">
        <v>13</v>
      </c>
      <c r="CA23" s="7" t="e">
        <f>VLOOKUP(C23,listaBolsa!$D$2:$BA$1248,1,0)</f>
        <v>#N/A</v>
      </c>
      <c r="CB23" s="7" t="e">
        <f>VLOOKUP(C23,listaBolsa!$D$2:$BA$1248,2,0)</f>
        <v>#N/A</v>
      </c>
      <c r="CC23" s="7" t="e">
        <f>VLOOKUP(C23,listaBolsa!$D$2:$BA$1248,10,0)</f>
        <v>#N/A</v>
      </c>
      <c r="CD23" s="7" t="e">
        <f>VLOOKUP(C23,listaBolsa!$D$2:$BA$1248,14,0)</f>
        <v>#N/A</v>
      </c>
      <c r="CE23" s="7" t="e">
        <f>VLOOKUP(C23,listaBolsa!$D$2:$BA$1248,23,0)</f>
        <v>#N/A</v>
      </c>
      <c r="CF23" s="7" t="e">
        <f>VLOOKUP(C23,listaBolsa!$D$2:$BA$1248,29,0)</f>
        <v>#N/A</v>
      </c>
      <c r="CG23" s="7" t="e">
        <f>VLOOKUP(C23,listaBolsa!$D$2:$BA$1248,36,0)</f>
        <v>#N/A</v>
      </c>
      <c r="CH23" s="7" t="e">
        <f>VLOOKUP(C23,listaBolsa!$D$2:$BA$1248,40,0)</f>
        <v>#N/A</v>
      </c>
      <c r="CI23" s="7" t="e">
        <f>VLOOKUP(C23,listaBolsa!$D$2:$BA$1248,48,0)</f>
        <v>#N/A</v>
      </c>
      <c r="CJ23" s="7" t="e">
        <f t="shared" si="11"/>
        <v>#N/A</v>
      </c>
      <c r="CK23" s="7" t="e">
        <f t="shared" si="12"/>
        <v>#N/A</v>
      </c>
      <c r="CL23" s="7" t="e">
        <f t="shared" si="13"/>
        <v>#N/A</v>
      </c>
      <c r="CM23" s="7" t="e">
        <f t="shared" si="14"/>
        <v>#N/A</v>
      </c>
      <c r="CN23" s="7" t="e">
        <f t="shared" si="15"/>
        <v>#N/A</v>
      </c>
      <c r="CO23" s="7" t="e">
        <f t="shared" si="16"/>
        <v>#N/A</v>
      </c>
      <c r="CP23" s="7" t="e">
        <f t="shared" si="17"/>
        <v>#N/A</v>
      </c>
      <c r="CQ23" s="7" t="e">
        <f t="shared" si="18"/>
        <v>#N/A</v>
      </c>
      <c r="CR23" s="7" t="e">
        <f t="shared" si="19"/>
        <v>#N/A</v>
      </c>
    </row>
    <row r="24" spans="1:96" s="7" customFormat="1" ht="21" hidden="1" x14ac:dyDescent="0.25">
      <c r="A24" s="75" t="str">
        <f t="shared" si="50"/>
        <v/>
      </c>
      <c r="B24" s="91"/>
      <c r="C24" s="82"/>
      <c r="D24" s="75" t="str">
        <f>IF(C24="","",VLOOKUP(C24,listaBolsa!$D$2:$H$1118,2,0))</f>
        <v/>
      </c>
      <c r="E24" s="91" t="str">
        <f>IF(C24="","",VLOOKUP(C24,listaBolsa!$D$2:$H$1118,3,0))</f>
        <v/>
      </c>
      <c r="F24" s="92"/>
      <c r="G24" s="235" t="str">
        <f>IF(C24="","",VLOOKUP(C24,listaBolsa!$D$2:$H$1118,5,0))</f>
        <v/>
      </c>
      <c r="H24" s="89" t="str">
        <f>IF(C24="","",VLOOKUP(C24,listaBolsa!$D$2:$W$1118,10,0))</f>
        <v/>
      </c>
      <c r="I24" s="128" t="str">
        <f>IF(C24="","",VLOOKUP(C24,listaBolsa!$D$2:$W$1118,14,0))</f>
        <v/>
      </c>
      <c r="J24" s="129" t="e">
        <f t="shared" si="24"/>
        <v>#VALUE!</v>
      </c>
      <c r="K24" s="129" t="e">
        <f t="shared" si="25"/>
        <v>#VALUE!</v>
      </c>
      <c r="L24" s="129" t="str">
        <f t="shared" si="26"/>
        <v/>
      </c>
      <c r="M24" s="129" t="str">
        <f t="shared" si="27"/>
        <v/>
      </c>
      <c r="N24" s="90" t="str">
        <f>IF(C24="","",VLOOKUP(C24,listaBolsa!$D$2:$AZ$1276,23,0))</f>
        <v/>
      </c>
      <c r="O24" s="130" t="str">
        <f>IF(C24="","",VLOOKUP(C24,listaBolsa!$D$2:$AZ$1276,27,0))</f>
        <v/>
      </c>
      <c r="P24" s="131" t="e">
        <f t="shared" si="28"/>
        <v>#VALUE!</v>
      </c>
      <c r="Q24" s="131" t="e">
        <f t="shared" si="29"/>
        <v>#VALUE!</v>
      </c>
      <c r="R24" s="131" t="str">
        <f t="shared" si="30"/>
        <v/>
      </c>
      <c r="S24" s="131" t="str">
        <f t="shared" si="31"/>
        <v/>
      </c>
      <c r="T24" s="83" t="str">
        <f>IF(C24="","",VLOOKUP(C24,listaBolsa!$D$2:$BB$1276,36,0))</f>
        <v/>
      </c>
      <c r="U24" s="132" t="str">
        <f>IF(C24="","",VLOOKUP(C24,listaBolsa!$D$2:$BB$1276,40,0))</f>
        <v/>
      </c>
      <c r="V24" s="133" t="e">
        <f t="shared" si="32"/>
        <v>#VALUE!</v>
      </c>
      <c r="W24" s="133" t="e">
        <f t="shared" si="33"/>
        <v>#VALUE!</v>
      </c>
      <c r="X24" s="133" t="str">
        <f t="shared" si="34"/>
        <v/>
      </c>
      <c r="Y24" s="133" t="str">
        <f t="shared" si="35"/>
        <v/>
      </c>
      <c r="Z24" s="134" t="str">
        <f t="shared" si="51"/>
        <v/>
      </c>
      <c r="AA24" s="134" t="str">
        <f t="shared" si="52"/>
        <v/>
      </c>
      <c r="AB24" s="135" t="str">
        <f t="shared" si="53"/>
        <v/>
      </c>
      <c r="AC24" s="85" t="str">
        <f t="shared" si="54"/>
        <v/>
      </c>
      <c r="AD24" s="234"/>
      <c r="AF24" s="7" t="str">
        <f>IF(C24="","",VLOOKUP(C24,listaBolsa!$D$2:$BB$276,51,0))</f>
        <v/>
      </c>
      <c r="BG24" s="7">
        <v>14</v>
      </c>
      <c r="CA24" s="7" t="e">
        <f>VLOOKUP(C24,listaBolsa!$D$2:$BA$1248,1,0)</f>
        <v>#N/A</v>
      </c>
      <c r="CB24" s="7" t="e">
        <f>VLOOKUP(C24,listaBolsa!$D$2:$BA$1248,2,0)</f>
        <v>#N/A</v>
      </c>
      <c r="CC24" s="7" t="e">
        <f>VLOOKUP(C24,listaBolsa!$D$2:$BA$1248,10,0)</f>
        <v>#N/A</v>
      </c>
      <c r="CD24" s="7" t="e">
        <f>VLOOKUP(C24,listaBolsa!$D$2:$BA$1248,14,0)</f>
        <v>#N/A</v>
      </c>
      <c r="CE24" s="7" t="e">
        <f>VLOOKUP(C24,listaBolsa!$D$2:$BA$1248,23,0)</f>
        <v>#N/A</v>
      </c>
      <c r="CF24" s="7" t="e">
        <f>VLOOKUP(C24,listaBolsa!$D$2:$BA$1248,29,0)</f>
        <v>#N/A</v>
      </c>
      <c r="CG24" s="7" t="e">
        <f>VLOOKUP(C24,listaBolsa!$D$2:$BA$1248,36,0)</f>
        <v>#N/A</v>
      </c>
      <c r="CH24" s="7" t="e">
        <f>VLOOKUP(C24,listaBolsa!$D$2:$BA$1248,40,0)</f>
        <v>#N/A</v>
      </c>
      <c r="CI24" s="7" t="e">
        <f>VLOOKUP(C24,listaBolsa!$D$2:$BA$1248,48,0)</f>
        <v>#N/A</v>
      </c>
      <c r="CJ24" s="7" t="e">
        <f t="shared" si="11"/>
        <v>#N/A</v>
      </c>
      <c r="CK24" s="7" t="e">
        <f t="shared" si="12"/>
        <v>#N/A</v>
      </c>
      <c r="CL24" s="7" t="e">
        <f t="shared" si="13"/>
        <v>#N/A</v>
      </c>
      <c r="CM24" s="7" t="e">
        <f t="shared" si="14"/>
        <v>#N/A</v>
      </c>
      <c r="CN24" s="7" t="e">
        <f t="shared" si="15"/>
        <v>#N/A</v>
      </c>
      <c r="CO24" s="7" t="e">
        <f t="shared" si="16"/>
        <v>#N/A</v>
      </c>
      <c r="CP24" s="7" t="e">
        <f t="shared" si="17"/>
        <v>#N/A</v>
      </c>
      <c r="CQ24" s="7" t="e">
        <f t="shared" si="18"/>
        <v>#N/A</v>
      </c>
      <c r="CR24" s="7" t="e">
        <f t="shared" si="19"/>
        <v>#N/A</v>
      </c>
    </row>
    <row r="25" spans="1:96" s="7" customFormat="1" ht="21" hidden="1" x14ac:dyDescent="0.25">
      <c r="A25" s="75" t="str">
        <f t="shared" si="50"/>
        <v/>
      </c>
      <c r="B25" s="91"/>
      <c r="C25" s="82"/>
      <c r="D25" s="75" t="str">
        <f>IF(C25="","",VLOOKUP(C25,listaBolsa!$D$2:$H$1118,2,0))</f>
        <v/>
      </c>
      <c r="E25" s="91" t="str">
        <f>IF(C25="","",VLOOKUP(C25,listaBolsa!$D$2:$H$1118,3,0))</f>
        <v/>
      </c>
      <c r="F25" s="92"/>
      <c r="G25" s="235" t="str">
        <f>IF(C25="","",VLOOKUP(C25,listaBolsa!$D$2:$H$1118,5,0))</f>
        <v/>
      </c>
      <c r="H25" s="89" t="str">
        <f>IF(C25="","",VLOOKUP(C25,listaBolsa!$D$2:$W$1118,10,0))</f>
        <v/>
      </c>
      <c r="I25" s="128" t="str">
        <f>IF(C25="","",VLOOKUP(C25,listaBolsa!$D$2:$W$1118,14,0))</f>
        <v/>
      </c>
      <c r="J25" s="129" t="e">
        <f t="shared" si="24"/>
        <v>#VALUE!</v>
      </c>
      <c r="K25" s="129" t="e">
        <f t="shared" si="25"/>
        <v>#VALUE!</v>
      </c>
      <c r="L25" s="129" t="str">
        <f t="shared" si="26"/>
        <v/>
      </c>
      <c r="M25" s="129" t="str">
        <f t="shared" si="27"/>
        <v/>
      </c>
      <c r="N25" s="90" t="str">
        <f>IF(C25="","",VLOOKUP(C25,listaBolsa!$D$2:$AZ$1276,23,0))</f>
        <v/>
      </c>
      <c r="O25" s="130" t="str">
        <f>IF(C25="","",VLOOKUP(C25,listaBolsa!$D$2:$AZ$1276,27,0))</f>
        <v/>
      </c>
      <c r="P25" s="131" t="e">
        <f t="shared" si="28"/>
        <v>#VALUE!</v>
      </c>
      <c r="Q25" s="131" t="e">
        <f t="shared" si="29"/>
        <v>#VALUE!</v>
      </c>
      <c r="R25" s="131" t="str">
        <f t="shared" si="30"/>
        <v/>
      </c>
      <c r="S25" s="131" t="str">
        <f t="shared" si="31"/>
        <v/>
      </c>
      <c r="T25" s="83" t="str">
        <f>IF(C25="","",VLOOKUP(C25,listaBolsa!$D$2:$BB$1276,36,0))</f>
        <v/>
      </c>
      <c r="U25" s="132" t="str">
        <f>IF(C25="","",VLOOKUP(C25,listaBolsa!$D$2:$BB$1276,40,0))</f>
        <v/>
      </c>
      <c r="V25" s="133" t="e">
        <f t="shared" si="32"/>
        <v>#VALUE!</v>
      </c>
      <c r="W25" s="133" t="e">
        <f t="shared" si="33"/>
        <v>#VALUE!</v>
      </c>
      <c r="X25" s="133" t="str">
        <f t="shared" si="34"/>
        <v/>
      </c>
      <c r="Y25" s="133" t="str">
        <f t="shared" si="35"/>
        <v/>
      </c>
      <c r="Z25" s="134" t="str">
        <f t="shared" si="51"/>
        <v/>
      </c>
      <c r="AA25" s="134" t="str">
        <f t="shared" si="52"/>
        <v/>
      </c>
      <c r="AB25" s="135" t="str">
        <f t="shared" si="53"/>
        <v/>
      </c>
      <c r="AC25" s="85" t="str">
        <f t="shared" si="54"/>
        <v/>
      </c>
      <c r="AD25" s="234"/>
      <c r="AF25" s="7" t="str">
        <f>IF(C25="","",VLOOKUP(C25,listaBolsa!$D$2:$BB$276,51,0))</f>
        <v/>
      </c>
      <c r="BG25" s="7">
        <v>15</v>
      </c>
      <c r="CA25" s="7" t="e">
        <f>VLOOKUP(C25,listaBolsa!$D$2:$BA$1248,1,0)</f>
        <v>#N/A</v>
      </c>
      <c r="CB25" s="7" t="e">
        <f>VLOOKUP(C25,listaBolsa!$D$2:$BA$1248,2,0)</f>
        <v>#N/A</v>
      </c>
      <c r="CC25" s="7" t="e">
        <f>VLOOKUP(C25,listaBolsa!$D$2:$BA$1248,10,0)</f>
        <v>#N/A</v>
      </c>
      <c r="CD25" s="7" t="e">
        <f>VLOOKUP(C25,listaBolsa!$D$2:$BA$1248,14,0)</f>
        <v>#N/A</v>
      </c>
      <c r="CE25" s="7" t="e">
        <f>VLOOKUP(C25,listaBolsa!$D$2:$BA$1248,23,0)</f>
        <v>#N/A</v>
      </c>
      <c r="CF25" s="7" t="e">
        <f>VLOOKUP(C25,listaBolsa!$D$2:$BA$1248,29,0)</f>
        <v>#N/A</v>
      </c>
      <c r="CG25" s="7" t="e">
        <f>VLOOKUP(C25,listaBolsa!$D$2:$BA$1248,36,0)</f>
        <v>#N/A</v>
      </c>
      <c r="CH25" s="7" t="e">
        <f>VLOOKUP(C25,listaBolsa!$D$2:$BA$1248,40,0)</f>
        <v>#N/A</v>
      </c>
      <c r="CI25" s="7" t="e">
        <f>VLOOKUP(C25,listaBolsa!$D$2:$BA$1248,48,0)</f>
        <v>#N/A</v>
      </c>
      <c r="CJ25" s="7" t="e">
        <f t="shared" si="11"/>
        <v>#N/A</v>
      </c>
      <c r="CK25" s="7" t="e">
        <f t="shared" si="12"/>
        <v>#N/A</v>
      </c>
      <c r="CL25" s="7" t="e">
        <f t="shared" si="13"/>
        <v>#N/A</v>
      </c>
      <c r="CM25" s="7" t="e">
        <f t="shared" si="14"/>
        <v>#N/A</v>
      </c>
      <c r="CN25" s="7" t="e">
        <f t="shared" si="15"/>
        <v>#N/A</v>
      </c>
      <c r="CO25" s="7" t="e">
        <f t="shared" si="16"/>
        <v>#N/A</v>
      </c>
      <c r="CP25" s="7" t="e">
        <f t="shared" si="17"/>
        <v>#N/A</v>
      </c>
      <c r="CQ25" s="7" t="e">
        <f t="shared" si="18"/>
        <v>#N/A</v>
      </c>
      <c r="CR25" s="7" t="e">
        <f t="shared" si="19"/>
        <v>#N/A</v>
      </c>
    </row>
    <row r="26" spans="1:96" s="7" customFormat="1" ht="21" hidden="1" x14ac:dyDescent="0.25">
      <c r="A26" s="75" t="str">
        <f t="shared" si="50"/>
        <v/>
      </c>
      <c r="B26" s="91"/>
      <c r="C26" s="82"/>
      <c r="D26" s="75" t="str">
        <f>IF(C26="","",VLOOKUP(C26,listaBolsa!$D$2:$H$1118,2,0))</f>
        <v/>
      </c>
      <c r="E26" s="91" t="str">
        <f>IF(C26="","",VLOOKUP(C26,listaBolsa!$D$2:$H$1118,3,0))</f>
        <v/>
      </c>
      <c r="F26" s="92"/>
      <c r="G26" s="235" t="str">
        <f>IF(C26="","",VLOOKUP(C26,listaBolsa!$D$2:$H$1118,5,0))</f>
        <v/>
      </c>
      <c r="H26" s="89" t="str">
        <f>IF(C26="","",VLOOKUP(C26,listaBolsa!$D$2:$W$1118,10,0))</f>
        <v/>
      </c>
      <c r="I26" s="128" t="str">
        <f>IF(C26="","",VLOOKUP(C26,listaBolsa!$D$2:$W$1118,14,0))</f>
        <v/>
      </c>
      <c r="J26" s="129" t="e">
        <f t="shared" si="24"/>
        <v>#VALUE!</v>
      </c>
      <c r="K26" s="129" t="e">
        <f t="shared" si="25"/>
        <v>#VALUE!</v>
      </c>
      <c r="L26" s="129" t="str">
        <f t="shared" si="26"/>
        <v/>
      </c>
      <c r="M26" s="129" t="str">
        <f t="shared" si="27"/>
        <v/>
      </c>
      <c r="N26" s="90" t="str">
        <f>IF(C26="","",VLOOKUP(C26,listaBolsa!$D$2:$AZ$1276,23,0))</f>
        <v/>
      </c>
      <c r="O26" s="130" t="str">
        <f>IF(C26="","",VLOOKUP(C26,listaBolsa!$D$2:$AZ$1276,27,0))</f>
        <v/>
      </c>
      <c r="P26" s="131" t="e">
        <f t="shared" si="28"/>
        <v>#VALUE!</v>
      </c>
      <c r="Q26" s="131" t="e">
        <f t="shared" si="29"/>
        <v>#VALUE!</v>
      </c>
      <c r="R26" s="131" t="str">
        <f t="shared" si="30"/>
        <v/>
      </c>
      <c r="S26" s="131" t="str">
        <f t="shared" si="31"/>
        <v/>
      </c>
      <c r="T26" s="83" t="str">
        <f>IF(C26="","",VLOOKUP(C26,listaBolsa!$D$2:$BB$1276,36,0))</f>
        <v/>
      </c>
      <c r="U26" s="132" t="str">
        <f>IF(C26="","",VLOOKUP(C26,listaBolsa!$D$2:$BB$1276,40,0))</f>
        <v/>
      </c>
      <c r="V26" s="133" t="e">
        <f t="shared" si="32"/>
        <v>#VALUE!</v>
      </c>
      <c r="W26" s="133" t="e">
        <f t="shared" si="33"/>
        <v>#VALUE!</v>
      </c>
      <c r="X26" s="133" t="str">
        <f t="shared" si="34"/>
        <v/>
      </c>
      <c r="Y26" s="133" t="str">
        <f t="shared" si="35"/>
        <v/>
      </c>
      <c r="Z26" s="134" t="str">
        <f t="shared" si="51"/>
        <v/>
      </c>
      <c r="AA26" s="134" t="str">
        <f t="shared" si="52"/>
        <v/>
      </c>
      <c r="AB26" s="135" t="str">
        <f t="shared" si="53"/>
        <v/>
      </c>
      <c r="AC26" s="85" t="str">
        <f t="shared" si="54"/>
        <v/>
      </c>
      <c r="AD26" s="234"/>
      <c r="AF26" s="7" t="str">
        <f>IF(C26="","",VLOOKUP(C26,listaBolsa!$D$2:$BB$276,51,0))</f>
        <v/>
      </c>
      <c r="BG26" s="7">
        <v>16</v>
      </c>
      <c r="CA26" s="7" t="e">
        <f>VLOOKUP(C26,listaBolsa!$D$2:$BA$1248,1,0)</f>
        <v>#N/A</v>
      </c>
      <c r="CB26" s="7" t="e">
        <f>VLOOKUP(C26,listaBolsa!$D$2:$BA$1248,2,0)</f>
        <v>#N/A</v>
      </c>
      <c r="CC26" s="7" t="e">
        <f>VLOOKUP(C26,listaBolsa!$D$2:$BA$1248,10,0)</f>
        <v>#N/A</v>
      </c>
      <c r="CD26" s="7" t="e">
        <f>VLOOKUP(C26,listaBolsa!$D$2:$BA$1248,14,0)</f>
        <v>#N/A</v>
      </c>
      <c r="CE26" s="7" t="e">
        <f>VLOOKUP(C26,listaBolsa!$D$2:$BA$1248,23,0)</f>
        <v>#N/A</v>
      </c>
      <c r="CF26" s="7" t="e">
        <f>VLOOKUP(C26,listaBolsa!$D$2:$BA$1248,29,0)</f>
        <v>#N/A</v>
      </c>
      <c r="CG26" s="7" t="e">
        <f>VLOOKUP(C26,listaBolsa!$D$2:$BA$1248,36,0)</f>
        <v>#N/A</v>
      </c>
      <c r="CH26" s="7" t="e">
        <f>VLOOKUP(C26,listaBolsa!$D$2:$BA$1248,40,0)</f>
        <v>#N/A</v>
      </c>
      <c r="CI26" s="7" t="e">
        <f>VLOOKUP(C26,listaBolsa!$D$2:$BA$1248,48,0)</f>
        <v>#N/A</v>
      </c>
      <c r="CJ26" s="7" t="e">
        <f t="shared" si="11"/>
        <v>#N/A</v>
      </c>
      <c r="CK26" s="7" t="e">
        <f t="shared" si="12"/>
        <v>#N/A</v>
      </c>
      <c r="CL26" s="7" t="e">
        <f t="shared" si="13"/>
        <v>#N/A</v>
      </c>
      <c r="CM26" s="7" t="e">
        <f t="shared" si="14"/>
        <v>#N/A</v>
      </c>
      <c r="CN26" s="7" t="e">
        <f t="shared" si="15"/>
        <v>#N/A</v>
      </c>
      <c r="CO26" s="7" t="e">
        <f t="shared" si="16"/>
        <v>#N/A</v>
      </c>
      <c r="CP26" s="7" t="e">
        <f t="shared" si="17"/>
        <v>#N/A</v>
      </c>
      <c r="CQ26" s="7" t="e">
        <f t="shared" si="18"/>
        <v>#N/A</v>
      </c>
      <c r="CR26" s="7" t="e">
        <f t="shared" si="19"/>
        <v>#N/A</v>
      </c>
    </row>
    <row r="27" spans="1:96" s="7" customFormat="1" ht="21" hidden="1" x14ac:dyDescent="0.25">
      <c r="A27" s="75" t="str">
        <f t="shared" si="50"/>
        <v/>
      </c>
      <c r="B27" s="91"/>
      <c r="C27" s="82"/>
      <c r="D27" s="75" t="str">
        <f>IF(C27="","",VLOOKUP(C27,listaBolsa!$D$2:$H$1118,2,0))</f>
        <v/>
      </c>
      <c r="E27" s="91" t="str">
        <f>IF(C27="","",VLOOKUP(C27,listaBolsa!$D$2:$H$1118,3,0))</f>
        <v/>
      </c>
      <c r="F27" s="92"/>
      <c r="G27" s="235" t="str">
        <f>IF(C27="","",VLOOKUP(C27,listaBolsa!$D$2:$H$1118,5,0))</f>
        <v/>
      </c>
      <c r="H27" s="89" t="str">
        <f>IF(C27="","",VLOOKUP(C27,listaBolsa!$D$2:$W$1118,10,0))</f>
        <v/>
      </c>
      <c r="I27" s="128" t="str">
        <f>IF(C27="","",VLOOKUP(C27,listaBolsa!$D$2:$W$1118,14,0))</f>
        <v/>
      </c>
      <c r="J27" s="129" t="e">
        <f t="shared" si="24"/>
        <v>#VALUE!</v>
      </c>
      <c r="K27" s="129" t="e">
        <f t="shared" si="25"/>
        <v>#VALUE!</v>
      </c>
      <c r="L27" s="129" t="str">
        <f t="shared" si="26"/>
        <v/>
      </c>
      <c r="M27" s="129" t="str">
        <f t="shared" si="27"/>
        <v/>
      </c>
      <c r="N27" s="90" t="str">
        <f>IF(C27="","",VLOOKUP(C27,listaBolsa!$D$2:$AZ$1276,23,0))</f>
        <v/>
      </c>
      <c r="O27" s="130" t="str">
        <f>IF(C27="","",VLOOKUP(C27,listaBolsa!$D$2:$AZ$1276,27,0))</f>
        <v/>
      </c>
      <c r="P27" s="131" t="e">
        <f t="shared" si="28"/>
        <v>#VALUE!</v>
      </c>
      <c r="Q27" s="131" t="e">
        <f t="shared" si="29"/>
        <v>#VALUE!</v>
      </c>
      <c r="R27" s="131" t="str">
        <f t="shared" si="30"/>
        <v/>
      </c>
      <c r="S27" s="131" t="str">
        <f t="shared" si="31"/>
        <v/>
      </c>
      <c r="T27" s="83" t="str">
        <f>IF(C27="","",VLOOKUP(C27,listaBolsa!$D$2:$BB$1276,36,0))</f>
        <v/>
      </c>
      <c r="U27" s="132" t="str">
        <f>IF(C27="","",VLOOKUP(C27,listaBolsa!$D$2:$BB$1276,40,0))</f>
        <v/>
      </c>
      <c r="V27" s="133" t="e">
        <f t="shared" si="32"/>
        <v>#VALUE!</v>
      </c>
      <c r="W27" s="133" t="e">
        <f t="shared" si="33"/>
        <v>#VALUE!</v>
      </c>
      <c r="X27" s="133" t="str">
        <f t="shared" si="34"/>
        <v/>
      </c>
      <c r="Y27" s="133" t="str">
        <f t="shared" si="35"/>
        <v/>
      </c>
      <c r="Z27" s="134" t="str">
        <f t="shared" si="51"/>
        <v/>
      </c>
      <c r="AA27" s="134" t="str">
        <f t="shared" si="52"/>
        <v/>
      </c>
      <c r="AB27" s="135" t="str">
        <f t="shared" si="53"/>
        <v/>
      </c>
      <c r="AC27" s="85" t="str">
        <f t="shared" si="54"/>
        <v/>
      </c>
      <c r="AD27" s="234"/>
      <c r="AF27" s="7" t="str">
        <f>IF(C27="","",VLOOKUP(C27,listaBolsa!$D$2:$BB$276,51,0))</f>
        <v/>
      </c>
      <c r="BG27" s="7">
        <v>17</v>
      </c>
      <c r="CA27" s="7" t="e">
        <f>VLOOKUP(C27,listaBolsa!$D$2:$BA$1248,1,0)</f>
        <v>#N/A</v>
      </c>
      <c r="CB27" s="7" t="e">
        <f>VLOOKUP(C27,listaBolsa!$D$2:$BA$1248,2,0)</f>
        <v>#N/A</v>
      </c>
      <c r="CC27" s="7" t="e">
        <f>VLOOKUP(C27,listaBolsa!$D$2:$BA$1248,10,0)</f>
        <v>#N/A</v>
      </c>
      <c r="CD27" s="7" t="e">
        <f>VLOOKUP(C27,listaBolsa!$D$2:$BA$1248,14,0)</f>
        <v>#N/A</v>
      </c>
      <c r="CE27" s="7" t="e">
        <f>VLOOKUP(C27,listaBolsa!$D$2:$BA$1248,23,0)</f>
        <v>#N/A</v>
      </c>
      <c r="CF27" s="7" t="e">
        <f>VLOOKUP(C27,listaBolsa!$D$2:$BA$1248,29,0)</f>
        <v>#N/A</v>
      </c>
      <c r="CG27" s="7" t="e">
        <f>VLOOKUP(C27,listaBolsa!$D$2:$BA$1248,36,0)</f>
        <v>#N/A</v>
      </c>
      <c r="CH27" s="7" t="e">
        <f>VLOOKUP(C27,listaBolsa!$D$2:$BA$1248,40,0)</f>
        <v>#N/A</v>
      </c>
      <c r="CI27" s="7" t="e">
        <f>VLOOKUP(C27,listaBolsa!$D$2:$BA$1248,48,0)</f>
        <v>#N/A</v>
      </c>
      <c r="CJ27" s="7" t="e">
        <f t="shared" si="11"/>
        <v>#N/A</v>
      </c>
      <c r="CK27" s="7" t="e">
        <f t="shared" si="12"/>
        <v>#N/A</v>
      </c>
      <c r="CL27" s="7" t="e">
        <f t="shared" si="13"/>
        <v>#N/A</v>
      </c>
      <c r="CM27" s="7" t="e">
        <f t="shared" si="14"/>
        <v>#N/A</v>
      </c>
      <c r="CN27" s="7" t="e">
        <f t="shared" si="15"/>
        <v>#N/A</v>
      </c>
      <c r="CO27" s="7" t="e">
        <f t="shared" si="16"/>
        <v>#N/A</v>
      </c>
      <c r="CP27" s="7" t="e">
        <f t="shared" si="17"/>
        <v>#N/A</v>
      </c>
      <c r="CQ27" s="7" t="e">
        <f t="shared" si="18"/>
        <v>#N/A</v>
      </c>
      <c r="CR27" s="7" t="e">
        <f t="shared" si="19"/>
        <v>#N/A</v>
      </c>
    </row>
    <row r="28" spans="1:96" s="7" customFormat="1" ht="21" hidden="1" x14ac:dyDescent="0.25">
      <c r="A28" s="75" t="str">
        <f t="shared" si="50"/>
        <v/>
      </c>
      <c r="B28" s="91"/>
      <c r="C28" s="82"/>
      <c r="D28" s="75" t="str">
        <f>IF(C28="","",VLOOKUP(C28,listaBolsa!$D$2:$H$1118,2,0))</f>
        <v/>
      </c>
      <c r="E28" s="91" t="str">
        <f>IF(C28="","",VLOOKUP(C28,listaBolsa!$D$2:$H$1118,3,0))</f>
        <v/>
      </c>
      <c r="F28" s="92"/>
      <c r="G28" s="235" t="str">
        <f>IF(C28="","",VLOOKUP(C28,listaBolsa!$D$2:$H$1118,5,0))</f>
        <v/>
      </c>
      <c r="H28" s="89" t="str">
        <f>IF(C28="","",VLOOKUP(C28,listaBolsa!$D$2:$W$1118,10,0))</f>
        <v/>
      </c>
      <c r="I28" s="128" t="str">
        <f>IF(C28="","",VLOOKUP(C28,listaBolsa!$D$2:$W$1118,14,0))</f>
        <v/>
      </c>
      <c r="J28" s="129" t="e">
        <f t="shared" si="24"/>
        <v>#VALUE!</v>
      </c>
      <c r="K28" s="129" t="e">
        <f t="shared" si="25"/>
        <v>#VALUE!</v>
      </c>
      <c r="L28" s="129" t="str">
        <f t="shared" si="26"/>
        <v/>
      </c>
      <c r="M28" s="129" t="str">
        <f t="shared" si="27"/>
        <v/>
      </c>
      <c r="N28" s="90" t="str">
        <f>IF(C28="","",VLOOKUP(C28,listaBolsa!$D$2:$AZ$1276,23,0))</f>
        <v/>
      </c>
      <c r="O28" s="130" t="str">
        <f>IF(C28="","",VLOOKUP(C28,listaBolsa!$D$2:$AZ$1276,27,0))</f>
        <v/>
      </c>
      <c r="P28" s="131" t="e">
        <f t="shared" si="28"/>
        <v>#VALUE!</v>
      </c>
      <c r="Q28" s="131" t="e">
        <f t="shared" si="29"/>
        <v>#VALUE!</v>
      </c>
      <c r="R28" s="131" t="str">
        <f t="shared" si="30"/>
        <v/>
      </c>
      <c r="S28" s="131" t="str">
        <f t="shared" si="31"/>
        <v/>
      </c>
      <c r="T28" s="83" t="str">
        <f>IF(C28="","",VLOOKUP(C28,listaBolsa!$D$2:$BB$1276,36,0))</f>
        <v/>
      </c>
      <c r="U28" s="132" t="str">
        <f>IF(C28="","",VLOOKUP(C28,listaBolsa!$D$2:$BB$1276,40,0))</f>
        <v/>
      </c>
      <c r="V28" s="133" t="e">
        <f t="shared" si="32"/>
        <v>#VALUE!</v>
      </c>
      <c r="W28" s="133" t="e">
        <f t="shared" si="33"/>
        <v>#VALUE!</v>
      </c>
      <c r="X28" s="133" t="str">
        <f t="shared" si="34"/>
        <v/>
      </c>
      <c r="Y28" s="133" t="str">
        <f t="shared" si="35"/>
        <v/>
      </c>
      <c r="Z28" s="134" t="str">
        <f t="shared" si="51"/>
        <v/>
      </c>
      <c r="AA28" s="134" t="str">
        <f t="shared" si="52"/>
        <v/>
      </c>
      <c r="AB28" s="135" t="str">
        <f t="shared" si="53"/>
        <v/>
      </c>
      <c r="AC28" s="85" t="str">
        <f t="shared" si="54"/>
        <v/>
      </c>
      <c r="AD28" s="234"/>
      <c r="AF28" s="7" t="str">
        <f>IF(C28="","",VLOOKUP(C28,listaBolsa!$D$2:$BB$276,51,0))</f>
        <v/>
      </c>
      <c r="BG28" s="7">
        <v>18</v>
      </c>
      <c r="CA28" s="7" t="e">
        <f>VLOOKUP(C28,listaBolsa!$D$2:$BA$1248,1,0)</f>
        <v>#N/A</v>
      </c>
      <c r="CB28" s="7" t="e">
        <f>VLOOKUP(C28,listaBolsa!$D$2:$BA$1248,2,0)</f>
        <v>#N/A</v>
      </c>
      <c r="CC28" s="7" t="e">
        <f>VLOOKUP(C28,listaBolsa!$D$2:$BA$1248,10,0)</f>
        <v>#N/A</v>
      </c>
      <c r="CD28" s="7" t="e">
        <f>VLOOKUP(C28,listaBolsa!$D$2:$BA$1248,14,0)</f>
        <v>#N/A</v>
      </c>
      <c r="CE28" s="7" t="e">
        <f>VLOOKUP(C28,listaBolsa!$D$2:$BA$1248,23,0)</f>
        <v>#N/A</v>
      </c>
      <c r="CF28" s="7" t="e">
        <f>VLOOKUP(C28,listaBolsa!$D$2:$BA$1248,29,0)</f>
        <v>#N/A</v>
      </c>
      <c r="CG28" s="7" t="e">
        <f>VLOOKUP(C28,listaBolsa!$D$2:$BA$1248,36,0)</f>
        <v>#N/A</v>
      </c>
      <c r="CH28" s="7" t="e">
        <f>VLOOKUP(C28,listaBolsa!$D$2:$BA$1248,40,0)</f>
        <v>#N/A</v>
      </c>
      <c r="CI28" s="7" t="e">
        <f>VLOOKUP(C28,listaBolsa!$D$2:$BA$1248,48,0)</f>
        <v>#N/A</v>
      </c>
      <c r="CJ28" s="7" t="e">
        <f t="shared" si="11"/>
        <v>#N/A</v>
      </c>
      <c r="CK28" s="7" t="e">
        <f t="shared" si="12"/>
        <v>#N/A</v>
      </c>
      <c r="CL28" s="7" t="e">
        <f t="shared" si="13"/>
        <v>#N/A</v>
      </c>
      <c r="CM28" s="7" t="e">
        <f t="shared" si="14"/>
        <v>#N/A</v>
      </c>
      <c r="CN28" s="7" t="e">
        <f t="shared" si="15"/>
        <v>#N/A</v>
      </c>
      <c r="CO28" s="7" t="e">
        <f t="shared" si="16"/>
        <v>#N/A</v>
      </c>
      <c r="CP28" s="7" t="e">
        <f t="shared" si="17"/>
        <v>#N/A</v>
      </c>
      <c r="CQ28" s="7" t="e">
        <f t="shared" si="18"/>
        <v>#N/A</v>
      </c>
      <c r="CR28" s="7" t="e">
        <f t="shared" si="19"/>
        <v>#N/A</v>
      </c>
    </row>
    <row r="29" spans="1:96" s="7" customFormat="1" ht="21" hidden="1" x14ac:dyDescent="0.25">
      <c r="A29" s="75" t="str">
        <f t="shared" si="50"/>
        <v/>
      </c>
      <c r="B29" s="91"/>
      <c r="C29" s="82"/>
      <c r="D29" s="75" t="str">
        <f>IF(C29="","",VLOOKUP(C29,listaBolsa!$D$2:$H$1118,2,0))</f>
        <v/>
      </c>
      <c r="E29" s="91" t="str">
        <f>IF(C29="","",VLOOKUP(C29,listaBolsa!$D$2:$H$1118,3,0))</f>
        <v/>
      </c>
      <c r="F29" s="92"/>
      <c r="G29" s="235" t="str">
        <f>IF(C29="","",VLOOKUP(C29,listaBolsa!$D$2:$H$1118,5,0))</f>
        <v/>
      </c>
      <c r="H29" s="89" t="str">
        <f>IF(C29="","",VLOOKUP(C29,listaBolsa!$D$2:$W$1118,10,0))</f>
        <v/>
      </c>
      <c r="I29" s="128" t="str">
        <f>IF(C29="","",VLOOKUP(C29,listaBolsa!$D$2:$W$1118,14,0))</f>
        <v/>
      </c>
      <c r="J29" s="129" t="e">
        <f t="shared" si="24"/>
        <v>#VALUE!</v>
      </c>
      <c r="K29" s="129" t="e">
        <f t="shared" si="25"/>
        <v>#VALUE!</v>
      </c>
      <c r="L29" s="129" t="str">
        <f t="shared" si="26"/>
        <v/>
      </c>
      <c r="M29" s="129" t="str">
        <f t="shared" si="27"/>
        <v/>
      </c>
      <c r="N29" s="90" t="str">
        <f>IF(C29="","",VLOOKUP(C29,listaBolsa!$D$2:$AZ$1276,23,0))</f>
        <v/>
      </c>
      <c r="O29" s="130" t="str">
        <f>IF(C29="","",VLOOKUP(C29,listaBolsa!$D$2:$AZ$1276,27,0))</f>
        <v/>
      </c>
      <c r="P29" s="131" t="e">
        <f t="shared" si="28"/>
        <v>#VALUE!</v>
      </c>
      <c r="Q29" s="131" t="e">
        <f t="shared" si="29"/>
        <v>#VALUE!</v>
      </c>
      <c r="R29" s="131" t="str">
        <f t="shared" si="30"/>
        <v/>
      </c>
      <c r="S29" s="131" t="str">
        <f t="shared" si="31"/>
        <v/>
      </c>
      <c r="T29" s="83" t="str">
        <f>IF(C29="","",VLOOKUP(C29,listaBolsa!$D$2:$BB$1276,36,0))</f>
        <v/>
      </c>
      <c r="U29" s="132" t="str">
        <f>IF(C29="","",VLOOKUP(C29,listaBolsa!$D$2:$BB$1276,40,0))</f>
        <v/>
      </c>
      <c r="V29" s="133" t="e">
        <f t="shared" si="32"/>
        <v>#VALUE!</v>
      </c>
      <c r="W29" s="133" t="e">
        <f t="shared" si="33"/>
        <v>#VALUE!</v>
      </c>
      <c r="X29" s="133" t="str">
        <f t="shared" si="34"/>
        <v/>
      </c>
      <c r="Y29" s="133" t="str">
        <f t="shared" si="35"/>
        <v/>
      </c>
      <c r="Z29" s="134" t="str">
        <f t="shared" si="51"/>
        <v/>
      </c>
      <c r="AA29" s="134" t="str">
        <f t="shared" si="52"/>
        <v/>
      </c>
      <c r="AB29" s="135" t="str">
        <f t="shared" si="53"/>
        <v/>
      </c>
      <c r="AC29" s="85" t="str">
        <f t="shared" si="54"/>
        <v/>
      </c>
      <c r="AD29" s="234"/>
      <c r="AF29" s="7" t="str">
        <f>IF(C29="","",VLOOKUP(C29,listaBolsa!$D$2:$BB$276,51,0))</f>
        <v/>
      </c>
      <c r="BG29" s="7">
        <v>19</v>
      </c>
      <c r="CA29" s="7" t="e">
        <f>VLOOKUP(C29,listaBolsa!$D$2:$BA$1248,1,0)</f>
        <v>#N/A</v>
      </c>
      <c r="CB29" s="7" t="e">
        <f>VLOOKUP(C29,listaBolsa!$D$2:$BA$1248,2,0)</f>
        <v>#N/A</v>
      </c>
      <c r="CC29" s="7" t="e">
        <f>VLOOKUP(C29,listaBolsa!$D$2:$BA$1248,10,0)</f>
        <v>#N/A</v>
      </c>
      <c r="CD29" s="7" t="e">
        <f>VLOOKUP(C29,listaBolsa!$D$2:$BA$1248,14,0)</f>
        <v>#N/A</v>
      </c>
      <c r="CE29" s="7" t="e">
        <f>VLOOKUP(C29,listaBolsa!$D$2:$BA$1248,23,0)</f>
        <v>#N/A</v>
      </c>
      <c r="CF29" s="7" t="e">
        <f>VLOOKUP(C29,listaBolsa!$D$2:$BA$1248,29,0)</f>
        <v>#N/A</v>
      </c>
      <c r="CG29" s="7" t="e">
        <f>VLOOKUP(C29,listaBolsa!$D$2:$BA$1248,36,0)</f>
        <v>#N/A</v>
      </c>
      <c r="CH29" s="7" t="e">
        <f>VLOOKUP(C29,listaBolsa!$D$2:$BA$1248,40,0)</f>
        <v>#N/A</v>
      </c>
      <c r="CI29" s="7" t="e">
        <f>VLOOKUP(C29,listaBolsa!$D$2:$BA$1248,48,0)</f>
        <v>#N/A</v>
      </c>
      <c r="CJ29" s="7" t="e">
        <f t="shared" si="11"/>
        <v>#N/A</v>
      </c>
      <c r="CK29" s="7" t="e">
        <f t="shared" si="12"/>
        <v>#N/A</v>
      </c>
      <c r="CL29" s="7" t="e">
        <f t="shared" si="13"/>
        <v>#N/A</v>
      </c>
      <c r="CM29" s="7" t="e">
        <f t="shared" si="14"/>
        <v>#N/A</v>
      </c>
      <c r="CN29" s="7" t="e">
        <f t="shared" si="15"/>
        <v>#N/A</v>
      </c>
      <c r="CO29" s="7" t="e">
        <f t="shared" si="16"/>
        <v>#N/A</v>
      </c>
      <c r="CP29" s="7" t="e">
        <f t="shared" si="17"/>
        <v>#N/A</v>
      </c>
      <c r="CQ29" s="7" t="e">
        <f t="shared" si="18"/>
        <v>#N/A</v>
      </c>
      <c r="CR29" s="7" t="e">
        <f t="shared" si="19"/>
        <v>#N/A</v>
      </c>
    </row>
    <row r="30" spans="1:96" s="7" customFormat="1" ht="21" hidden="1" x14ac:dyDescent="0.25">
      <c r="A30" s="75" t="str">
        <f t="shared" si="50"/>
        <v/>
      </c>
      <c r="B30" s="91"/>
      <c r="C30" s="82"/>
      <c r="D30" s="75" t="str">
        <f>IF(C30="","",VLOOKUP(C30,listaBolsa!$D$2:$H$1118,2,0))</f>
        <v/>
      </c>
      <c r="E30" s="91" t="str">
        <f>IF(C30="","",VLOOKUP(C30,listaBolsa!$D$2:$H$1118,3,0))</f>
        <v/>
      </c>
      <c r="F30" s="92"/>
      <c r="G30" s="235" t="str">
        <f>IF(C30="","",VLOOKUP(C30,listaBolsa!$D$2:$H$1118,5,0))</f>
        <v/>
      </c>
      <c r="H30" s="89" t="str">
        <f>IF(C30="","",VLOOKUP(C30,listaBolsa!$D$2:$W$1118,10,0))</f>
        <v/>
      </c>
      <c r="I30" s="128" t="str">
        <f>IF(C30="","",VLOOKUP(C30,listaBolsa!$D$2:$W$1118,14,0))</f>
        <v/>
      </c>
      <c r="J30" s="129" t="e">
        <f t="shared" si="24"/>
        <v>#VALUE!</v>
      </c>
      <c r="K30" s="129" t="e">
        <f t="shared" si="25"/>
        <v>#VALUE!</v>
      </c>
      <c r="L30" s="129" t="str">
        <f t="shared" si="26"/>
        <v/>
      </c>
      <c r="M30" s="129" t="str">
        <f t="shared" si="27"/>
        <v/>
      </c>
      <c r="N30" s="90" t="str">
        <f>IF(C30="","",VLOOKUP(C30,listaBolsa!$D$2:$AZ$1276,23,0))</f>
        <v/>
      </c>
      <c r="O30" s="130" t="str">
        <f>IF(C30="","",VLOOKUP(C30,listaBolsa!$D$2:$AZ$1276,27,0))</f>
        <v/>
      </c>
      <c r="P30" s="131" t="e">
        <f t="shared" si="28"/>
        <v>#VALUE!</v>
      </c>
      <c r="Q30" s="131" t="e">
        <f t="shared" si="29"/>
        <v>#VALUE!</v>
      </c>
      <c r="R30" s="131" t="str">
        <f t="shared" si="30"/>
        <v/>
      </c>
      <c r="S30" s="131" t="str">
        <f t="shared" si="31"/>
        <v/>
      </c>
      <c r="T30" s="83" t="str">
        <f>IF(C30="","",VLOOKUP(C30,listaBolsa!$D$2:$BB$1276,36,0))</f>
        <v/>
      </c>
      <c r="U30" s="132" t="str">
        <f>IF(C30="","",VLOOKUP(C30,listaBolsa!$D$2:$BB$1276,40,0))</f>
        <v/>
      </c>
      <c r="V30" s="133" t="e">
        <f t="shared" si="32"/>
        <v>#VALUE!</v>
      </c>
      <c r="W30" s="133" t="e">
        <f t="shared" si="33"/>
        <v>#VALUE!</v>
      </c>
      <c r="X30" s="133" t="str">
        <f t="shared" si="34"/>
        <v/>
      </c>
      <c r="Y30" s="133" t="str">
        <f t="shared" si="35"/>
        <v/>
      </c>
      <c r="Z30" s="134" t="str">
        <f t="shared" si="51"/>
        <v/>
      </c>
      <c r="AA30" s="134" t="str">
        <f t="shared" si="52"/>
        <v/>
      </c>
      <c r="AB30" s="135" t="str">
        <f t="shared" si="53"/>
        <v/>
      </c>
      <c r="AC30" s="85" t="str">
        <f t="shared" si="54"/>
        <v/>
      </c>
      <c r="AD30" s="234"/>
      <c r="AF30" s="7" t="str">
        <f>IF(C30="","",VLOOKUP(C30,listaBolsa!$D$2:$BB$276,51,0))</f>
        <v/>
      </c>
      <c r="BG30" s="7">
        <v>20</v>
      </c>
      <c r="CA30" s="7" t="e">
        <f>VLOOKUP(C30,listaBolsa!$D$2:$BA$1248,1,0)</f>
        <v>#N/A</v>
      </c>
      <c r="CB30" s="7" t="e">
        <f>VLOOKUP(C30,listaBolsa!$D$2:$BA$1248,2,0)</f>
        <v>#N/A</v>
      </c>
      <c r="CC30" s="7" t="e">
        <f>VLOOKUP(C30,listaBolsa!$D$2:$BA$1248,10,0)</f>
        <v>#N/A</v>
      </c>
      <c r="CD30" s="7" t="e">
        <f>VLOOKUP(C30,listaBolsa!$D$2:$BA$1248,14,0)</f>
        <v>#N/A</v>
      </c>
      <c r="CE30" s="7" t="e">
        <f>VLOOKUP(C30,listaBolsa!$D$2:$BA$1248,23,0)</f>
        <v>#N/A</v>
      </c>
      <c r="CF30" s="7" t="e">
        <f>VLOOKUP(C30,listaBolsa!$D$2:$BA$1248,29,0)</f>
        <v>#N/A</v>
      </c>
      <c r="CG30" s="7" t="e">
        <f>VLOOKUP(C30,listaBolsa!$D$2:$BA$1248,36,0)</f>
        <v>#N/A</v>
      </c>
      <c r="CH30" s="7" t="e">
        <f>VLOOKUP(C30,listaBolsa!$D$2:$BA$1248,40,0)</f>
        <v>#N/A</v>
      </c>
      <c r="CI30" s="7" t="e">
        <f>VLOOKUP(C30,listaBolsa!$D$2:$BA$1248,48,0)</f>
        <v>#N/A</v>
      </c>
      <c r="CJ30" s="7" t="e">
        <f t="shared" si="11"/>
        <v>#N/A</v>
      </c>
      <c r="CK30" s="7" t="e">
        <f t="shared" si="12"/>
        <v>#N/A</v>
      </c>
      <c r="CL30" s="7" t="e">
        <f t="shared" si="13"/>
        <v>#N/A</v>
      </c>
      <c r="CM30" s="7" t="e">
        <f t="shared" si="14"/>
        <v>#N/A</v>
      </c>
      <c r="CN30" s="7" t="e">
        <f t="shared" si="15"/>
        <v>#N/A</v>
      </c>
      <c r="CO30" s="7" t="e">
        <f t="shared" si="16"/>
        <v>#N/A</v>
      </c>
      <c r="CP30" s="7" t="e">
        <f t="shared" si="17"/>
        <v>#N/A</v>
      </c>
      <c r="CQ30" s="7" t="e">
        <f t="shared" si="18"/>
        <v>#N/A</v>
      </c>
      <c r="CR30" s="7" t="e">
        <f t="shared" si="19"/>
        <v>#N/A</v>
      </c>
    </row>
    <row r="31" spans="1:96" s="7" customFormat="1" ht="21" hidden="1" x14ac:dyDescent="0.25">
      <c r="A31" s="75" t="str">
        <f t="shared" si="50"/>
        <v/>
      </c>
      <c r="B31" s="91"/>
      <c r="C31" s="82"/>
      <c r="D31" s="75" t="str">
        <f>IF(C31="","",VLOOKUP(C31,listaBolsa!$D$2:$H$1118,2,0))</f>
        <v/>
      </c>
      <c r="E31" s="91" t="str">
        <f>IF(C31="","",VLOOKUP(C31,listaBolsa!$D$2:$H$1118,3,0))</f>
        <v/>
      </c>
      <c r="F31" s="92"/>
      <c r="G31" s="235" t="str">
        <f>IF(C31="","",VLOOKUP(C31,listaBolsa!$D$2:$H$1118,5,0))</f>
        <v/>
      </c>
      <c r="H31" s="89" t="str">
        <f>IF(C31="","",VLOOKUP(C31,listaBolsa!$D$2:$W$1118,10,0))</f>
        <v/>
      </c>
      <c r="I31" s="128" t="str">
        <f>IF(C31="","",VLOOKUP(C31,listaBolsa!$D$2:$W$1118,14,0))</f>
        <v/>
      </c>
      <c r="J31" s="129" t="e">
        <f t="shared" si="24"/>
        <v>#VALUE!</v>
      </c>
      <c r="K31" s="129" t="e">
        <f t="shared" si="25"/>
        <v>#VALUE!</v>
      </c>
      <c r="L31" s="129" t="str">
        <f t="shared" si="26"/>
        <v/>
      </c>
      <c r="M31" s="129" t="str">
        <f t="shared" si="27"/>
        <v/>
      </c>
      <c r="N31" s="90" t="str">
        <f>IF(C31="","",VLOOKUP(C31,listaBolsa!$D$2:$AZ$1276,23,0))</f>
        <v/>
      </c>
      <c r="O31" s="130" t="str">
        <f>IF(C31="","",VLOOKUP(C31,listaBolsa!$D$2:$AZ$1276,27,0))</f>
        <v/>
      </c>
      <c r="P31" s="131" t="e">
        <f t="shared" si="28"/>
        <v>#VALUE!</v>
      </c>
      <c r="Q31" s="131" t="e">
        <f t="shared" si="29"/>
        <v>#VALUE!</v>
      </c>
      <c r="R31" s="131" t="str">
        <f t="shared" si="30"/>
        <v/>
      </c>
      <c r="S31" s="131" t="str">
        <f t="shared" si="31"/>
        <v/>
      </c>
      <c r="T31" s="83" t="str">
        <f>IF(C31="","",VLOOKUP(C31,listaBolsa!$D$2:$BB$1276,36,0))</f>
        <v/>
      </c>
      <c r="U31" s="132" t="str">
        <f>IF(C31="","",VLOOKUP(C31,listaBolsa!$D$2:$BB$1276,40,0))</f>
        <v/>
      </c>
      <c r="V31" s="133" t="e">
        <f t="shared" si="32"/>
        <v>#VALUE!</v>
      </c>
      <c r="W31" s="133" t="e">
        <f t="shared" si="33"/>
        <v>#VALUE!</v>
      </c>
      <c r="X31" s="133" t="str">
        <f t="shared" si="34"/>
        <v/>
      </c>
      <c r="Y31" s="133" t="str">
        <f t="shared" si="35"/>
        <v/>
      </c>
      <c r="Z31" s="134" t="str">
        <f t="shared" si="51"/>
        <v/>
      </c>
      <c r="AA31" s="134" t="str">
        <f t="shared" si="52"/>
        <v/>
      </c>
      <c r="AB31" s="135" t="str">
        <f t="shared" si="53"/>
        <v/>
      </c>
      <c r="AC31" s="85" t="str">
        <f t="shared" si="54"/>
        <v/>
      </c>
      <c r="AD31" s="234"/>
      <c r="AF31" s="7" t="str">
        <f>IF(C31="","",VLOOKUP(C31,listaBolsa!$D$2:$BB$276,51,0))</f>
        <v/>
      </c>
      <c r="BG31" s="7">
        <v>21</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1"/>
        <v>#N/A</v>
      </c>
      <c r="CK31" s="7" t="e">
        <f t="shared" si="12"/>
        <v>#N/A</v>
      </c>
      <c r="CL31" s="7" t="e">
        <f t="shared" si="13"/>
        <v>#N/A</v>
      </c>
      <c r="CM31" s="7" t="e">
        <f t="shared" si="14"/>
        <v>#N/A</v>
      </c>
      <c r="CN31" s="7" t="e">
        <f t="shared" si="15"/>
        <v>#N/A</v>
      </c>
      <c r="CO31" s="7" t="e">
        <f t="shared" si="16"/>
        <v>#N/A</v>
      </c>
      <c r="CP31" s="7" t="e">
        <f t="shared" si="17"/>
        <v>#N/A</v>
      </c>
      <c r="CQ31" s="7" t="e">
        <f t="shared" si="18"/>
        <v>#N/A</v>
      </c>
      <c r="CR31" s="7" t="e">
        <f t="shared" si="19"/>
        <v>#N/A</v>
      </c>
    </row>
    <row r="32" spans="1:96" s="7" customFormat="1" ht="21" hidden="1" x14ac:dyDescent="0.25">
      <c r="A32" s="75" t="str">
        <f t="shared" si="50"/>
        <v/>
      </c>
      <c r="B32" s="91"/>
      <c r="C32" s="82"/>
      <c r="D32" s="75" t="str">
        <f>IF(C32="","",VLOOKUP(C32,listaBolsa!$D$2:$H$1118,2,0))</f>
        <v/>
      </c>
      <c r="E32" s="91" t="str">
        <f>IF(C32="","",VLOOKUP(C32,listaBolsa!$D$2:$H$1118,3,0))</f>
        <v/>
      </c>
      <c r="F32" s="92"/>
      <c r="G32" s="235" t="str">
        <f>IF(C32="","",VLOOKUP(C32,listaBolsa!$D$2:$H$1118,5,0))</f>
        <v/>
      </c>
      <c r="H32" s="89" t="str">
        <f>IF(C32="","",VLOOKUP(C32,listaBolsa!$D$2:$W$1118,10,0))</f>
        <v/>
      </c>
      <c r="I32" s="128" t="str">
        <f>IF(C32="","",VLOOKUP(C32,listaBolsa!$D$2:$W$1118,14,0))</f>
        <v/>
      </c>
      <c r="J32" s="129" t="e">
        <f t="shared" si="24"/>
        <v>#VALUE!</v>
      </c>
      <c r="K32" s="129" t="e">
        <f t="shared" si="25"/>
        <v>#VALUE!</v>
      </c>
      <c r="L32" s="129" t="str">
        <f t="shared" si="26"/>
        <v/>
      </c>
      <c r="M32" s="129" t="str">
        <f t="shared" si="27"/>
        <v/>
      </c>
      <c r="N32" s="90" t="str">
        <f>IF(C32="","",VLOOKUP(C32,listaBolsa!$D$2:$AZ$1276,23,0))</f>
        <v/>
      </c>
      <c r="O32" s="130" t="str">
        <f>IF(C32="","",VLOOKUP(C32,listaBolsa!$D$2:$AZ$1276,27,0))</f>
        <v/>
      </c>
      <c r="P32" s="131" t="e">
        <f t="shared" si="28"/>
        <v>#VALUE!</v>
      </c>
      <c r="Q32" s="131" t="e">
        <f t="shared" si="29"/>
        <v>#VALUE!</v>
      </c>
      <c r="R32" s="131" t="str">
        <f t="shared" si="30"/>
        <v/>
      </c>
      <c r="S32" s="131" t="str">
        <f t="shared" si="31"/>
        <v/>
      </c>
      <c r="T32" s="83" t="str">
        <f>IF(C32="","",VLOOKUP(C32,listaBolsa!$D$2:$BB$1276,36,0))</f>
        <v/>
      </c>
      <c r="U32" s="132" t="str">
        <f>IF(C32="","",VLOOKUP(C32,listaBolsa!$D$2:$BB$1276,40,0))</f>
        <v/>
      </c>
      <c r="V32" s="133" t="e">
        <f t="shared" si="32"/>
        <v>#VALUE!</v>
      </c>
      <c r="W32" s="133" t="e">
        <f t="shared" si="33"/>
        <v>#VALUE!</v>
      </c>
      <c r="X32" s="133" t="str">
        <f t="shared" si="34"/>
        <v/>
      </c>
      <c r="Y32" s="133" t="str">
        <f t="shared" si="35"/>
        <v/>
      </c>
      <c r="Z32" s="134" t="str">
        <f t="shared" si="51"/>
        <v/>
      </c>
      <c r="AA32" s="134" t="str">
        <f t="shared" si="52"/>
        <v/>
      </c>
      <c r="AB32" s="135" t="str">
        <f t="shared" si="53"/>
        <v/>
      </c>
      <c r="AC32" s="85" t="str">
        <f t="shared" si="54"/>
        <v/>
      </c>
      <c r="AD32" s="234"/>
      <c r="AF32" s="7" t="str">
        <f>IF(C32="","",VLOOKUP(C32,listaBolsa!$D$2:$BB$276,51,0))</f>
        <v/>
      </c>
      <c r="BG32" s="7">
        <v>22</v>
      </c>
      <c r="CA32" s="7" t="e">
        <f>VLOOKUP(C32,listaBolsa!$D$2:$BA$1248,1,0)</f>
        <v>#N/A</v>
      </c>
      <c r="CB32" s="7" t="e">
        <f>VLOOKUP(C32,listaBolsa!$D$2:$BA$1248,2,0)</f>
        <v>#N/A</v>
      </c>
      <c r="CC32" s="7" t="e">
        <f>VLOOKUP(C32,listaBolsa!$D$2:$BA$1248,10,0)</f>
        <v>#N/A</v>
      </c>
      <c r="CD32" s="7" t="e">
        <f>VLOOKUP(C32,listaBolsa!$D$2:$BA$1248,14,0)</f>
        <v>#N/A</v>
      </c>
      <c r="CE32" s="7" t="e">
        <f>VLOOKUP(C32,listaBolsa!$D$2:$BA$1248,23,0)</f>
        <v>#N/A</v>
      </c>
      <c r="CF32" s="7" t="e">
        <f>VLOOKUP(C32,listaBolsa!$D$2:$BA$1248,29,0)</f>
        <v>#N/A</v>
      </c>
      <c r="CG32" s="7" t="e">
        <f>VLOOKUP(C32,listaBolsa!$D$2:$BA$1248,36,0)</f>
        <v>#N/A</v>
      </c>
      <c r="CH32" s="7" t="e">
        <f>VLOOKUP(C32,listaBolsa!$D$2:$BA$1248,40,0)</f>
        <v>#N/A</v>
      </c>
      <c r="CI32" s="7" t="e">
        <f>VLOOKUP(C32,listaBolsa!$D$2:$BA$1248,48,0)</f>
        <v>#N/A</v>
      </c>
      <c r="CJ32" s="7" t="e">
        <f t="shared" si="11"/>
        <v>#N/A</v>
      </c>
      <c r="CK32" s="7" t="e">
        <f t="shared" si="12"/>
        <v>#N/A</v>
      </c>
      <c r="CL32" s="7" t="e">
        <f t="shared" si="13"/>
        <v>#N/A</v>
      </c>
      <c r="CM32" s="7" t="e">
        <f t="shared" si="14"/>
        <v>#N/A</v>
      </c>
      <c r="CN32" s="7" t="e">
        <f t="shared" si="15"/>
        <v>#N/A</v>
      </c>
      <c r="CO32" s="7" t="e">
        <f t="shared" si="16"/>
        <v>#N/A</v>
      </c>
      <c r="CP32" s="7" t="e">
        <f t="shared" si="17"/>
        <v>#N/A</v>
      </c>
      <c r="CQ32" s="7" t="e">
        <f t="shared" si="18"/>
        <v>#N/A</v>
      </c>
      <c r="CR32" s="7" t="e">
        <f t="shared" si="19"/>
        <v>#N/A</v>
      </c>
    </row>
    <row r="33" spans="1:96" s="7" customFormat="1" ht="21" hidden="1" x14ac:dyDescent="0.25">
      <c r="A33" s="75" t="str">
        <f t="shared" si="50"/>
        <v/>
      </c>
      <c r="B33" s="91"/>
      <c r="C33" s="82"/>
      <c r="D33" s="75" t="str">
        <f>IF(C33="","",VLOOKUP(C33,listaBolsa!$D$2:$H$1118,2,0))</f>
        <v/>
      </c>
      <c r="E33" s="91" t="str">
        <f>IF(C33="","",VLOOKUP(C33,listaBolsa!$D$2:$H$1118,3,0))</f>
        <v/>
      </c>
      <c r="F33" s="92"/>
      <c r="G33" s="86" t="str">
        <f>IF(C33="","",VLOOKUP(C33,listaBolsa!$D$2:$H$1118,5,0))</f>
        <v/>
      </c>
      <c r="H33" s="89" t="str">
        <f>IF(C33="","",VLOOKUP(C33,listaBolsa!$D$2:$W$1118,10,0))</f>
        <v/>
      </c>
      <c r="I33" s="128" t="str">
        <f>IF(C33="","",VLOOKUP(C33,listaBolsa!$D$2:$W$1118,14,0))</f>
        <v/>
      </c>
      <c r="J33" s="129" t="e">
        <f t="shared" si="24"/>
        <v>#VALUE!</v>
      </c>
      <c r="K33" s="129" t="e">
        <f t="shared" si="25"/>
        <v>#VALUE!</v>
      </c>
      <c r="L33" s="129" t="str">
        <f t="shared" si="26"/>
        <v/>
      </c>
      <c r="M33" s="129" t="str">
        <f t="shared" si="27"/>
        <v/>
      </c>
      <c r="N33" s="90" t="str">
        <f>IF(C33="","",VLOOKUP(C33,listaBolsa!$D$2:$AZ$1276,23,0))</f>
        <v/>
      </c>
      <c r="O33" s="130" t="str">
        <f>IF(C33="","",VLOOKUP(C33,listaBolsa!$D$2:$AZ$1276,27,0))</f>
        <v/>
      </c>
      <c r="P33" s="131" t="e">
        <f t="shared" si="28"/>
        <v>#VALUE!</v>
      </c>
      <c r="Q33" s="131" t="e">
        <f t="shared" si="29"/>
        <v>#VALUE!</v>
      </c>
      <c r="R33" s="131" t="str">
        <f t="shared" si="30"/>
        <v/>
      </c>
      <c r="S33" s="131" t="str">
        <f t="shared" si="31"/>
        <v/>
      </c>
      <c r="T33" s="83" t="str">
        <f>IF(C33="","",VLOOKUP(C33,listaBolsa!$D$2:$BB$1276,36,0))</f>
        <v/>
      </c>
      <c r="U33" s="132" t="str">
        <f>IF(C33="","",VLOOKUP(C33,listaBolsa!$D$2:$BB$1276,40,0))</f>
        <v/>
      </c>
      <c r="V33" s="133" t="e">
        <f t="shared" si="32"/>
        <v>#VALUE!</v>
      </c>
      <c r="W33" s="133" t="e">
        <f t="shared" si="33"/>
        <v>#VALUE!</v>
      </c>
      <c r="X33" s="133" t="str">
        <f t="shared" si="34"/>
        <v/>
      </c>
      <c r="Y33" s="133" t="str">
        <f t="shared" si="35"/>
        <v/>
      </c>
      <c r="Z33" s="134" t="str">
        <f t="shared" si="51"/>
        <v/>
      </c>
      <c r="AA33" s="134" t="str">
        <f t="shared" si="52"/>
        <v/>
      </c>
      <c r="AB33" s="135" t="str">
        <f t="shared" si="53"/>
        <v/>
      </c>
      <c r="AC33" s="85" t="str">
        <f t="shared" si="54"/>
        <v/>
      </c>
      <c r="AD33" s="5"/>
      <c r="AF33" s="7" t="str">
        <f>IF(C33="","",VLOOKUP(C33,listaBolsa!$D$2:$BB$276,51,0))</f>
        <v/>
      </c>
      <c r="BG33" s="7">
        <v>23</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1"/>
        <v>#N/A</v>
      </c>
      <c r="CK33" s="7" t="e">
        <f t="shared" si="12"/>
        <v>#N/A</v>
      </c>
      <c r="CL33" s="7" t="e">
        <f t="shared" si="13"/>
        <v>#N/A</v>
      </c>
      <c r="CM33" s="7" t="e">
        <f t="shared" si="14"/>
        <v>#N/A</v>
      </c>
      <c r="CN33" s="7" t="e">
        <f t="shared" si="15"/>
        <v>#N/A</v>
      </c>
      <c r="CO33" s="7" t="e">
        <f t="shared" si="16"/>
        <v>#N/A</v>
      </c>
      <c r="CP33" s="7" t="e">
        <f t="shared" si="17"/>
        <v>#N/A</v>
      </c>
      <c r="CQ33" s="7" t="e">
        <f t="shared" si="18"/>
        <v>#N/A</v>
      </c>
      <c r="CR33" s="7" t="e">
        <f t="shared" si="19"/>
        <v>#N/A</v>
      </c>
    </row>
    <row r="34" spans="1:96" s="7" customFormat="1" ht="21" hidden="1" x14ac:dyDescent="0.25">
      <c r="A34" s="75" t="str">
        <f t="shared" si="50"/>
        <v/>
      </c>
      <c r="B34" s="91"/>
      <c r="C34" s="82"/>
      <c r="D34" s="75" t="str">
        <f>IF(C34="","",VLOOKUP(C34,listaBolsa!$D$2:$H$1118,2,0))</f>
        <v/>
      </c>
      <c r="E34" s="91" t="str">
        <f>IF(C34="","",VLOOKUP(C34,listaBolsa!$D$2:$H$1118,3,0))</f>
        <v/>
      </c>
      <c r="F34" s="92"/>
      <c r="G34" s="86" t="str">
        <f>IF(C34="","",VLOOKUP(C34,listaBolsa!$D$2:$H$1118,5,0))</f>
        <v/>
      </c>
      <c r="H34" s="89" t="str">
        <f>IF(C34="","",VLOOKUP(C34,listaBolsa!$D$2:$W$1118,10,0))</f>
        <v/>
      </c>
      <c r="I34" s="128" t="str">
        <f>IF(C34="","",VLOOKUP(C34,listaBolsa!$D$2:$W$1118,14,0))</f>
        <v/>
      </c>
      <c r="J34" s="129" t="e">
        <f t="shared" ref="J34:J75" si="55">I34*19%</f>
        <v>#VALUE!</v>
      </c>
      <c r="K34" s="129" t="e">
        <f t="shared" ref="K34:K75" si="56">I34+J34</f>
        <v>#VALUE!</v>
      </c>
      <c r="L34" s="129" t="str">
        <f t="shared" si="26"/>
        <v/>
      </c>
      <c r="M34" s="129" t="str">
        <f t="shared" si="27"/>
        <v/>
      </c>
      <c r="N34" s="90" t="str">
        <f>IF(C34="","",VLOOKUP(C34,listaBolsa!$D$2:$AZ$1276,23,0))</f>
        <v/>
      </c>
      <c r="O34" s="130" t="str">
        <f>IF(C34="","",VLOOKUP(C34,listaBolsa!$D$2:$AZ$1276,27,0))</f>
        <v/>
      </c>
      <c r="P34" s="131" t="e">
        <f t="shared" si="28"/>
        <v>#VALUE!</v>
      </c>
      <c r="Q34" s="131" t="e">
        <f t="shared" si="29"/>
        <v>#VALUE!</v>
      </c>
      <c r="R34" s="131" t="str">
        <f t="shared" si="30"/>
        <v/>
      </c>
      <c r="S34" s="131" t="str">
        <f t="shared" si="31"/>
        <v/>
      </c>
      <c r="T34" s="83" t="str">
        <f>IF(C34="","",VLOOKUP(C34,listaBolsa!$D$2:$BB$1276,36,0))</f>
        <v/>
      </c>
      <c r="U34" s="132" t="str">
        <f>IF(C34="","",VLOOKUP(C34,listaBolsa!$D$2:$BB$1276,40,0))</f>
        <v/>
      </c>
      <c r="V34" s="133" t="e">
        <f t="shared" si="32"/>
        <v>#VALUE!</v>
      </c>
      <c r="W34" s="133" t="e">
        <f t="shared" si="33"/>
        <v>#VALUE!</v>
      </c>
      <c r="X34" s="133" t="str">
        <f t="shared" si="34"/>
        <v/>
      </c>
      <c r="Y34" s="133" t="str">
        <f t="shared" si="35"/>
        <v/>
      </c>
      <c r="Z34" s="134" t="str">
        <f t="shared" si="51"/>
        <v/>
      </c>
      <c r="AA34" s="134" t="str">
        <f t="shared" si="52"/>
        <v/>
      </c>
      <c r="AB34" s="135" t="str">
        <f t="shared" si="53"/>
        <v/>
      </c>
      <c r="AC34" s="85" t="str">
        <f t="shared" si="54"/>
        <v/>
      </c>
      <c r="AD34" s="5"/>
      <c r="AF34" s="7" t="str">
        <f>IF(C34="","",VLOOKUP(C34,listaBolsa!$D$2:$BB$276,51,0))</f>
        <v/>
      </c>
      <c r="BG34" s="7">
        <v>24</v>
      </c>
      <c r="CA34" s="7" t="e">
        <f>VLOOKUP(C34,listaBolsa!$D$2:$BA$1248,1,0)</f>
        <v>#N/A</v>
      </c>
      <c r="CB34" s="7" t="e">
        <f>VLOOKUP(C34,listaBolsa!$D$2:$BA$1248,2,0)</f>
        <v>#N/A</v>
      </c>
      <c r="CC34" s="7" t="e">
        <f>VLOOKUP(C34,listaBolsa!$D$2:$BA$1248,10,0)</f>
        <v>#N/A</v>
      </c>
      <c r="CD34" s="7" t="e">
        <f>VLOOKUP(C34,listaBolsa!$D$2:$BA$1248,14,0)</f>
        <v>#N/A</v>
      </c>
      <c r="CE34" s="7" t="e">
        <f>VLOOKUP(C34,listaBolsa!$D$2:$BA$1248,23,0)</f>
        <v>#N/A</v>
      </c>
      <c r="CF34" s="7" t="e">
        <f>VLOOKUP(C34,listaBolsa!$D$2:$BA$1248,29,0)</f>
        <v>#N/A</v>
      </c>
      <c r="CG34" s="7" t="e">
        <f>VLOOKUP(C34,listaBolsa!$D$2:$BA$1248,36,0)</f>
        <v>#N/A</v>
      </c>
      <c r="CH34" s="7" t="e">
        <f>VLOOKUP(C34,listaBolsa!$D$2:$BA$1248,40,0)</f>
        <v>#N/A</v>
      </c>
      <c r="CI34" s="7" t="e">
        <f>VLOOKUP(C34,listaBolsa!$D$2:$BA$1248,48,0)</f>
        <v>#N/A</v>
      </c>
      <c r="CJ34" s="7" t="e">
        <f t="shared" si="11"/>
        <v>#N/A</v>
      </c>
      <c r="CK34" s="7" t="e">
        <f t="shared" si="12"/>
        <v>#N/A</v>
      </c>
      <c r="CL34" s="7" t="e">
        <f t="shared" si="13"/>
        <v>#N/A</v>
      </c>
      <c r="CM34" s="7" t="e">
        <f t="shared" si="14"/>
        <v>#N/A</v>
      </c>
      <c r="CN34" s="7" t="e">
        <f t="shared" si="15"/>
        <v>#N/A</v>
      </c>
      <c r="CO34" s="7" t="e">
        <f t="shared" si="16"/>
        <v>#N/A</v>
      </c>
      <c r="CP34" s="7" t="e">
        <f t="shared" si="17"/>
        <v>#N/A</v>
      </c>
      <c r="CQ34" s="7" t="e">
        <f t="shared" si="18"/>
        <v>#N/A</v>
      </c>
      <c r="CR34" s="7" t="e">
        <f t="shared" si="19"/>
        <v>#N/A</v>
      </c>
    </row>
    <row r="35" spans="1:96" s="7" customFormat="1" ht="21" hidden="1" x14ac:dyDescent="0.25">
      <c r="A35" s="75" t="str">
        <f t="shared" si="50"/>
        <v/>
      </c>
      <c r="B35" s="91"/>
      <c r="C35" s="82"/>
      <c r="D35" s="75" t="str">
        <f>IF(C35="","",VLOOKUP(C35,listaBolsa!$D$2:$H$1118,2,0))</f>
        <v/>
      </c>
      <c r="E35" s="91" t="str">
        <f>IF(C35="","",VLOOKUP(C35,listaBolsa!$D$2:$H$1118,3,0))</f>
        <v/>
      </c>
      <c r="F35" s="92"/>
      <c r="G35" s="86" t="str">
        <f>IF(C35="","",VLOOKUP(C35,listaBolsa!$D$2:$H$1118,5,0))</f>
        <v/>
      </c>
      <c r="H35" s="89" t="str">
        <f>IF(C35="","",VLOOKUP(C35,listaBolsa!$D$2:$W$1118,10,0))</f>
        <v/>
      </c>
      <c r="I35" s="128" t="str">
        <f>IF(C35="","",VLOOKUP(C35,listaBolsa!$D$2:$W$1118,14,0))</f>
        <v/>
      </c>
      <c r="J35" s="129" t="e">
        <f t="shared" si="55"/>
        <v>#VALUE!</v>
      </c>
      <c r="K35" s="129" t="e">
        <f t="shared" si="56"/>
        <v>#VALUE!</v>
      </c>
      <c r="L35" s="129" t="str">
        <f t="shared" si="26"/>
        <v/>
      </c>
      <c r="M35" s="129" t="str">
        <f t="shared" si="27"/>
        <v/>
      </c>
      <c r="N35" s="90" t="str">
        <f>IF(C35="","",VLOOKUP(C35,listaBolsa!$D$2:$AZ$1276,23,0))</f>
        <v/>
      </c>
      <c r="O35" s="130" t="str">
        <f>IF(C35="","",VLOOKUP(C35,listaBolsa!$D$2:$AZ$1276,27,0))</f>
        <v/>
      </c>
      <c r="P35" s="131" t="e">
        <f t="shared" si="28"/>
        <v>#VALUE!</v>
      </c>
      <c r="Q35" s="131" t="e">
        <f t="shared" si="29"/>
        <v>#VALUE!</v>
      </c>
      <c r="R35" s="131" t="str">
        <f t="shared" si="30"/>
        <v/>
      </c>
      <c r="S35" s="131" t="str">
        <f t="shared" si="31"/>
        <v/>
      </c>
      <c r="T35" s="83" t="str">
        <f>IF(C35="","",VLOOKUP(C35,listaBolsa!$D$2:$BB$1276,36,0))</f>
        <v/>
      </c>
      <c r="U35" s="132" t="str">
        <f>IF(C35="","",VLOOKUP(C35,listaBolsa!$D$2:$BB$1276,40,0))</f>
        <v/>
      </c>
      <c r="V35" s="133" t="e">
        <f t="shared" si="32"/>
        <v>#VALUE!</v>
      </c>
      <c r="W35" s="133" t="e">
        <f t="shared" si="33"/>
        <v>#VALUE!</v>
      </c>
      <c r="X35" s="133" t="str">
        <f t="shared" si="34"/>
        <v/>
      </c>
      <c r="Y35" s="133" t="str">
        <f t="shared" si="35"/>
        <v/>
      </c>
      <c r="Z35" s="134" t="str">
        <f t="shared" si="51"/>
        <v/>
      </c>
      <c r="AA35" s="134" t="str">
        <f t="shared" si="52"/>
        <v/>
      </c>
      <c r="AB35" s="135" t="str">
        <f t="shared" si="53"/>
        <v/>
      </c>
      <c r="AC35" s="85" t="str">
        <f t="shared" si="54"/>
        <v/>
      </c>
      <c r="AD35" s="5"/>
      <c r="AF35" s="7" t="str">
        <f>IF(C35="","",VLOOKUP(C35,listaBolsa!$D$2:$BB$276,51,0))</f>
        <v/>
      </c>
      <c r="BG35" s="7">
        <v>25</v>
      </c>
      <c r="CA35" s="7" t="e">
        <f>VLOOKUP(C35,listaBolsa!$D$2:$BA$1248,1,0)</f>
        <v>#N/A</v>
      </c>
      <c r="CB35" s="7" t="e">
        <f>VLOOKUP(C35,listaBolsa!$D$2:$BA$1248,2,0)</f>
        <v>#N/A</v>
      </c>
      <c r="CC35" s="7" t="e">
        <f>VLOOKUP(C35,listaBolsa!$D$2:$BA$1248,10,0)</f>
        <v>#N/A</v>
      </c>
      <c r="CD35" s="7" t="e">
        <f>VLOOKUP(C35,listaBolsa!$D$2:$BA$1248,14,0)</f>
        <v>#N/A</v>
      </c>
      <c r="CE35" s="7" t="e">
        <f>VLOOKUP(C35,listaBolsa!$D$2:$BA$1248,23,0)</f>
        <v>#N/A</v>
      </c>
      <c r="CF35" s="7" t="e">
        <f>VLOOKUP(C35,listaBolsa!$D$2:$BA$1248,29,0)</f>
        <v>#N/A</v>
      </c>
      <c r="CG35" s="7" t="e">
        <f>VLOOKUP(C35,listaBolsa!$D$2:$BA$1248,36,0)</f>
        <v>#N/A</v>
      </c>
      <c r="CH35" s="7" t="e">
        <f>VLOOKUP(C35,listaBolsa!$D$2:$BA$1248,40,0)</f>
        <v>#N/A</v>
      </c>
      <c r="CI35" s="7" t="e">
        <f>VLOOKUP(C35,listaBolsa!$D$2:$BA$1248,48,0)</f>
        <v>#N/A</v>
      </c>
      <c r="CJ35" s="7" t="e">
        <f t="shared" si="11"/>
        <v>#N/A</v>
      </c>
      <c r="CK35" s="7" t="e">
        <f t="shared" si="12"/>
        <v>#N/A</v>
      </c>
      <c r="CL35" s="7" t="e">
        <f t="shared" si="13"/>
        <v>#N/A</v>
      </c>
      <c r="CM35" s="7" t="e">
        <f t="shared" si="14"/>
        <v>#N/A</v>
      </c>
      <c r="CN35" s="7" t="e">
        <f t="shared" si="15"/>
        <v>#N/A</v>
      </c>
      <c r="CO35" s="7" t="e">
        <f t="shared" si="16"/>
        <v>#N/A</v>
      </c>
      <c r="CP35" s="7" t="e">
        <f t="shared" si="17"/>
        <v>#N/A</v>
      </c>
      <c r="CQ35" s="7" t="e">
        <f t="shared" si="18"/>
        <v>#N/A</v>
      </c>
      <c r="CR35" s="7" t="e">
        <f t="shared" si="19"/>
        <v>#N/A</v>
      </c>
    </row>
    <row r="36" spans="1:96" s="7" customFormat="1" ht="21" hidden="1" x14ac:dyDescent="0.25">
      <c r="A36" s="75" t="str">
        <f t="shared" si="50"/>
        <v/>
      </c>
      <c r="B36" s="91"/>
      <c r="C36" s="82"/>
      <c r="D36" s="75" t="str">
        <f>IF(C36="","",VLOOKUP(C36,listaBolsa!$D$2:$H$1118,2,0))</f>
        <v/>
      </c>
      <c r="E36" s="91" t="str">
        <f>IF(C36="","",VLOOKUP(C36,listaBolsa!$D$2:$H$1118,3,0))</f>
        <v/>
      </c>
      <c r="F36" s="92"/>
      <c r="G36" s="86" t="str">
        <f>IF(C36="","",VLOOKUP(C36,listaBolsa!$D$2:$H$1118,5,0))</f>
        <v/>
      </c>
      <c r="H36" s="89" t="str">
        <f>IF(C36="","",VLOOKUP(C36,listaBolsa!$D$2:$W$1118,10,0))</f>
        <v/>
      </c>
      <c r="I36" s="128" t="str">
        <f>IF(C36="","",VLOOKUP(C36,listaBolsa!$D$2:$W$1118,14,0))</f>
        <v/>
      </c>
      <c r="J36" s="129" t="e">
        <f t="shared" si="55"/>
        <v>#VALUE!</v>
      </c>
      <c r="K36" s="129" t="e">
        <f t="shared" si="56"/>
        <v>#VALUE!</v>
      </c>
      <c r="L36" s="129" t="str">
        <f t="shared" si="26"/>
        <v/>
      </c>
      <c r="M36" s="129" t="str">
        <f t="shared" si="27"/>
        <v/>
      </c>
      <c r="N36" s="90" t="str">
        <f>IF(C36="","",VLOOKUP(C36,listaBolsa!$D$2:$AZ$1276,23,0))</f>
        <v/>
      </c>
      <c r="O36" s="130" t="str">
        <f>IF(C36="","",VLOOKUP(C36,listaBolsa!$D$2:$AZ$1276,27,0))</f>
        <v/>
      </c>
      <c r="P36" s="131" t="e">
        <f t="shared" si="28"/>
        <v>#VALUE!</v>
      </c>
      <c r="Q36" s="131" t="e">
        <f t="shared" si="29"/>
        <v>#VALUE!</v>
      </c>
      <c r="R36" s="131" t="str">
        <f t="shared" si="30"/>
        <v/>
      </c>
      <c r="S36" s="131" t="str">
        <f t="shared" si="31"/>
        <v/>
      </c>
      <c r="T36" s="83" t="str">
        <f>IF(C36="","",VLOOKUP(C36,listaBolsa!$D$2:$BB$1276,36,0))</f>
        <v/>
      </c>
      <c r="U36" s="132" t="str">
        <f>IF(C36="","",VLOOKUP(C36,listaBolsa!$D$2:$BB$1276,40,0))</f>
        <v/>
      </c>
      <c r="V36" s="133" t="e">
        <f t="shared" si="32"/>
        <v>#VALUE!</v>
      </c>
      <c r="W36" s="133" t="e">
        <f t="shared" si="33"/>
        <v>#VALUE!</v>
      </c>
      <c r="X36" s="133" t="str">
        <f t="shared" si="34"/>
        <v/>
      </c>
      <c r="Y36" s="133" t="str">
        <f t="shared" si="35"/>
        <v/>
      </c>
      <c r="Z36" s="134" t="str">
        <f t="shared" si="51"/>
        <v/>
      </c>
      <c r="AA36" s="134" t="str">
        <f t="shared" si="52"/>
        <v/>
      </c>
      <c r="AB36" s="135" t="str">
        <f t="shared" si="53"/>
        <v/>
      </c>
      <c r="AC36" s="85" t="str">
        <f t="shared" si="54"/>
        <v/>
      </c>
      <c r="AD36" s="5"/>
      <c r="AF36" s="7" t="str">
        <f>IF(C36="","",VLOOKUP(C36,listaBolsa!$D$2:$BB$276,51,0))</f>
        <v/>
      </c>
      <c r="BG36" s="7">
        <v>26</v>
      </c>
      <c r="CA36" s="7" t="e">
        <f>VLOOKUP(C36,listaBolsa!$D$2:$BA$1248,1,0)</f>
        <v>#N/A</v>
      </c>
      <c r="CB36" s="7" t="e">
        <f>VLOOKUP(C36,listaBolsa!$D$2:$BA$1248,2,0)</f>
        <v>#N/A</v>
      </c>
      <c r="CC36" s="7" t="e">
        <f>VLOOKUP(C36,listaBolsa!$D$2:$BA$1248,10,0)</f>
        <v>#N/A</v>
      </c>
      <c r="CD36" s="7" t="e">
        <f>VLOOKUP(C36,listaBolsa!$D$2:$BA$1248,14,0)</f>
        <v>#N/A</v>
      </c>
      <c r="CE36" s="7" t="e">
        <f>VLOOKUP(C36,listaBolsa!$D$2:$BA$1248,23,0)</f>
        <v>#N/A</v>
      </c>
      <c r="CF36" s="7" t="e">
        <f>VLOOKUP(C36,listaBolsa!$D$2:$BA$1248,29,0)</f>
        <v>#N/A</v>
      </c>
      <c r="CG36" s="7" t="e">
        <f>VLOOKUP(C36,listaBolsa!$D$2:$BA$1248,36,0)</f>
        <v>#N/A</v>
      </c>
      <c r="CH36" s="7" t="e">
        <f>VLOOKUP(C36,listaBolsa!$D$2:$BA$1248,40,0)</f>
        <v>#N/A</v>
      </c>
      <c r="CI36" s="7" t="e">
        <f>VLOOKUP(C36,listaBolsa!$D$2:$BA$1248,48,0)</f>
        <v>#N/A</v>
      </c>
      <c r="CJ36" s="7" t="e">
        <f t="shared" si="11"/>
        <v>#N/A</v>
      </c>
      <c r="CK36" s="7" t="e">
        <f t="shared" si="12"/>
        <v>#N/A</v>
      </c>
      <c r="CL36" s="7" t="e">
        <f t="shared" si="13"/>
        <v>#N/A</v>
      </c>
      <c r="CM36" s="7" t="e">
        <f t="shared" si="14"/>
        <v>#N/A</v>
      </c>
      <c r="CN36" s="7" t="e">
        <f t="shared" si="15"/>
        <v>#N/A</v>
      </c>
      <c r="CO36" s="7" t="e">
        <f t="shared" si="16"/>
        <v>#N/A</v>
      </c>
      <c r="CP36" s="7" t="e">
        <f t="shared" si="17"/>
        <v>#N/A</v>
      </c>
      <c r="CQ36" s="7" t="e">
        <f t="shared" si="18"/>
        <v>#N/A</v>
      </c>
      <c r="CR36" s="7" t="e">
        <f t="shared" si="19"/>
        <v>#N/A</v>
      </c>
    </row>
    <row r="37" spans="1:96" s="7" customFormat="1" ht="21" hidden="1" x14ac:dyDescent="0.25">
      <c r="A37" s="75" t="str">
        <f t="shared" si="50"/>
        <v/>
      </c>
      <c r="B37" s="91"/>
      <c r="C37" s="82"/>
      <c r="D37" s="75" t="str">
        <f>IF(C37="","",VLOOKUP(C37,listaBolsa!$D$2:$H$1118,2,0))</f>
        <v/>
      </c>
      <c r="E37" s="91" t="str">
        <f>IF(C37="","",VLOOKUP(C37,listaBolsa!$D$2:$H$1118,3,0))</f>
        <v/>
      </c>
      <c r="F37" s="92"/>
      <c r="G37" s="86" t="str">
        <f>IF(C37="","",VLOOKUP(C37,listaBolsa!$D$2:$H$1118,5,0))</f>
        <v/>
      </c>
      <c r="H37" s="89" t="str">
        <f>IF(C37="","",VLOOKUP(C37,listaBolsa!$D$2:$W$1118,10,0))</f>
        <v/>
      </c>
      <c r="I37" s="128" t="str">
        <f>IF(C37="","",VLOOKUP(C37,listaBolsa!$D$2:$W$1118,14,0))</f>
        <v/>
      </c>
      <c r="J37" s="129" t="e">
        <f t="shared" si="55"/>
        <v>#VALUE!</v>
      </c>
      <c r="K37" s="129" t="e">
        <f t="shared" si="56"/>
        <v>#VALUE!</v>
      </c>
      <c r="L37" s="129" t="str">
        <f t="shared" si="26"/>
        <v/>
      </c>
      <c r="M37" s="129" t="str">
        <f t="shared" si="27"/>
        <v/>
      </c>
      <c r="N37" s="90" t="str">
        <f>IF(C37="","",VLOOKUP(C37,listaBolsa!$D$2:$AZ$1276,23,0))</f>
        <v/>
      </c>
      <c r="O37" s="130" t="str">
        <f>IF(C37="","",VLOOKUP(C37,listaBolsa!$D$2:$AZ$1276,27,0))</f>
        <v/>
      </c>
      <c r="P37" s="131" t="e">
        <f t="shared" si="28"/>
        <v>#VALUE!</v>
      </c>
      <c r="Q37" s="131" t="e">
        <f t="shared" si="29"/>
        <v>#VALUE!</v>
      </c>
      <c r="R37" s="131" t="str">
        <f t="shared" si="30"/>
        <v/>
      </c>
      <c r="S37" s="131" t="str">
        <f t="shared" si="31"/>
        <v/>
      </c>
      <c r="T37" s="83" t="str">
        <f>IF(C37="","",VLOOKUP(C37,listaBolsa!$D$2:$BB$1276,36,0))</f>
        <v/>
      </c>
      <c r="U37" s="132" t="str">
        <f>IF(C37="","",VLOOKUP(C37,listaBolsa!$D$2:$BB$1276,40,0))</f>
        <v/>
      </c>
      <c r="V37" s="133" t="e">
        <f t="shared" si="32"/>
        <v>#VALUE!</v>
      </c>
      <c r="W37" s="133" t="e">
        <f t="shared" si="33"/>
        <v>#VALUE!</v>
      </c>
      <c r="X37" s="133" t="str">
        <f t="shared" si="34"/>
        <v/>
      </c>
      <c r="Y37" s="133" t="str">
        <f t="shared" si="35"/>
        <v/>
      </c>
      <c r="Z37" s="134" t="str">
        <f t="shared" si="51"/>
        <v/>
      </c>
      <c r="AA37" s="134" t="str">
        <f t="shared" si="52"/>
        <v/>
      </c>
      <c r="AB37" s="135" t="str">
        <f t="shared" si="53"/>
        <v/>
      </c>
      <c r="AC37" s="85" t="str">
        <f t="shared" si="54"/>
        <v/>
      </c>
      <c r="AD37" s="5"/>
      <c r="AF37" s="7" t="str">
        <f>IF(C37="","",VLOOKUP(C37,listaBolsa!$D$2:$BB$276,51,0))</f>
        <v/>
      </c>
      <c r="BG37" s="7">
        <v>27</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si="11"/>
        <v>#N/A</v>
      </c>
      <c r="CK37" s="7" t="e">
        <f t="shared" si="12"/>
        <v>#N/A</v>
      </c>
      <c r="CL37" s="7" t="e">
        <f t="shared" si="13"/>
        <v>#N/A</v>
      </c>
      <c r="CM37" s="7" t="e">
        <f t="shared" si="14"/>
        <v>#N/A</v>
      </c>
      <c r="CN37" s="7" t="e">
        <f t="shared" si="15"/>
        <v>#N/A</v>
      </c>
      <c r="CO37" s="7" t="e">
        <f t="shared" si="16"/>
        <v>#N/A</v>
      </c>
      <c r="CP37" s="7" t="e">
        <f t="shared" si="17"/>
        <v>#N/A</v>
      </c>
      <c r="CQ37" s="7" t="e">
        <f t="shared" si="18"/>
        <v>#N/A</v>
      </c>
      <c r="CR37" s="7" t="e">
        <f t="shared" si="19"/>
        <v>#N/A</v>
      </c>
    </row>
    <row r="38" spans="1:96" s="7" customFormat="1" ht="21" hidden="1" x14ac:dyDescent="0.25">
      <c r="A38" s="75" t="str">
        <f t="shared" si="50"/>
        <v/>
      </c>
      <c r="B38" s="91"/>
      <c r="C38" s="82"/>
      <c r="D38" s="75" t="str">
        <f>IF(C38="","",VLOOKUP(C38,listaBolsa!$D$2:$H$1118,2,0))</f>
        <v/>
      </c>
      <c r="E38" s="91" t="str">
        <f>IF(C38="","",VLOOKUP(C38,listaBolsa!$D$2:$H$1118,3,0))</f>
        <v/>
      </c>
      <c r="F38" s="92"/>
      <c r="G38" s="86" t="str">
        <f>IF(C38="","",VLOOKUP(C38,listaBolsa!$D$2:$H$1118,5,0))</f>
        <v/>
      </c>
      <c r="H38" s="89" t="str">
        <f>IF(C38="","",VLOOKUP(C38,listaBolsa!$D$2:$W$1118,10,0))</f>
        <v/>
      </c>
      <c r="I38" s="128" t="str">
        <f>IF(C38="","",VLOOKUP(C38,listaBolsa!$D$2:$W$1118,14,0))</f>
        <v/>
      </c>
      <c r="J38" s="129" t="e">
        <f t="shared" si="55"/>
        <v>#VALUE!</v>
      </c>
      <c r="K38" s="129" t="e">
        <f t="shared" si="56"/>
        <v>#VALUE!</v>
      </c>
      <c r="L38" s="129" t="str">
        <f t="shared" si="26"/>
        <v/>
      </c>
      <c r="M38" s="129" t="str">
        <f t="shared" si="27"/>
        <v/>
      </c>
      <c r="N38" s="90" t="str">
        <f>IF(C38="","",VLOOKUP(C38,listaBolsa!$D$2:$AZ$1276,23,0))</f>
        <v/>
      </c>
      <c r="O38" s="130" t="str">
        <f>IF(C38="","",VLOOKUP(C38,listaBolsa!$D$2:$AZ$1276,27,0))</f>
        <v/>
      </c>
      <c r="P38" s="131" t="e">
        <f t="shared" si="28"/>
        <v>#VALUE!</v>
      </c>
      <c r="Q38" s="131" t="e">
        <f t="shared" si="29"/>
        <v>#VALUE!</v>
      </c>
      <c r="R38" s="131" t="str">
        <f t="shared" si="30"/>
        <v/>
      </c>
      <c r="S38" s="131" t="str">
        <f t="shared" si="31"/>
        <v/>
      </c>
      <c r="T38" s="83" t="str">
        <f>IF(C38="","",VLOOKUP(C38,listaBolsa!$D$2:$BB$1276,36,0))</f>
        <v/>
      </c>
      <c r="U38" s="132" t="str">
        <f>IF(C38="","",VLOOKUP(C38,listaBolsa!$D$2:$BB$1276,40,0))</f>
        <v/>
      </c>
      <c r="V38" s="133" t="e">
        <f t="shared" si="32"/>
        <v>#VALUE!</v>
      </c>
      <c r="W38" s="133" t="e">
        <f t="shared" si="33"/>
        <v>#VALUE!</v>
      </c>
      <c r="X38" s="133" t="str">
        <f t="shared" si="34"/>
        <v/>
      </c>
      <c r="Y38" s="133" t="str">
        <f t="shared" si="35"/>
        <v/>
      </c>
      <c r="Z38" s="134" t="str">
        <f t="shared" si="51"/>
        <v/>
      </c>
      <c r="AA38" s="134" t="str">
        <f t="shared" si="52"/>
        <v/>
      </c>
      <c r="AB38" s="135" t="str">
        <f t="shared" si="53"/>
        <v/>
      </c>
      <c r="AC38" s="85" t="str">
        <f t="shared" si="54"/>
        <v/>
      </c>
      <c r="AD38" s="5"/>
      <c r="AF38" s="7" t="str">
        <f>IF(C38="","",VLOOKUP(C38,listaBolsa!$D$2:$BB$276,51,0))</f>
        <v/>
      </c>
      <c r="BG38" s="7">
        <v>28</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11"/>
        <v>#N/A</v>
      </c>
      <c r="CK38" s="7" t="e">
        <f t="shared" si="12"/>
        <v>#N/A</v>
      </c>
      <c r="CL38" s="7" t="e">
        <f t="shared" si="13"/>
        <v>#N/A</v>
      </c>
      <c r="CM38" s="7" t="e">
        <f t="shared" si="14"/>
        <v>#N/A</v>
      </c>
      <c r="CN38" s="7" t="e">
        <f t="shared" si="15"/>
        <v>#N/A</v>
      </c>
      <c r="CO38" s="7" t="e">
        <f t="shared" si="16"/>
        <v>#N/A</v>
      </c>
      <c r="CP38" s="7" t="e">
        <f t="shared" si="17"/>
        <v>#N/A</v>
      </c>
      <c r="CQ38" s="7" t="e">
        <f t="shared" si="18"/>
        <v>#N/A</v>
      </c>
      <c r="CR38" s="7" t="e">
        <f t="shared" si="19"/>
        <v>#N/A</v>
      </c>
    </row>
    <row r="39" spans="1:96" s="7" customFormat="1" ht="21" hidden="1" x14ac:dyDescent="0.25">
      <c r="A39" s="75" t="str">
        <f t="shared" si="50"/>
        <v/>
      </c>
      <c r="B39" s="91"/>
      <c r="C39" s="82"/>
      <c r="D39" s="75" t="str">
        <f>IF(C39="","",VLOOKUP(C39,listaBolsa!$D$2:$H$1118,2,0))</f>
        <v/>
      </c>
      <c r="E39" s="91" t="str">
        <f>IF(C39="","",VLOOKUP(C39,listaBolsa!$D$2:$H$1118,3,0))</f>
        <v/>
      </c>
      <c r="F39" s="92"/>
      <c r="G39" s="86" t="str">
        <f>IF(C39="","",VLOOKUP(C39,listaBolsa!$D$2:$H$1118,5,0))</f>
        <v/>
      </c>
      <c r="H39" s="89" t="str">
        <f>IF(C39="","",VLOOKUP(C39,listaBolsa!$D$2:$W$1118,10,0))</f>
        <v/>
      </c>
      <c r="I39" s="128" t="str">
        <f>IF(C39="","",VLOOKUP(C39,listaBolsa!$D$2:$W$1118,14,0))</f>
        <v/>
      </c>
      <c r="J39" s="129" t="e">
        <f t="shared" si="55"/>
        <v>#VALUE!</v>
      </c>
      <c r="K39" s="129" t="e">
        <f t="shared" si="56"/>
        <v>#VALUE!</v>
      </c>
      <c r="L39" s="129" t="str">
        <f t="shared" si="26"/>
        <v/>
      </c>
      <c r="M39" s="129" t="str">
        <f t="shared" si="27"/>
        <v/>
      </c>
      <c r="N39" s="90" t="str">
        <f>IF(C39="","",VLOOKUP(C39,listaBolsa!$D$2:$AZ$1276,23,0))</f>
        <v/>
      </c>
      <c r="O39" s="130" t="str">
        <f>IF(C39="","",VLOOKUP(C39,listaBolsa!$D$2:$AZ$1276,27,0))</f>
        <v/>
      </c>
      <c r="P39" s="131" t="e">
        <f t="shared" si="28"/>
        <v>#VALUE!</v>
      </c>
      <c r="Q39" s="131" t="e">
        <f t="shared" si="29"/>
        <v>#VALUE!</v>
      </c>
      <c r="R39" s="131" t="str">
        <f t="shared" si="30"/>
        <v/>
      </c>
      <c r="S39" s="131" t="str">
        <f t="shared" si="31"/>
        <v/>
      </c>
      <c r="T39" s="83" t="str">
        <f>IF(C39="","",VLOOKUP(C39,listaBolsa!$D$2:$BB$1276,36,0))</f>
        <v/>
      </c>
      <c r="U39" s="132" t="str">
        <f>IF(C39="","",VLOOKUP(C39,listaBolsa!$D$2:$BB$1276,40,0))</f>
        <v/>
      </c>
      <c r="V39" s="133" t="e">
        <f t="shared" si="32"/>
        <v>#VALUE!</v>
      </c>
      <c r="W39" s="133" t="e">
        <f t="shared" si="33"/>
        <v>#VALUE!</v>
      </c>
      <c r="X39" s="133" t="str">
        <f t="shared" si="34"/>
        <v/>
      </c>
      <c r="Y39" s="133" t="str">
        <f t="shared" si="35"/>
        <v/>
      </c>
      <c r="Z39" s="134" t="str">
        <f t="shared" si="51"/>
        <v/>
      </c>
      <c r="AA39" s="134" t="str">
        <f t="shared" si="52"/>
        <v/>
      </c>
      <c r="AB39" s="135" t="str">
        <f t="shared" si="53"/>
        <v/>
      </c>
      <c r="AC39" s="85" t="str">
        <f t="shared" si="54"/>
        <v/>
      </c>
      <c r="AD39" s="5"/>
      <c r="AF39" s="7" t="str">
        <f>IF(C39="","",VLOOKUP(C39,listaBolsa!$D$2:$BB$276,51,0))</f>
        <v/>
      </c>
      <c r="BG39" s="7">
        <v>29</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11"/>
        <v>#N/A</v>
      </c>
      <c r="CK39" s="7" t="e">
        <f t="shared" si="12"/>
        <v>#N/A</v>
      </c>
      <c r="CL39" s="7" t="e">
        <f t="shared" si="13"/>
        <v>#N/A</v>
      </c>
      <c r="CM39" s="7" t="e">
        <f t="shared" si="14"/>
        <v>#N/A</v>
      </c>
      <c r="CN39" s="7" t="e">
        <f t="shared" si="15"/>
        <v>#N/A</v>
      </c>
      <c r="CO39" s="7" t="e">
        <f t="shared" si="16"/>
        <v>#N/A</v>
      </c>
      <c r="CP39" s="7" t="e">
        <f t="shared" si="17"/>
        <v>#N/A</v>
      </c>
      <c r="CQ39" s="7" t="e">
        <f t="shared" si="18"/>
        <v>#N/A</v>
      </c>
      <c r="CR39" s="7" t="e">
        <f t="shared" si="19"/>
        <v>#N/A</v>
      </c>
    </row>
    <row r="40" spans="1:96" s="7" customFormat="1" ht="21" hidden="1" x14ac:dyDescent="0.25">
      <c r="A40" s="75" t="str">
        <f t="shared" si="50"/>
        <v/>
      </c>
      <c r="B40" s="91"/>
      <c r="C40" s="82"/>
      <c r="D40" s="75" t="str">
        <f>IF(C40="","",VLOOKUP(C40,listaBolsa!$D$2:$H$1118,2,0))</f>
        <v/>
      </c>
      <c r="E40" s="91" t="str">
        <f>IF(C40="","",VLOOKUP(C40,listaBolsa!$D$2:$H$1118,3,0))</f>
        <v/>
      </c>
      <c r="F40" s="92"/>
      <c r="G40" s="86" t="str">
        <f>IF(C40="","",VLOOKUP(C40,listaBolsa!$D$2:$H$1118,5,0))</f>
        <v/>
      </c>
      <c r="H40" s="89" t="str">
        <f>IF(C40="","",VLOOKUP(C40,listaBolsa!$D$2:$W$1118,10,0))</f>
        <v/>
      </c>
      <c r="I40" s="128" t="str">
        <f>IF(C40="","",VLOOKUP(C40,listaBolsa!$D$2:$W$1118,14,0))</f>
        <v/>
      </c>
      <c r="J40" s="129" t="e">
        <f t="shared" si="55"/>
        <v>#VALUE!</v>
      </c>
      <c r="K40" s="129" t="e">
        <f t="shared" si="56"/>
        <v>#VALUE!</v>
      </c>
      <c r="L40" s="129" t="str">
        <f t="shared" si="26"/>
        <v/>
      </c>
      <c r="M40" s="129" t="str">
        <f t="shared" si="27"/>
        <v/>
      </c>
      <c r="N40" s="90" t="str">
        <f>IF(C40="","",VLOOKUP(C40,listaBolsa!$D$2:$AZ$1276,23,0))</f>
        <v/>
      </c>
      <c r="O40" s="130" t="str">
        <f>IF(C40="","",VLOOKUP(C40,listaBolsa!$D$2:$AZ$1276,27,0))</f>
        <v/>
      </c>
      <c r="P40" s="131" t="e">
        <f t="shared" si="28"/>
        <v>#VALUE!</v>
      </c>
      <c r="Q40" s="131" t="e">
        <f t="shared" si="29"/>
        <v>#VALUE!</v>
      </c>
      <c r="R40" s="131" t="str">
        <f t="shared" si="30"/>
        <v/>
      </c>
      <c r="S40" s="131" t="str">
        <f t="shared" si="31"/>
        <v/>
      </c>
      <c r="T40" s="83" t="str">
        <f>IF(C40="","",VLOOKUP(C40,listaBolsa!$D$2:$BB$1276,36,0))</f>
        <v/>
      </c>
      <c r="U40" s="132" t="str">
        <f>IF(C40="","",VLOOKUP(C40,listaBolsa!$D$2:$BB$1276,40,0))</f>
        <v/>
      </c>
      <c r="V40" s="133" t="e">
        <f t="shared" si="32"/>
        <v>#VALUE!</v>
      </c>
      <c r="W40" s="133" t="e">
        <f t="shared" si="33"/>
        <v>#VALUE!</v>
      </c>
      <c r="X40" s="133" t="str">
        <f t="shared" si="34"/>
        <v/>
      </c>
      <c r="Y40" s="133" t="str">
        <f t="shared" si="35"/>
        <v/>
      </c>
      <c r="Z40" s="134" t="str">
        <f t="shared" si="51"/>
        <v/>
      </c>
      <c r="AA40" s="134" t="str">
        <f t="shared" si="52"/>
        <v/>
      </c>
      <c r="AB40" s="135" t="str">
        <f t="shared" si="53"/>
        <v/>
      </c>
      <c r="AC40" s="85" t="str">
        <f t="shared" si="54"/>
        <v/>
      </c>
      <c r="AD40" s="5"/>
      <c r="AF40" s="7" t="str">
        <f>IF(C40="","",VLOOKUP(C40,listaBolsa!$D$2:$BB$276,51,0))</f>
        <v/>
      </c>
      <c r="BG40" s="7">
        <v>30</v>
      </c>
      <c r="CA40" s="7" t="e">
        <f>VLOOKUP(C40,listaBolsa!$D$2:$BA$1248,1,0)</f>
        <v>#N/A</v>
      </c>
      <c r="CB40" s="7" t="e">
        <f>VLOOKUP(C40,listaBolsa!$D$2:$BA$1248,2,0)</f>
        <v>#N/A</v>
      </c>
      <c r="CC40" s="7" t="e">
        <f>VLOOKUP(C40,listaBolsa!$D$2:$BA$1248,10,0)</f>
        <v>#N/A</v>
      </c>
      <c r="CD40" s="7" t="e">
        <f>VLOOKUP(C40,listaBolsa!$D$2:$BA$1248,14,0)</f>
        <v>#N/A</v>
      </c>
      <c r="CE40" s="7" t="e">
        <f>VLOOKUP(C40,listaBolsa!$D$2:$BA$1248,23,0)</f>
        <v>#N/A</v>
      </c>
      <c r="CF40" s="7" t="e">
        <f>VLOOKUP(C40,listaBolsa!$D$2:$BA$1248,29,0)</f>
        <v>#N/A</v>
      </c>
      <c r="CG40" s="7" t="e">
        <f>VLOOKUP(C40,listaBolsa!$D$2:$BA$1248,36,0)</f>
        <v>#N/A</v>
      </c>
      <c r="CH40" s="7" t="e">
        <f>VLOOKUP(C40,listaBolsa!$D$2:$BA$1248,40,0)</f>
        <v>#N/A</v>
      </c>
      <c r="CI40" s="7" t="e">
        <f>VLOOKUP(C40,listaBolsa!$D$2:$BA$1248,48,0)</f>
        <v>#N/A</v>
      </c>
      <c r="CJ40" s="7" t="e">
        <f t="shared" si="11"/>
        <v>#N/A</v>
      </c>
      <c r="CK40" s="7" t="e">
        <f t="shared" si="12"/>
        <v>#N/A</v>
      </c>
      <c r="CL40" s="7" t="e">
        <f t="shared" si="13"/>
        <v>#N/A</v>
      </c>
      <c r="CM40" s="7" t="e">
        <f t="shared" si="14"/>
        <v>#N/A</v>
      </c>
      <c r="CN40" s="7" t="e">
        <f t="shared" si="15"/>
        <v>#N/A</v>
      </c>
      <c r="CO40" s="7" t="e">
        <f t="shared" si="16"/>
        <v>#N/A</v>
      </c>
      <c r="CP40" s="7" t="e">
        <f t="shared" si="17"/>
        <v>#N/A</v>
      </c>
      <c r="CQ40" s="7" t="e">
        <f t="shared" si="18"/>
        <v>#N/A</v>
      </c>
      <c r="CR40" s="7" t="e">
        <f t="shared" si="19"/>
        <v>#N/A</v>
      </c>
    </row>
    <row r="41" spans="1:96" s="7" customFormat="1" ht="21" hidden="1" x14ac:dyDescent="0.25">
      <c r="A41" s="75" t="str">
        <f t="shared" si="50"/>
        <v/>
      </c>
      <c r="B41" s="91"/>
      <c r="C41" s="82"/>
      <c r="D41" s="75" t="str">
        <f>IF(C41="","",VLOOKUP(C41,listaBolsa!$D$2:$H$1118,2,0))</f>
        <v/>
      </c>
      <c r="E41" s="91" t="str">
        <f>IF(C41="","",VLOOKUP(C41,listaBolsa!$D$2:$H$1118,3,0))</f>
        <v/>
      </c>
      <c r="F41" s="92"/>
      <c r="G41" s="86" t="str">
        <f>IF(C41="","",VLOOKUP(C41,listaBolsa!$D$2:$H$1118,5,0))</f>
        <v/>
      </c>
      <c r="H41" s="89" t="str">
        <f>IF(C41="","",VLOOKUP(C41,listaBolsa!$D$2:$W$1118,10,0))</f>
        <v/>
      </c>
      <c r="I41" s="128" t="str">
        <f>IF(C41="","",VLOOKUP(C41,listaBolsa!$D$2:$W$1118,14,0))</f>
        <v/>
      </c>
      <c r="J41" s="129" t="e">
        <f t="shared" si="55"/>
        <v>#VALUE!</v>
      </c>
      <c r="K41" s="129" t="e">
        <f t="shared" si="56"/>
        <v>#VALUE!</v>
      </c>
      <c r="L41" s="129" t="str">
        <f t="shared" si="26"/>
        <v/>
      </c>
      <c r="M41" s="129" t="str">
        <f t="shared" si="27"/>
        <v/>
      </c>
      <c r="N41" s="90" t="str">
        <f>IF(C41="","",VLOOKUP(C41,listaBolsa!$D$2:$AZ$1276,23,0))</f>
        <v/>
      </c>
      <c r="O41" s="130" t="str">
        <f>IF(C41="","",VLOOKUP(C41,listaBolsa!$D$2:$AZ$1276,27,0))</f>
        <v/>
      </c>
      <c r="P41" s="131" t="e">
        <f t="shared" si="28"/>
        <v>#VALUE!</v>
      </c>
      <c r="Q41" s="131" t="e">
        <f t="shared" si="29"/>
        <v>#VALUE!</v>
      </c>
      <c r="R41" s="131" t="str">
        <f t="shared" si="30"/>
        <v/>
      </c>
      <c r="S41" s="131" t="str">
        <f t="shared" si="31"/>
        <v/>
      </c>
      <c r="T41" s="83" t="str">
        <f>IF(C41="","",VLOOKUP(C41,listaBolsa!$D$2:$BB$1276,36,0))</f>
        <v/>
      </c>
      <c r="U41" s="132" t="str">
        <f>IF(C41="","",VLOOKUP(C41,listaBolsa!$D$2:$BB$1276,40,0))</f>
        <v/>
      </c>
      <c r="V41" s="133" t="e">
        <f t="shared" si="32"/>
        <v>#VALUE!</v>
      </c>
      <c r="W41" s="133" t="e">
        <f t="shared" si="33"/>
        <v>#VALUE!</v>
      </c>
      <c r="X41" s="133" t="str">
        <f t="shared" si="34"/>
        <v/>
      </c>
      <c r="Y41" s="133" t="str">
        <f t="shared" si="35"/>
        <v/>
      </c>
      <c r="Z41" s="134" t="str">
        <f t="shared" si="51"/>
        <v/>
      </c>
      <c r="AA41" s="134" t="str">
        <f t="shared" si="52"/>
        <v/>
      </c>
      <c r="AB41" s="135" t="str">
        <f t="shared" si="53"/>
        <v/>
      </c>
      <c r="AC41" s="85" t="str">
        <f t="shared" si="54"/>
        <v/>
      </c>
      <c r="AD41" s="5"/>
      <c r="AF41" s="7" t="str">
        <f>IF(C41="","",VLOOKUP(C41,listaBolsa!$D$2:$BB$276,51,0))</f>
        <v/>
      </c>
      <c r="BG41" s="7">
        <v>31</v>
      </c>
      <c r="CA41" s="7" t="e">
        <f>VLOOKUP(C41,listaBolsa!$D$2:$BA$1248,1,0)</f>
        <v>#N/A</v>
      </c>
      <c r="CB41" s="7" t="e">
        <f>VLOOKUP(C41,listaBolsa!$D$2:$BA$1248,2,0)</f>
        <v>#N/A</v>
      </c>
      <c r="CC41" s="7" t="e">
        <f>VLOOKUP(C41,listaBolsa!$D$2:$BA$1248,10,0)</f>
        <v>#N/A</v>
      </c>
      <c r="CD41" s="7" t="e">
        <f>VLOOKUP(C41,listaBolsa!$D$2:$BA$1248,14,0)</f>
        <v>#N/A</v>
      </c>
      <c r="CE41" s="7" t="e">
        <f>VLOOKUP(C41,listaBolsa!$D$2:$BA$1248,23,0)</f>
        <v>#N/A</v>
      </c>
      <c r="CF41" s="7" t="e">
        <f>VLOOKUP(C41,listaBolsa!$D$2:$BA$1248,29,0)</f>
        <v>#N/A</v>
      </c>
      <c r="CG41" s="7" t="e">
        <f>VLOOKUP(C41,listaBolsa!$D$2:$BA$1248,36,0)</f>
        <v>#N/A</v>
      </c>
      <c r="CH41" s="7" t="e">
        <f>VLOOKUP(C41,listaBolsa!$D$2:$BA$1248,40,0)</f>
        <v>#N/A</v>
      </c>
      <c r="CI41" s="7" t="e">
        <f>VLOOKUP(C41,listaBolsa!$D$2:$BA$1248,48,0)</f>
        <v>#N/A</v>
      </c>
      <c r="CJ41" s="7" t="e">
        <f t="shared" si="11"/>
        <v>#N/A</v>
      </c>
      <c r="CK41" s="7" t="e">
        <f t="shared" si="12"/>
        <v>#N/A</v>
      </c>
      <c r="CL41" s="7" t="e">
        <f t="shared" si="13"/>
        <v>#N/A</v>
      </c>
      <c r="CM41" s="7" t="e">
        <f t="shared" si="14"/>
        <v>#N/A</v>
      </c>
      <c r="CN41" s="7" t="e">
        <f t="shared" si="15"/>
        <v>#N/A</v>
      </c>
      <c r="CO41" s="7" t="e">
        <f t="shared" si="16"/>
        <v>#N/A</v>
      </c>
      <c r="CP41" s="7" t="e">
        <f t="shared" si="17"/>
        <v>#N/A</v>
      </c>
      <c r="CQ41" s="7" t="e">
        <f t="shared" si="18"/>
        <v>#N/A</v>
      </c>
      <c r="CR41" s="7" t="e">
        <f t="shared" si="19"/>
        <v>#N/A</v>
      </c>
    </row>
    <row r="42" spans="1:96" s="7" customFormat="1" ht="21" hidden="1" x14ac:dyDescent="0.25">
      <c r="A42" s="75" t="str">
        <f t="shared" si="50"/>
        <v/>
      </c>
      <c r="B42" s="91"/>
      <c r="C42" s="82"/>
      <c r="D42" s="75" t="str">
        <f>IF(C42="","",VLOOKUP(C42,listaBolsa!$D$2:$H$1118,2,0))</f>
        <v/>
      </c>
      <c r="E42" s="91" t="str">
        <f>IF(C42="","",VLOOKUP(C42,listaBolsa!$D$2:$H$1118,3,0))</f>
        <v/>
      </c>
      <c r="F42" s="92"/>
      <c r="G42" s="86" t="str">
        <f>IF(C42="","",VLOOKUP(C42,listaBolsa!$D$2:$H$1118,5,0))</f>
        <v/>
      </c>
      <c r="H42" s="89" t="str">
        <f>IF(C42="","",VLOOKUP(C42,listaBolsa!$D$2:$W$1118,10,0))</f>
        <v/>
      </c>
      <c r="I42" s="128" t="str">
        <f>IF(C42="","",VLOOKUP(C42,listaBolsa!$D$2:$W$1118,14,0))</f>
        <v/>
      </c>
      <c r="J42" s="129" t="e">
        <f t="shared" si="55"/>
        <v>#VALUE!</v>
      </c>
      <c r="K42" s="129" t="e">
        <f t="shared" si="56"/>
        <v>#VALUE!</v>
      </c>
      <c r="L42" s="129" t="str">
        <f t="shared" si="26"/>
        <v/>
      </c>
      <c r="M42" s="129" t="str">
        <f t="shared" si="27"/>
        <v/>
      </c>
      <c r="N42" s="90" t="str">
        <f>IF(C42="","",VLOOKUP(C42,listaBolsa!$D$2:$AZ$1276,23,0))</f>
        <v/>
      </c>
      <c r="O42" s="130" t="str">
        <f>IF(C42="","",VLOOKUP(C42,listaBolsa!$D$2:$AZ$1276,27,0))</f>
        <v/>
      </c>
      <c r="P42" s="131" t="e">
        <f t="shared" si="28"/>
        <v>#VALUE!</v>
      </c>
      <c r="Q42" s="131" t="e">
        <f t="shared" si="29"/>
        <v>#VALUE!</v>
      </c>
      <c r="R42" s="131" t="str">
        <f t="shared" si="30"/>
        <v/>
      </c>
      <c r="S42" s="131" t="str">
        <f t="shared" si="31"/>
        <v/>
      </c>
      <c r="T42" s="83" t="str">
        <f>IF(C42="","",VLOOKUP(C42,listaBolsa!$D$2:$BB$1276,36,0))</f>
        <v/>
      </c>
      <c r="U42" s="132" t="str">
        <f>IF(C42="","",VLOOKUP(C42,listaBolsa!$D$2:$BB$1276,40,0))</f>
        <v/>
      </c>
      <c r="V42" s="133" t="e">
        <f t="shared" si="32"/>
        <v>#VALUE!</v>
      </c>
      <c r="W42" s="133" t="e">
        <f t="shared" si="33"/>
        <v>#VALUE!</v>
      </c>
      <c r="X42" s="133" t="str">
        <f t="shared" si="34"/>
        <v/>
      </c>
      <c r="Y42" s="133" t="str">
        <f t="shared" si="35"/>
        <v/>
      </c>
      <c r="Z42" s="134" t="str">
        <f t="shared" si="51"/>
        <v/>
      </c>
      <c r="AA42" s="134" t="str">
        <f t="shared" si="52"/>
        <v/>
      </c>
      <c r="AB42" s="135" t="str">
        <f t="shared" si="53"/>
        <v/>
      </c>
      <c r="AC42" s="85" t="str">
        <f t="shared" si="54"/>
        <v/>
      </c>
      <c r="AD42" s="5"/>
      <c r="AF42" s="7" t="str">
        <f>IF(C42="","",VLOOKUP(C42,listaBolsa!$D$2:$BB$276,51,0))</f>
        <v/>
      </c>
      <c r="BG42" s="7">
        <v>32</v>
      </c>
      <c r="CA42" s="7" t="e">
        <f>VLOOKUP(C42,listaBolsa!$D$2:$BA$1248,1,0)</f>
        <v>#N/A</v>
      </c>
      <c r="CB42" s="7" t="e">
        <f>VLOOKUP(C42,listaBolsa!$D$2:$BA$1248,2,0)</f>
        <v>#N/A</v>
      </c>
      <c r="CC42" s="7" t="e">
        <f>VLOOKUP(C42,listaBolsa!$D$2:$BA$1248,10,0)</f>
        <v>#N/A</v>
      </c>
      <c r="CD42" s="7" t="e">
        <f>VLOOKUP(C42,listaBolsa!$D$2:$BA$1248,14,0)</f>
        <v>#N/A</v>
      </c>
      <c r="CE42" s="7" t="e">
        <f>VLOOKUP(C42,listaBolsa!$D$2:$BA$1248,23,0)</f>
        <v>#N/A</v>
      </c>
      <c r="CF42" s="7" t="e">
        <f>VLOOKUP(C42,listaBolsa!$D$2:$BA$1248,29,0)</f>
        <v>#N/A</v>
      </c>
      <c r="CG42" s="7" t="e">
        <f>VLOOKUP(C42,listaBolsa!$D$2:$BA$1248,36,0)</f>
        <v>#N/A</v>
      </c>
      <c r="CH42" s="7" t="e">
        <f>VLOOKUP(C42,listaBolsa!$D$2:$BA$1248,40,0)</f>
        <v>#N/A</v>
      </c>
      <c r="CI42" s="7" t="e">
        <f>VLOOKUP(C42,listaBolsa!$D$2:$BA$1248,48,0)</f>
        <v>#N/A</v>
      </c>
      <c r="CJ42" s="7" t="e">
        <f t="shared" si="11"/>
        <v>#N/A</v>
      </c>
      <c r="CK42" s="7" t="e">
        <f t="shared" si="12"/>
        <v>#N/A</v>
      </c>
      <c r="CL42" s="7" t="e">
        <f t="shared" si="13"/>
        <v>#N/A</v>
      </c>
      <c r="CM42" s="7" t="e">
        <f t="shared" si="14"/>
        <v>#N/A</v>
      </c>
      <c r="CN42" s="7" t="e">
        <f t="shared" si="15"/>
        <v>#N/A</v>
      </c>
      <c r="CO42" s="7" t="e">
        <f t="shared" si="16"/>
        <v>#N/A</v>
      </c>
      <c r="CP42" s="7" t="e">
        <f t="shared" si="17"/>
        <v>#N/A</v>
      </c>
      <c r="CQ42" s="7" t="e">
        <f t="shared" si="18"/>
        <v>#N/A</v>
      </c>
      <c r="CR42" s="7" t="e">
        <f t="shared" si="19"/>
        <v>#N/A</v>
      </c>
    </row>
    <row r="43" spans="1:96" s="7" customFormat="1" ht="21" hidden="1" x14ac:dyDescent="0.25">
      <c r="A43" s="75" t="str">
        <f t="shared" si="50"/>
        <v/>
      </c>
      <c r="B43" s="91"/>
      <c r="C43" s="82"/>
      <c r="D43" s="75" t="str">
        <f>IF(C43="","",VLOOKUP(C43,listaBolsa!$D$2:$H$1118,2,0))</f>
        <v/>
      </c>
      <c r="E43" s="91" t="str">
        <f>IF(C43="","",VLOOKUP(C43,listaBolsa!$D$2:$H$1118,3,0))</f>
        <v/>
      </c>
      <c r="F43" s="92"/>
      <c r="G43" s="86" t="str">
        <f>IF(C43="","",VLOOKUP(C43,listaBolsa!$D$2:$H$1118,5,0))</f>
        <v/>
      </c>
      <c r="H43" s="89" t="str">
        <f>IF(C43="","",VLOOKUP(C43,listaBolsa!$D$2:$W$1118,10,0))</f>
        <v/>
      </c>
      <c r="I43" s="128" t="str">
        <f>IF(C43="","",VLOOKUP(C43,listaBolsa!$D$2:$W$1118,14,0))</f>
        <v/>
      </c>
      <c r="J43" s="129" t="e">
        <f t="shared" si="55"/>
        <v>#VALUE!</v>
      </c>
      <c r="K43" s="129" t="e">
        <f t="shared" si="56"/>
        <v>#VALUE!</v>
      </c>
      <c r="L43" s="129" t="str">
        <f t="shared" si="26"/>
        <v/>
      </c>
      <c r="M43" s="129" t="str">
        <f t="shared" si="27"/>
        <v/>
      </c>
      <c r="N43" s="90" t="str">
        <f>IF(C43="","",VLOOKUP(C43,listaBolsa!$D$2:$AZ$1276,23,0))</f>
        <v/>
      </c>
      <c r="O43" s="130" t="str">
        <f>IF(C43="","",VLOOKUP(C43,listaBolsa!$D$2:$AZ$1276,27,0))</f>
        <v/>
      </c>
      <c r="P43" s="131" t="e">
        <f t="shared" si="28"/>
        <v>#VALUE!</v>
      </c>
      <c r="Q43" s="131" t="e">
        <f t="shared" si="29"/>
        <v>#VALUE!</v>
      </c>
      <c r="R43" s="131" t="str">
        <f t="shared" si="30"/>
        <v/>
      </c>
      <c r="S43" s="131" t="str">
        <f t="shared" si="31"/>
        <v/>
      </c>
      <c r="T43" s="83" t="str">
        <f>IF(C43="","",VLOOKUP(C43,listaBolsa!$D$2:$BB$1276,36,0))</f>
        <v/>
      </c>
      <c r="U43" s="132" t="str">
        <f>IF(C43="","",VLOOKUP(C43,listaBolsa!$D$2:$BB$1276,40,0))</f>
        <v/>
      </c>
      <c r="V43" s="133" t="e">
        <f t="shared" si="32"/>
        <v>#VALUE!</v>
      </c>
      <c r="W43" s="133" t="e">
        <f t="shared" si="33"/>
        <v>#VALUE!</v>
      </c>
      <c r="X43" s="133" t="str">
        <f t="shared" si="34"/>
        <v/>
      </c>
      <c r="Y43" s="133" t="str">
        <f t="shared" si="35"/>
        <v/>
      </c>
      <c r="Z43" s="134" t="str">
        <f t="shared" si="51"/>
        <v/>
      </c>
      <c r="AA43" s="134" t="str">
        <f t="shared" si="52"/>
        <v/>
      </c>
      <c r="AB43" s="135" t="str">
        <f t="shared" si="53"/>
        <v/>
      </c>
      <c r="AC43" s="85" t="str">
        <f t="shared" si="54"/>
        <v/>
      </c>
      <c r="AD43" s="5"/>
      <c r="AF43" s="7" t="str">
        <f>IF(C43="","",VLOOKUP(C43,listaBolsa!$D$2:$BB$276,51,0))</f>
        <v/>
      </c>
      <c r="BG43" s="7">
        <v>33</v>
      </c>
      <c r="CA43" s="7" t="e">
        <f>VLOOKUP(C43,listaBolsa!$D$2:$BA$1248,1,0)</f>
        <v>#N/A</v>
      </c>
      <c r="CB43" s="7" t="e">
        <f>VLOOKUP(C43,listaBolsa!$D$2:$BA$1248,2,0)</f>
        <v>#N/A</v>
      </c>
      <c r="CC43" s="7" t="e">
        <f>VLOOKUP(C43,listaBolsa!$D$2:$BA$1248,10,0)</f>
        <v>#N/A</v>
      </c>
      <c r="CD43" s="7" t="e">
        <f>VLOOKUP(C43,listaBolsa!$D$2:$BA$1248,14,0)</f>
        <v>#N/A</v>
      </c>
      <c r="CE43" s="7" t="e">
        <f>VLOOKUP(C43,listaBolsa!$D$2:$BA$1248,23,0)</f>
        <v>#N/A</v>
      </c>
      <c r="CF43" s="7" t="e">
        <f>VLOOKUP(C43,listaBolsa!$D$2:$BA$1248,29,0)</f>
        <v>#N/A</v>
      </c>
      <c r="CG43" s="7" t="e">
        <f>VLOOKUP(C43,listaBolsa!$D$2:$BA$1248,36,0)</f>
        <v>#N/A</v>
      </c>
      <c r="CH43" s="7" t="e">
        <f>VLOOKUP(C43,listaBolsa!$D$2:$BA$1248,40,0)</f>
        <v>#N/A</v>
      </c>
      <c r="CI43" s="7" t="e">
        <f>VLOOKUP(C43,listaBolsa!$D$2:$BA$1248,48,0)</f>
        <v>#N/A</v>
      </c>
      <c r="CJ43" s="7" t="e">
        <f t="shared" ref="CJ43:CJ74" si="57">CA43=C43</f>
        <v>#N/A</v>
      </c>
      <c r="CK43" s="7" t="e">
        <f t="shared" ref="CK43:CK74" si="58">CB43=D43</f>
        <v>#N/A</v>
      </c>
      <c r="CL43" s="7" t="e">
        <f t="shared" ref="CL43:CL74" si="59">CC43=H43</f>
        <v>#N/A</v>
      </c>
      <c r="CM43" s="7" t="e">
        <f t="shared" ref="CM43:CM74" si="60">CD43=I43</f>
        <v>#N/A</v>
      </c>
      <c r="CN43" s="7" t="e">
        <f t="shared" ref="CN43:CN74" si="61">CE43=N43</f>
        <v>#N/A</v>
      </c>
      <c r="CO43" s="7" t="e">
        <f t="shared" ref="CO43:CO74" si="62">CF43=O43</f>
        <v>#N/A</v>
      </c>
      <c r="CP43" s="7" t="e">
        <f t="shared" ref="CP43:CP74" si="63">CG43=T43</f>
        <v>#N/A</v>
      </c>
      <c r="CQ43" s="7" t="e">
        <f t="shared" ref="CQ43:CQ74" si="64">CH43=U43</f>
        <v>#N/A</v>
      </c>
      <c r="CR43" s="7" t="e">
        <f t="shared" ref="CR43:CR74" si="65">CI43=AC43</f>
        <v>#N/A</v>
      </c>
    </row>
    <row r="44" spans="1:96" s="7" customFormat="1" ht="21" hidden="1" x14ac:dyDescent="0.25">
      <c r="A44" s="75" t="str">
        <f t="shared" si="50"/>
        <v/>
      </c>
      <c r="B44" s="91"/>
      <c r="C44" s="82"/>
      <c r="D44" s="75" t="str">
        <f>IF(C44="","",VLOOKUP(C44,listaBolsa!$D$2:$H$1118,2,0))</f>
        <v/>
      </c>
      <c r="E44" s="91" t="str">
        <f>IF(C44="","",VLOOKUP(C44,listaBolsa!$D$2:$H$1118,3,0))</f>
        <v/>
      </c>
      <c r="F44" s="92"/>
      <c r="G44" s="86" t="str">
        <f>IF(C44="","",VLOOKUP(C44,listaBolsa!$D$2:$H$1118,5,0))</f>
        <v/>
      </c>
      <c r="H44" s="89" t="str">
        <f>IF(C44="","",VLOOKUP(C44,listaBolsa!$D$2:$W$1118,10,0))</f>
        <v/>
      </c>
      <c r="I44" s="128" t="str">
        <f>IF(C44="","",VLOOKUP(C44,listaBolsa!$D$2:$W$1118,14,0))</f>
        <v/>
      </c>
      <c r="J44" s="129" t="e">
        <f t="shared" si="55"/>
        <v>#VALUE!</v>
      </c>
      <c r="K44" s="129" t="e">
        <f t="shared" si="56"/>
        <v>#VALUE!</v>
      </c>
      <c r="L44" s="129" t="str">
        <f t="shared" si="26"/>
        <v/>
      </c>
      <c r="M44" s="129" t="str">
        <f t="shared" si="27"/>
        <v/>
      </c>
      <c r="N44" s="90" t="str">
        <f>IF(C44="","",VLOOKUP(C44,listaBolsa!$D$2:$AZ$1276,23,0))</f>
        <v/>
      </c>
      <c r="O44" s="130" t="str">
        <f>IF(C44="","",VLOOKUP(C44,listaBolsa!$D$2:$AZ$1276,27,0))</f>
        <v/>
      </c>
      <c r="P44" s="131" t="e">
        <f t="shared" si="28"/>
        <v>#VALUE!</v>
      </c>
      <c r="Q44" s="131" t="e">
        <f t="shared" si="29"/>
        <v>#VALUE!</v>
      </c>
      <c r="R44" s="131" t="str">
        <f t="shared" si="30"/>
        <v/>
      </c>
      <c r="S44" s="131" t="str">
        <f t="shared" si="31"/>
        <v/>
      </c>
      <c r="T44" s="83" t="str">
        <f>IF(C44="","",VLOOKUP(C44,listaBolsa!$D$2:$BB$1276,36,0))</f>
        <v/>
      </c>
      <c r="U44" s="132" t="str">
        <f>IF(C44="","",VLOOKUP(C44,listaBolsa!$D$2:$BB$1276,40,0))</f>
        <v/>
      </c>
      <c r="V44" s="133" t="e">
        <f t="shared" si="32"/>
        <v>#VALUE!</v>
      </c>
      <c r="W44" s="133" t="e">
        <f t="shared" si="33"/>
        <v>#VALUE!</v>
      </c>
      <c r="X44" s="133" t="str">
        <f t="shared" si="34"/>
        <v/>
      </c>
      <c r="Y44" s="133" t="str">
        <f t="shared" si="35"/>
        <v/>
      </c>
      <c r="Z44" s="134" t="str">
        <f t="shared" si="51"/>
        <v/>
      </c>
      <c r="AA44" s="134" t="str">
        <f t="shared" si="52"/>
        <v/>
      </c>
      <c r="AB44" s="135" t="str">
        <f t="shared" si="53"/>
        <v/>
      </c>
      <c r="AC44" s="85" t="str">
        <f t="shared" si="54"/>
        <v/>
      </c>
      <c r="AD44" s="5"/>
      <c r="AF44" s="7" t="str">
        <f>IF(C44="","",VLOOKUP(C44,listaBolsa!$D$2:$BB$276,51,0))</f>
        <v/>
      </c>
      <c r="BG44" s="7">
        <v>34</v>
      </c>
      <c r="CA44" s="7" t="e">
        <f>VLOOKUP(C44,listaBolsa!$D$2:$BA$1248,1,0)</f>
        <v>#N/A</v>
      </c>
      <c r="CB44" s="7" t="e">
        <f>VLOOKUP(C44,listaBolsa!$D$2:$BA$1248,2,0)</f>
        <v>#N/A</v>
      </c>
      <c r="CC44" s="7" t="e">
        <f>VLOOKUP(C44,listaBolsa!$D$2:$BA$1248,10,0)</f>
        <v>#N/A</v>
      </c>
      <c r="CD44" s="7" t="e">
        <f>VLOOKUP(C44,listaBolsa!$D$2:$BA$1248,14,0)</f>
        <v>#N/A</v>
      </c>
      <c r="CE44" s="7" t="e">
        <f>VLOOKUP(C44,listaBolsa!$D$2:$BA$1248,23,0)</f>
        <v>#N/A</v>
      </c>
      <c r="CF44" s="7" t="e">
        <f>VLOOKUP(C44,listaBolsa!$D$2:$BA$1248,29,0)</f>
        <v>#N/A</v>
      </c>
      <c r="CG44" s="7" t="e">
        <f>VLOOKUP(C44,listaBolsa!$D$2:$BA$1248,36,0)</f>
        <v>#N/A</v>
      </c>
      <c r="CH44" s="7" t="e">
        <f>VLOOKUP(C44,listaBolsa!$D$2:$BA$1248,40,0)</f>
        <v>#N/A</v>
      </c>
      <c r="CI44" s="7" t="e">
        <f>VLOOKUP(C44,listaBolsa!$D$2:$BA$1248,48,0)</f>
        <v>#N/A</v>
      </c>
      <c r="CJ44" s="7" t="e">
        <f t="shared" si="57"/>
        <v>#N/A</v>
      </c>
      <c r="CK44" s="7" t="e">
        <f t="shared" si="58"/>
        <v>#N/A</v>
      </c>
      <c r="CL44" s="7" t="e">
        <f t="shared" si="59"/>
        <v>#N/A</v>
      </c>
      <c r="CM44" s="7" t="e">
        <f t="shared" si="60"/>
        <v>#N/A</v>
      </c>
      <c r="CN44" s="7" t="e">
        <f t="shared" si="61"/>
        <v>#N/A</v>
      </c>
      <c r="CO44" s="7" t="e">
        <f t="shared" si="62"/>
        <v>#N/A</v>
      </c>
      <c r="CP44" s="7" t="e">
        <f t="shared" si="63"/>
        <v>#N/A</v>
      </c>
      <c r="CQ44" s="7" t="e">
        <f t="shared" si="64"/>
        <v>#N/A</v>
      </c>
      <c r="CR44" s="7" t="e">
        <f t="shared" si="65"/>
        <v>#N/A</v>
      </c>
    </row>
    <row r="45" spans="1:96" s="7" customFormat="1" ht="21" hidden="1" x14ac:dyDescent="0.25">
      <c r="A45" s="75" t="str">
        <f t="shared" si="50"/>
        <v/>
      </c>
      <c r="B45" s="91"/>
      <c r="C45" s="82"/>
      <c r="D45" s="75" t="str">
        <f>IF(C45="","",VLOOKUP(C45,listaBolsa!$D$2:$H$1118,2,0))</f>
        <v/>
      </c>
      <c r="E45" s="91" t="str">
        <f>IF(C45="","",VLOOKUP(C45,listaBolsa!$D$2:$H$1118,3,0))</f>
        <v/>
      </c>
      <c r="F45" s="92"/>
      <c r="G45" s="86" t="str">
        <f>IF(C45="","",VLOOKUP(C45,listaBolsa!$D$2:$H$1118,5,0))</f>
        <v/>
      </c>
      <c r="H45" s="89" t="str">
        <f>IF(C45="","",VLOOKUP(C45,listaBolsa!$D$2:$W$1118,10,0))</f>
        <v/>
      </c>
      <c r="I45" s="128" t="str">
        <f>IF(C45="","",VLOOKUP(C45,listaBolsa!$D$2:$W$1118,14,0))</f>
        <v/>
      </c>
      <c r="J45" s="129" t="e">
        <f t="shared" si="55"/>
        <v>#VALUE!</v>
      </c>
      <c r="K45" s="129" t="e">
        <f t="shared" si="56"/>
        <v>#VALUE!</v>
      </c>
      <c r="L45" s="129" t="str">
        <f t="shared" si="26"/>
        <v/>
      </c>
      <c r="M45" s="129" t="str">
        <f t="shared" si="27"/>
        <v/>
      </c>
      <c r="N45" s="90" t="str">
        <f>IF(C45="","",VLOOKUP(C45,listaBolsa!$D$2:$AZ$1276,23,0))</f>
        <v/>
      </c>
      <c r="O45" s="130" t="str">
        <f>IF(C45="","",VLOOKUP(C45,listaBolsa!$D$2:$AZ$1276,27,0))</f>
        <v/>
      </c>
      <c r="P45" s="131" t="e">
        <f t="shared" si="28"/>
        <v>#VALUE!</v>
      </c>
      <c r="Q45" s="131" t="e">
        <f t="shared" si="29"/>
        <v>#VALUE!</v>
      </c>
      <c r="R45" s="131" t="str">
        <f t="shared" si="30"/>
        <v/>
      </c>
      <c r="S45" s="131" t="str">
        <f t="shared" si="31"/>
        <v/>
      </c>
      <c r="T45" s="83" t="str">
        <f>IF(C45="","",VLOOKUP(C45,listaBolsa!$D$2:$BB$1276,36,0))</f>
        <v/>
      </c>
      <c r="U45" s="132" t="str">
        <f>IF(C45="","",VLOOKUP(C45,listaBolsa!$D$2:$BB$1276,40,0))</f>
        <v/>
      </c>
      <c r="V45" s="133" t="e">
        <f t="shared" si="32"/>
        <v>#VALUE!</v>
      </c>
      <c r="W45" s="133" t="e">
        <f t="shared" si="33"/>
        <v>#VALUE!</v>
      </c>
      <c r="X45" s="133" t="str">
        <f t="shared" si="34"/>
        <v/>
      </c>
      <c r="Y45" s="133" t="str">
        <f t="shared" si="35"/>
        <v/>
      </c>
      <c r="Z45" s="134" t="str">
        <f t="shared" si="51"/>
        <v/>
      </c>
      <c r="AA45" s="134" t="str">
        <f t="shared" si="52"/>
        <v/>
      </c>
      <c r="AB45" s="135" t="str">
        <f t="shared" si="53"/>
        <v/>
      </c>
      <c r="AC45" s="85" t="str">
        <f t="shared" si="54"/>
        <v/>
      </c>
      <c r="AD45" s="5"/>
      <c r="AF45" s="7" t="str">
        <f>IF(C45="","",VLOOKUP(C45,listaBolsa!$D$2:$BB$276,51,0))</f>
        <v/>
      </c>
      <c r="BG45" s="7">
        <v>35</v>
      </c>
      <c r="CA45" s="7" t="e">
        <f>VLOOKUP(C45,listaBolsa!$D$2:$BA$1248,1,0)</f>
        <v>#N/A</v>
      </c>
      <c r="CB45" s="7" t="e">
        <f>VLOOKUP(C45,listaBolsa!$D$2:$BA$1248,2,0)</f>
        <v>#N/A</v>
      </c>
      <c r="CC45" s="7" t="e">
        <f>VLOOKUP(C45,listaBolsa!$D$2:$BA$1248,10,0)</f>
        <v>#N/A</v>
      </c>
      <c r="CD45" s="7" t="e">
        <f>VLOOKUP(C45,listaBolsa!$D$2:$BA$1248,14,0)</f>
        <v>#N/A</v>
      </c>
      <c r="CE45" s="7" t="e">
        <f>VLOOKUP(C45,listaBolsa!$D$2:$BA$1248,23,0)</f>
        <v>#N/A</v>
      </c>
      <c r="CF45" s="7" t="e">
        <f>VLOOKUP(C45,listaBolsa!$D$2:$BA$1248,29,0)</f>
        <v>#N/A</v>
      </c>
      <c r="CG45" s="7" t="e">
        <f>VLOOKUP(C45,listaBolsa!$D$2:$BA$1248,36,0)</f>
        <v>#N/A</v>
      </c>
      <c r="CH45" s="7" t="e">
        <f>VLOOKUP(C45,listaBolsa!$D$2:$BA$1248,40,0)</f>
        <v>#N/A</v>
      </c>
      <c r="CI45" s="7" t="e">
        <f>VLOOKUP(C45,listaBolsa!$D$2:$BA$1248,48,0)</f>
        <v>#N/A</v>
      </c>
      <c r="CJ45" s="7" t="e">
        <f t="shared" si="57"/>
        <v>#N/A</v>
      </c>
      <c r="CK45" s="7" t="e">
        <f t="shared" si="58"/>
        <v>#N/A</v>
      </c>
      <c r="CL45" s="7" t="e">
        <f t="shared" si="59"/>
        <v>#N/A</v>
      </c>
      <c r="CM45" s="7" t="e">
        <f t="shared" si="60"/>
        <v>#N/A</v>
      </c>
      <c r="CN45" s="7" t="e">
        <f t="shared" si="61"/>
        <v>#N/A</v>
      </c>
      <c r="CO45" s="7" t="e">
        <f t="shared" si="62"/>
        <v>#N/A</v>
      </c>
      <c r="CP45" s="7" t="e">
        <f t="shared" si="63"/>
        <v>#N/A</v>
      </c>
      <c r="CQ45" s="7" t="e">
        <f t="shared" si="64"/>
        <v>#N/A</v>
      </c>
      <c r="CR45" s="7" t="e">
        <f t="shared" si="65"/>
        <v>#N/A</v>
      </c>
    </row>
    <row r="46" spans="1:96" s="7" customFormat="1" ht="21" hidden="1" x14ac:dyDescent="0.25">
      <c r="A46" s="75" t="str">
        <f t="shared" si="50"/>
        <v/>
      </c>
      <c r="B46" s="91"/>
      <c r="C46" s="82"/>
      <c r="D46" s="75" t="str">
        <f>IF(C46="","",VLOOKUP(C46,listaBolsa!$D$2:$H$1118,2,0))</f>
        <v/>
      </c>
      <c r="E46" s="91" t="str">
        <f>IF(C46="","",VLOOKUP(C46,listaBolsa!$D$2:$H$1118,3,0))</f>
        <v/>
      </c>
      <c r="F46" s="92"/>
      <c r="G46" s="86" t="str">
        <f>IF(C46="","",VLOOKUP(C46,listaBolsa!$D$2:$H$1118,5,0))</f>
        <v/>
      </c>
      <c r="H46" s="89" t="str">
        <f>IF(C46="","",VLOOKUP(C46,listaBolsa!$D$2:$W$1118,10,0))</f>
        <v/>
      </c>
      <c r="I46" s="128" t="str">
        <f>IF(C46="","",VLOOKUP(C46,listaBolsa!$D$2:$W$1118,14,0))</f>
        <v/>
      </c>
      <c r="J46" s="129" t="e">
        <f t="shared" si="55"/>
        <v>#VALUE!</v>
      </c>
      <c r="K46" s="129" t="e">
        <f t="shared" si="56"/>
        <v>#VALUE!</v>
      </c>
      <c r="L46" s="129" t="str">
        <f t="shared" si="26"/>
        <v/>
      </c>
      <c r="M46" s="129" t="str">
        <f t="shared" si="27"/>
        <v/>
      </c>
      <c r="N46" s="90" t="str">
        <f>IF(C46="","",VLOOKUP(C46,listaBolsa!$D$2:$AZ$1276,23,0))</f>
        <v/>
      </c>
      <c r="O46" s="130" t="str">
        <f>IF(C46="","",VLOOKUP(C46,listaBolsa!$D$2:$AZ$1276,27,0))</f>
        <v/>
      </c>
      <c r="P46" s="131" t="e">
        <f t="shared" si="28"/>
        <v>#VALUE!</v>
      </c>
      <c r="Q46" s="131" t="e">
        <f t="shared" si="29"/>
        <v>#VALUE!</v>
      </c>
      <c r="R46" s="131" t="str">
        <f t="shared" si="30"/>
        <v/>
      </c>
      <c r="S46" s="131" t="str">
        <f t="shared" si="31"/>
        <v/>
      </c>
      <c r="T46" s="83" t="str">
        <f>IF(C46="","",VLOOKUP(C46,listaBolsa!$D$2:$BB$1276,36,0))</f>
        <v/>
      </c>
      <c r="U46" s="132" t="str">
        <f>IF(C46="","",VLOOKUP(C46,listaBolsa!$D$2:$BB$1276,40,0))</f>
        <v/>
      </c>
      <c r="V46" s="133" t="e">
        <f t="shared" si="32"/>
        <v>#VALUE!</v>
      </c>
      <c r="W46" s="133" t="e">
        <f t="shared" si="33"/>
        <v>#VALUE!</v>
      </c>
      <c r="X46" s="133" t="str">
        <f t="shared" si="34"/>
        <v/>
      </c>
      <c r="Y46" s="133" t="str">
        <f t="shared" si="35"/>
        <v/>
      </c>
      <c r="Z46" s="134" t="str">
        <f t="shared" si="51"/>
        <v/>
      </c>
      <c r="AA46" s="134" t="str">
        <f t="shared" si="52"/>
        <v/>
      </c>
      <c r="AB46" s="135" t="str">
        <f t="shared" si="53"/>
        <v/>
      </c>
      <c r="AC46" s="85" t="str">
        <f t="shared" si="54"/>
        <v/>
      </c>
      <c r="AD46" s="5"/>
      <c r="AF46" s="7" t="str">
        <f>IF(C46="","",VLOOKUP(C46,listaBolsa!$D$2:$BB$276,51,0))</f>
        <v/>
      </c>
      <c r="BG46" s="7">
        <v>36</v>
      </c>
      <c r="CA46" s="7" t="e">
        <f>VLOOKUP(C46,listaBolsa!$D$2:$BA$1248,1,0)</f>
        <v>#N/A</v>
      </c>
      <c r="CB46" s="7" t="e">
        <f>VLOOKUP(C46,listaBolsa!$D$2:$BA$1248,2,0)</f>
        <v>#N/A</v>
      </c>
      <c r="CC46" s="7" t="e">
        <f>VLOOKUP(C46,listaBolsa!$D$2:$BA$1248,10,0)</f>
        <v>#N/A</v>
      </c>
      <c r="CD46" s="7" t="e">
        <f>VLOOKUP(C46,listaBolsa!$D$2:$BA$1248,14,0)</f>
        <v>#N/A</v>
      </c>
      <c r="CE46" s="7" t="e">
        <f>VLOOKUP(C46,listaBolsa!$D$2:$BA$1248,23,0)</f>
        <v>#N/A</v>
      </c>
      <c r="CF46" s="7" t="e">
        <f>VLOOKUP(C46,listaBolsa!$D$2:$BA$1248,29,0)</f>
        <v>#N/A</v>
      </c>
      <c r="CG46" s="7" t="e">
        <f>VLOOKUP(C46,listaBolsa!$D$2:$BA$1248,36,0)</f>
        <v>#N/A</v>
      </c>
      <c r="CH46" s="7" t="e">
        <f>VLOOKUP(C46,listaBolsa!$D$2:$BA$1248,40,0)</f>
        <v>#N/A</v>
      </c>
      <c r="CI46" s="7" t="e">
        <f>VLOOKUP(C46,listaBolsa!$D$2:$BA$1248,48,0)</f>
        <v>#N/A</v>
      </c>
      <c r="CJ46" s="7" t="e">
        <f t="shared" si="57"/>
        <v>#N/A</v>
      </c>
      <c r="CK46" s="7" t="e">
        <f t="shared" si="58"/>
        <v>#N/A</v>
      </c>
      <c r="CL46" s="7" t="e">
        <f t="shared" si="59"/>
        <v>#N/A</v>
      </c>
      <c r="CM46" s="7" t="e">
        <f t="shared" si="60"/>
        <v>#N/A</v>
      </c>
      <c r="CN46" s="7" t="e">
        <f t="shared" si="61"/>
        <v>#N/A</v>
      </c>
      <c r="CO46" s="7" t="e">
        <f t="shared" si="62"/>
        <v>#N/A</v>
      </c>
      <c r="CP46" s="7" t="e">
        <f t="shared" si="63"/>
        <v>#N/A</v>
      </c>
      <c r="CQ46" s="7" t="e">
        <f t="shared" si="64"/>
        <v>#N/A</v>
      </c>
      <c r="CR46" s="7" t="e">
        <f t="shared" si="65"/>
        <v>#N/A</v>
      </c>
    </row>
    <row r="47" spans="1:96" s="7" customFormat="1" ht="21" hidden="1" x14ac:dyDescent="0.25">
      <c r="A47" s="75" t="str">
        <f t="shared" si="50"/>
        <v/>
      </c>
      <c r="B47" s="91"/>
      <c r="C47" s="82"/>
      <c r="D47" s="75" t="str">
        <f>IF(C47="","",VLOOKUP(C47,listaBolsa!$D$2:$H$1118,2,0))</f>
        <v/>
      </c>
      <c r="E47" s="91" t="str">
        <f>IF(C47="","",VLOOKUP(C47,listaBolsa!$D$2:$H$1118,3,0))</f>
        <v/>
      </c>
      <c r="F47" s="92"/>
      <c r="G47" s="86" t="str">
        <f>IF(C47="","",VLOOKUP(C47,listaBolsa!$D$2:$H$1118,5,0))</f>
        <v/>
      </c>
      <c r="H47" s="89" t="str">
        <f>IF(C47="","",VLOOKUP(C47,listaBolsa!$D$2:$W$1118,10,0))</f>
        <v/>
      </c>
      <c r="I47" s="128" t="str">
        <f>IF(C47="","",VLOOKUP(C47,listaBolsa!$D$2:$W$1118,14,0))</f>
        <v/>
      </c>
      <c r="J47" s="129" t="e">
        <f t="shared" si="55"/>
        <v>#VALUE!</v>
      </c>
      <c r="K47" s="129" t="e">
        <f t="shared" si="56"/>
        <v>#VALUE!</v>
      </c>
      <c r="L47" s="129" t="str">
        <f t="shared" si="26"/>
        <v/>
      </c>
      <c r="M47" s="129" t="str">
        <f t="shared" si="27"/>
        <v/>
      </c>
      <c r="N47" s="90" t="str">
        <f>IF(C47="","",VLOOKUP(C47,listaBolsa!$D$2:$AZ$1276,23,0))</f>
        <v/>
      </c>
      <c r="O47" s="130" t="str">
        <f>IF(C47="","",VLOOKUP(C47,listaBolsa!$D$2:$AZ$1276,27,0))</f>
        <v/>
      </c>
      <c r="P47" s="131" t="e">
        <f t="shared" si="28"/>
        <v>#VALUE!</v>
      </c>
      <c r="Q47" s="131" t="e">
        <f t="shared" si="29"/>
        <v>#VALUE!</v>
      </c>
      <c r="R47" s="131" t="str">
        <f t="shared" si="30"/>
        <v/>
      </c>
      <c r="S47" s="131" t="str">
        <f t="shared" si="31"/>
        <v/>
      </c>
      <c r="T47" s="83" t="str">
        <f>IF(C47="","",VLOOKUP(C47,listaBolsa!$D$2:$BB$1276,36,0))</f>
        <v/>
      </c>
      <c r="U47" s="132" t="str">
        <f>IF(C47="","",VLOOKUP(C47,listaBolsa!$D$2:$BB$1276,40,0))</f>
        <v/>
      </c>
      <c r="V47" s="133" t="e">
        <f t="shared" si="32"/>
        <v>#VALUE!</v>
      </c>
      <c r="W47" s="133" t="e">
        <f t="shared" si="33"/>
        <v>#VALUE!</v>
      </c>
      <c r="X47" s="133" t="str">
        <f t="shared" si="34"/>
        <v/>
      </c>
      <c r="Y47" s="133" t="str">
        <f t="shared" si="35"/>
        <v/>
      </c>
      <c r="Z47" s="134" t="str">
        <f t="shared" si="51"/>
        <v/>
      </c>
      <c r="AA47" s="134" t="str">
        <f t="shared" si="52"/>
        <v/>
      </c>
      <c r="AB47" s="135" t="str">
        <f t="shared" si="53"/>
        <v/>
      </c>
      <c r="AC47" s="85" t="str">
        <f t="shared" si="54"/>
        <v/>
      </c>
      <c r="AD47" s="5"/>
      <c r="AF47" s="7" t="str">
        <f>IF(C47="","",VLOOKUP(C47,listaBolsa!$D$2:$BB$276,51,0))</f>
        <v/>
      </c>
      <c r="BG47" s="7">
        <v>37</v>
      </c>
      <c r="CA47" s="7" t="e">
        <f>VLOOKUP(C47,listaBolsa!$D$2:$BA$1248,1,0)</f>
        <v>#N/A</v>
      </c>
      <c r="CB47" s="7" t="e">
        <f>VLOOKUP(C47,listaBolsa!$D$2:$BA$1248,2,0)</f>
        <v>#N/A</v>
      </c>
      <c r="CC47" s="7" t="e">
        <f>VLOOKUP(C47,listaBolsa!$D$2:$BA$1248,10,0)</f>
        <v>#N/A</v>
      </c>
      <c r="CD47" s="7" t="e">
        <f>VLOOKUP(C47,listaBolsa!$D$2:$BA$1248,14,0)</f>
        <v>#N/A</v>
      </c>
      <c r="CE47" s="7" t="e">
        <f>VLOOKUP(C47,listaBolsa!$D$2:$BA$1248,23,0)</f>
        <v>#N/A</v>
      </c>
      <c r="CF47" s="7" t="e">
        <f>VLOOKUP(C47,listaBolsa!$D$2:$BA$1248,29,0)</f>
        <v>#N/A</v>
      </c>
      <c r="CG47" s="7" t="e">
        <f>VLOOKUP(C47,listaBolsa!$D$2:$BA$1248,36,0)</f>
        <v>#N/A</v>
      </c>
      <c r="CH47" s="7" t="e">
        <f>VLOOKUP(C47,listaBolsa!$D$2:$BA$1248,40,0)</f>
        <v>#N/A</v>
      </c>
      <c r="CI47" s="7" t="e">
        <f>VLOOKUP(C47,listaBolsa!$D$2:$BA$1248,48,0)</f>
        <v>#N/A</v>
      </c>
      <c r="CJ47" s="7" t="e">
        <f t="shared" si="57"/>
        <v>#N/A</v>
      </c>
      <c r="CK47" s="7" t="e">
        <f t="shared" si="58"/>
        <v>#N/A</v>
      </c>
      <c r="CL47" s="7" t="e">
        <f t="shared" si="59"/>
        <v>#N/A</v>
      </c>
      <c r="CM47" s="7" t="e">
        <f t="shared" si="60"/>
        <v>#N/A</v>
      </c>
      <c r="CN47" s="7" t="e">
        <f t="shared" si="61"/>
        <v>#N/A</v>
      </c>
      <c r="CO47" s="7" t="e">
        <f t="shared" si="62"/>
        <v>#N/A</v>
      </c>
      <c r="CP47" s="7" t="e">
        <f t="shared" si="63"/>
        <v>#N/A</v>
      </c>
      <c r="CQ47" s="7" t="e">
        <f t="shared" si="64"/>
        <v>#N/A</v>
      </c>
      <c r="CR47" s="7" t="e">
        <f t="shared" si="65"/>
        <v>#N/A</v>
      </c>
    </row>
    <row r="48" spans="1:96" s="7" customFormat="1" ht="21" hidden="1" x14ac:dyDescent="0.25">
      <c r="A48" s="75" t="str">
        <f t="shared" si="50"/>
        <v/>
      </c>
      <c r="B48" s="91"/>
      <c r="C48" s="82"/>
      <c r="D48" s="75" t="str">
        <f>IF(C48="","",VLOOKUP(C48,listaBolsa!$D$2:$H$1118,2,0))</f>
        <v/>
      </c>
      <c r="E48" s="91" t="str">
        <f>IF(C48="","",VLOOKUP(C48,listaBolsa!$D$2:$H$1118,3,0))</f>
        <v/>
      </c>
      <c r="F48" s="92"/>
      <c r="G48" s="86" t="str">
        <f>IF(C48="","",VLOOKUP(C48,listaBolsa!$D$2:$H$1118,5,0))</f>
        <v/>
      </c>
      <c r="H48" s="89" t="str">
        <f>IF(C48="","",VLOOKUP(C48,listaBolsa!$D$2:$W$1118,10,0))</f>
        <v/>
      </c>
      <c r="I48" s="128" t="str">
        <f>IF(C48="","",VLOOKUP(C48,listaBolsa!$D$2:$W$1118,14,0))</f>
        <v/>
      </c>
      <c r="J48" s="129" t="e">
        <f t="shared" si="55"/>
        <v>#VALUE!</v>
      </c>
      <c r="K48" s="129" t="e">
        <f t="shared" si="56"/>
        <v>#VALUE!</v>
      </c>
      <c r="L48" s="129" t="str">
        <f t="shared" si="26"/>
        <v/>
      </c>
      <c r="M48" s="129" t="str">
        <f t="shared" si="27"/>
        <v/>
      </c>
      <c r="N48" s="90" t="str">
        <f>IF(C48="","",VLOOKUP(C48,listaBolsa!$D$2:$AZ$1276,23,0))</f>
        <v/>
      </c>
      <c r="O48" s="130" t="str">
        <f>IF(C48="","",VLOOKUP(C48,listaBolsa!$D$2:$AZ$1276,27,0))</f>
        <v/>
      </c>
      <c r="P48" s="131" t="e">
        <f t="shared" si="28"/>
        <v>#VALUE!</v>
      </c>
      <c r="Q48" s="131" t="e">
        <f t="shared" si="29"/>
        <v>#VALUE!</v>
      </c>
      <c r="R48" s="131" t="str">
        <f t="shared" si="30"/>
        <v/>
      </c>
      <c r="S48" s="131" t="str">
        <f t="shared" si="31"/>
        <v/>
      </c>
      <c r="T48" s="83" t="str">
        <f>IF(C48="","",VLOOKUP(C48,listaBolsa!$D$2:$BB$1276,36,0))</f>
        <v/>
      </c>
      <c r="U48" s="132" t="str">
        <f>IF(C48="","",VLOOKUP(C48,listaBolsa!$D$2:$BB$1276,40,0))</f>
        <v/>
      </c>
      <c r="V48" s="133" t="e">
        <f t="shared" si="32"/>
        <v>#VALUE!</v>
      </c>
      <c r="W48" s="133" t="e">
        <f t="shared" si="33"/>
        <v>#VALUE!</v>
      </c>
      <c r="X48" s="133" t="str">
        <f t="shared" si="34"/>
        <v/>
      </c>
      <c r="Y48" s="133" t="str">
        <f t="shared" si="35"/>
        <v/>
      </c>
      <c r="Z48" s="134" t="str">
        <f t="shared" si="51"/>
        <v/>
      </c>
      <c r="AA48" s="134" t="str">
        <f t="shared" si="52"/>
        <v/>
      </c>
      <c r="AB48" s="135" t="str">
        <f t="shared" si="53"/>
        <v/>
      </c>
      <c r="AC48" s="85" t="str">
        <f t="shared" si="54"/>
        <v/>
      </c>
      <c r="AD48" s="5"/>
      <c r="AF48" s="7" t="str">
        <f>IF(C48="","",VLOOKUP(C48,listaBolsa!$D$2:$BB$276,51,0))</f>
        <v/>
      </c>
      <c r="BG48" s="7">
        <v>38</v>
      </c>
      <c r="CA48" s="7" t="e">
        <f>VLOOKUP(C48,listaBolsa!$D$2:$BA$1248,1,0)</f>
        <v>#N/A</v>
      </c>
      <c r="CB48" s="7" t="e">
        <f>VLOOKUP(C48,listaBolsa!$D$2:$BA$1248,2,0)</f>
        <v>#N/A</v>
      </c>
      <c r="CC48" s="7" t="e">
        <f>VLOOKUP(C48,listaBolsa!$D$2:$BA$1248,10,0)</f>
        <v>#N/A</v>
      </c>
      <c r="CD48" s="7" t="e">
        <f>VLOOKUP(C48,listaBolsa!$D$2:$BA$1248,14,0)</f>
        <v>#N/A</v>
      </c>
      <c r="CE48" s="7" t="e">
        <f>VLOOKUP(C48,listaBolsa!$D$2:$BA$1248,23,0)</f>
        <v>#N/A</v>
      </c>
      <c r="CF48" s="7" t="e">
        <f>VLOOKUP(C48,listaBolsa!$D$2:$BA$1248,29,0)</f>
        <v>#N/A</v>
      </c>
      <c r="CG48" s="7" t="e">
        <f>VLOOKUP(C48,listaBolsa!$D$2:$BA$1248,36,0)</f>
        <v>#N/A</v>
      </c>
      <c r="CH48" s="7" t="e">
        <f>VLOOKUP(C48,listaBolsa!$D$2:$BA$1248,40,0)</f>
        <v>#N/A</v>
      </c>
      <c r="CI48" s="7" t="e">
        <f>VLOOKUP(C48,listaBolsa!$D$2:$BA$1248,48,0)</f>
        <v>#N/A</v>
      </c>
      <c r="CJ48" s="7" t="e">
        <f t="shared" si="57"/>
        <v>#N/A</v>
      </c>
      <c r="CK48" s="7" t="e">
        <f t="shared" si="58"/>
        <v>#N/A</v>
      </c>
      <c r="CL48" s="7" t="e">
        <f t="shared" si="59"/>
        <v>#N/A</v>
      </c>
      <c r="CM48" s="7" t="e">
        <f t="shared" si="60"/>
        <v>#N/A</v>
      </c>
      <c r="CN48" s="7" t="e">
        <f t="shared" si="61"/>
        <v>#N/A</v>
      </c>
      <c r="CO48" s="7" t="e">
        <f t="shared" si="62"/>
        <v>#N/A</v>
      </c>
      <c r="CP48" s="7" t="e">
        <f t="shared" si="63"/>
        <v>#N/A</v>
      </c>
      <c r="CQ48" s="7" t="e">
        <f t="shared" si="64"/>
        <v>#N/A</v>
      </c>
      <c r="CR48" s="7" t="e">
        <f t="shared" si="65"/>
        <v>#N/A</v>
      </c>
    </row>
    <row r="49" spans="1:96" s="7" customFormat="1" ht="21" hidden="1" x14ac:dyDescent="0.25">
      <c r="A49" s="75" t="str">
        <f t="shared" si="50"/>
        <v/>
      </c>
      <c r="B49" s="91"/>
      <c r="C49" s="82"/>
      <c r="D49" s="75" t="str">
        <f>IF(C49="","",VLOOKUP(C49,listaBolsa!$D$2:$H$1118,2,0))</f>
        <v/>
      </c>
      <c r="E49" s="91" t="str">
        <f>IF(C49="","",VLOOKUP(C49,listaBolsa!$D$2:$H$1118,3,0))</f>
        <v/>
      </c>
      <c r="F49" s="92"/>
      <c r="G49" s="86" t="str">
        <f>IF(C49="","",VLOOKUP(C49,listaBolsa!$D$2:$H$1118,5,0))</f>
        <v/>
      </c>
      <c r="H49" s="89" t="str">
        <f>IF(C49="","",VLOOKUP(C49,listaBolsa!$D$2:$W$1118,10,0))</f>
        <v/>
      </c>
      <c r="I49" s="128" t="str">
        <f>IF(C49="","",VLOOKUP(C49,listaBolsa!$D$2:$W$1118,14,0))</f>
        <v/>
      </c>
      <c r="J49" s="129" t="e">
        <f t="shared" si="55"/>
        <v>#VALUE!</v>
      </c>
      <c r="K49" s="129" t="e">
        <f t="shared" si="56"/>
        <v>#VALUE!</v>
      </c>
      <c r="L49" s="129" t="str">
        <f t="shared" si="26"/>
        <v/>
      </c>
      <c r="M49" s="129" t="str">
        <f t="shared" si="27"/>
        <v/>
      </c>
      <c r="N49" s="90" t="str">
        <f>IF(C49="","",VLOOKUP(C49,listaBolsa!$D$2:$AZ$1276,23,0))</f>
        <v/>
      </c>
      <c r="O49" s="130" t="str">
        <f>IF(C49="","",VLOOKUP(C49,listaBolsa!$D$2:$AZ$1276,27,0))</f>
        <v/>
      </c>
      <c r="P49" s="131" t="e">
        <f t="shared" si="28"/>
        <v>#VALUE!</v>
      </c>
      <c r="Q49" s="131" t="e">
        <f t="shared" si="29"/>
        <v>#VALUE!</v>
      </c>
      <c r="R49" s="131" t="str">
        <f t="shared" si="30"/>
        <v/>
      </c>
      <c r="S49" s="131" t="str">
        <f t="shared" si="31"/>
        <v/>
      </c>
      <c r="T49" s="83" t="str">
        <f>IF(C49="","",VLOOKUP(C49,listaBolsa!$D$2:$BB$1276,36,0))</f>
        <v/>
      </c>
      <c r="U49" s="132" t="str">
        <f>IF(C49="","",VLOOKUP(C49,listaBolsa!$D$2:$BB$1276,40,0))</f>
        <v/>
      </c>
      <c r="V49" s="133" t="e">
        <f t="shared" si="32"/>
        <v>#VALUE!</v>
      </c>
      <c r="W49" s="133" t="e">
        <f t="shared" si="33"/>
        <v>#VALUE!</v>
      </c>
      <c r="X49" s="133" t="str">
        <f t="shared" si="34"/>
        <v/>
      </c>
      <c r="Y49" s="133" t="str">
        <f t="shared" si="35"/>
        <v/>
      </c>
      <c r="Z49" s="134" t="str">
        <f t="shared" si="51"/>
        <v/>
      </c>
      <c r="AA49" s="134" t="str">
        <f t="shared" si="52"/>
        <v/>
      </c>
      <c r="AB49" s="135" t="str">
        <f t="shared" si="53"/>
        <v/>
      </c>
      <c r="AC49" s="85" t="str">
        <f t="shared" si="54"/>
        <v/>
      </c>
      <c r="AD49" s="5"/>
      <c r="AF49" s="7" t="str">
        <f>IF(C49="","",VLOOKUP(C49,listaBolsa!$D$2:$BB$276,51,0))</f>
        <v/>
      </c>
      <c r="BG49" s="7">
        <v>39</v>
      </c>
      <c r="CA49" s="7" t="e">
        <f>VLOOKUP(C49,listaBolsa!$D$2:$BA$1248,1,0)</f>
        <v>#N/A</v>
      </c>
      <c r="CB49" s="7" t="e">
        <f>VLOOKUP(C49,listaBolsa!$D$2:$BA$1248,2,0)</f>
        <v>#N/A</v>
      </c>
      <c r="CC49" s="7" t="e">
        <f>VLOOKUP(C49,listaBolsa!$D$2:$BA$1248,10,0)</f>
        <v>#N/A</v>
      </c>
      <c r="CD49" s="7" t="e">
        <f>VLOOKUP(C49,listaBolsa!$D$2:$BA$1248,14,0)</f>
        <v>#N/A</v>
      </c>
      <c r="CE49" s="7" t="e">
        <f>VLOOKUP(C49,listaBolsa!$D$2:$BA$1248,23,0)</f>
        <v>#N/A</v>
      </c>
      <c r="CF49" s="7" t="e">
        <f>VLOOKUP(C49,listaBolsa!$D$2:$BA$1248,29,0)</f>
        <v>#N/A</v>
      </c>
      <c r="CG49" s="7" t="e">
        <f>VLOOKUP(C49,listaBolsa!$D$2:$BA$1248,36,0)</f>
        <v>#N/A</v>
      </c>
      <c r="CH49" s="7" t="e">
        <f>VLOOKUP(C49,listaBolsa!$D$2:$BA$1248,40,0)</f>
        <v>#N/A</v>
      </c>
      <c r="CI49" s="7" t="e">
        <f>VLOOKUP(C49,listaBolsa!$D$2:$BA$1248,48,0)</f>
        <v>#N/A</v>
      </c>
      <c r="CJ49" s="7" t="e">
        <f t="shared" si="57"/>
        <v>#N/A</v>
      </c>
      <c r="CK49" s="7" t="e">
        <f t="shared" si="58"/>
        <v>#N/A</v>
      </c>
      <c r="CL49" s="7" t="e">
        <f t="shared" si="59"/>
        <v>#N/A</v>
      </c>
      <c r="CM49" s="7" t="e">
        <f t="shared" si="60"/>
        <v>#N/A</v>
      </c>
      <c r="CN49" s="7" t="e">
        <f t="shared" si="61"/>
        <v>#N/A</v>
      </c>
      <c r="CO49" s="7" t="e">
        <f t="shared" si="62"/>
        <v>#N/A</v>
      </c>
      <c r="CP49" s="7" t="e">
        <f t="shared" si="63"/>
        <v>#N/A</v>
      </c>
      <c r="CQ49" s="7" t="e">
        <f t="shared" si="64"/>
        <v>#N/A</v>
      </c>
      <c r="CR49" s="7" t="e">
        <f t="shared" si="65"/>
        <v>#N/A</v>
      </c>
    </row>
    <row r="50" spans="1:96" s="7" customFormat="1" ht="21" hidden="1" x14ac:dyDescent="0.25">
      <c r="A50" s="75" t="str">
        <f t="shared" si="50"/>
        <v/>
      </c>
      <c r="B50" s="91"/>
      <c r="C50" s="82"/>
      <c r="D50" s="75" t="str">
        <f>IF(C50="","",VLOOKUP(C50,listaBolsa!$D$2:$H$1118,2,0))</f>
        <v/>
      </c>
      <c r="E50" s="91" t="str">
        <f>IF(C50="","",VLOOKUP(C50,listaBolsa!$D$2:$H$1118,3,0))</f>
        <v/>
      </c>
      <c r="F50" s="92"/>
      <c r="G50" s="86" t="str">
        <f>IF(C50="","",VLOOKUP(C50,listaBolsa!$D$2:$H$1118,5,0))</f>
        <v/>
      </c>
      <c r="H50" s="89" t="str">
        <f>IF(C50="","",VLOOKUP(C50,listaBolsa!$D$2:$W$1118,10,0))</f>
        <v/>
      </c>
      <c r="I50" s="128" t="str">
        <f>IF(C50="","",VLOOKUP(C50,listaBolsa!$D$2:$W$1118,14,0))</f>
        <v/>
      </c>
      <c r="J50" s="129" t="e">
        <f t="shared" si="55"/>
        <v>#VALUE!</v>
      </c>
      <c r="K50" s="129" t="e">
        <f t="shared" si="56"/>
        <v>#VALUE!</v>
      </c>
      <c r="L50" s="129" t="str">
        <f t="shared" si="26"/>
        <v/>
      </c>
      <c r="M50" s="129" t="str">
        <f t="shared" si="27"/>
        <v/>
      </c>
      <c r="N50" s="90" t="str">
        <f>IF(C50="","",VLOOKUP(C50,listaBolsa!$D$2:$AZ$1276,23,0))</f>
        <v/>
      </c>
      <c r="O50" s="130" t="str">
        <f>IF(C50="","",VLOOKUP(C50,listaBolsa!$D$2:$AZ$1276,27,0))</f>
        <v/>
      </c>
      <c r="P50" s="131" t="e">
        <f t="shared" si="28"/>
        <v>#VALUE!</v>
      </c>
      <c r="Q50" s="131" t="e">
        <f t="shared" si="29"/>
        <v>#VALUE!</v>
      </c>
      <c r="R50" s="131" t="str">
        <f t="shared" si="30"/>
        <v/>
      </c>
      <c r="S50" s="131" t="str">
        <f t="shared" si="31"/>
        <v/>
      </c>
      <c r="T50" s="83" t="str">
        <f>IF(C50="","",VLOOKUP(C50,listaBolsa!$D$2:$BB$1276,36,0))</f>
        <v/>
      </c>
      <c r="U50" s="132" t="str">
        <f>IF(C50="","",VLOOKUP(C50,listaBolsa!$D$2:$BB$1276,40,0))</f>
        <v/>
      </c>
      <c r="V50" s="133" t="e">
        <f t="shared" si="32"/>
        <v>#VALUE!</v>
      </c>
      <c r="W50" s="133" t="e">
        <f t="shared" si="33"/>
        <v>#VALUE!</v>
      </c>
      <c r="X50" s="133" t="str">
        <f t="shared" si="34"/>
        <v/>
      </c>
      <c r="Y50" s="133" t="str">
        <f t="shared" si="35"/>
        <v/>
      </c>
      <c r="Z50" s="134" t="str">
        <f t="shared" si="51"/>
        <v/>
      </c>
      <c r="AA50" s="134" t="str">
        <f t="shared" si="52"/>
        <v/>
      </c>
      <c r="AB50" s="135" t="str">
        <f t="shared" si="53"/>
        <v/>
      </c>
      <c r="AC50" s="85" t="str">
        <f t="shared" si="54"/>
        <v/>
      </c>
      <c r="AD50" s="5"/>
      <c r="AF50" s="7" t="str">
        <f>IF(C50="","",VLOOKUP(C50,listaBolsa!$D$2:$BB$276,51,0))</f>
        <v/>
      </c>
      <c r="BG50" s="7">
        <v>40</v>
      </c>
      <c r="CA50" s="7" t="e">
        <f>VLOOKUP(C50,listaBolsa!$D$2:$BA$1248,1,0)</f>
        <v>#N/A</v>
      </c>
      <c r="CB50" s="7" t="e">
        <f>VLOOKUP(C50,listaBolsa!$D$2:$BA$1248,2,0)</f>
        <v>#N/A</v>
      </c>
      <c r="CC50" s="7" t="e">
        <f>VLOOKUP(C50,listaBolsa!$D$2:$BA$1248,10,0)</f>
        <v>#N/A</v>
      </c>
      <c r="CD50" s="7" t="e">
        <f>VLOOKUP(C50,listaBolsa!$D$2:$BA$1248,14,0)</f>
        <v>#N/A</v>
      </c>
      <c r="CE50" s="7" t="e">
        <f>VLOOKUP(C50,listaBolsa!$D$2:$BA$1248,23,0)</f>
        <v>#N/A</v>
      </c>
      <c r="CF50" s="7" t="e">
        <f>VLOOKUP(C50,listaBolsa!$D$2:$BA$1248,29,0)</f>
        <v>#N/A</v>
      </c>
      <c r="CG50" s="7" t="e">
        <f>VLOOKUP(C50,listaBolsa!$D$2:$BA$1248,36,0)</f>
        <v>#N/A</v>
      </c>
      <c r="CH50" s="7" t="e">
        <f>VLOOKUP(C50,listaBolsa!$D$2:$BA$1248,40,0)</f>
        <v>#N/A</v>
      </c>
      <c r="CI50" s="7" t="e">
        <f>VLOOKUP(C50,listaBolsa!$D$2:$BA$1248,48,0)</f>
        <v>#N/A</v>
      </c>
      <c r="CJ50" s="7" t="e">
        <f t="shared" si="57"/>
        <v>#N/A</v>
      </c>
      <c r="CK50" s="7" t="e">
        <f t="shared" si="58"/>
        <v>#N/A</v>
      </c>
      <c r="CL50" s="7" t="e">
        <f t="shared" si="59"/>
        <v>#N/A</v>
      </c>
      <c r="CM50" s="7" t="e">
        <f t="shared" si="60"/>
        <v>#N/A</v>
      </c>
      <c r="CN50" s="7" t="e">
        <f t="shared" si="61"/>
        <v>#N/A</v>
      </c>
      <c r="CO50" s="7" t="e">
        <f t="shared" si="62"/>
        <v>#N/A</v>
      </c>
      <c r="CP50" s="7" t="e">
        <f t="shared" si="63"/>
        <v>#N/A</v>
      </c>
      <c r="CQ50" s="7" t="e">
        <f t="shared" si="64"/>
        <v>#N/A</v>
      </c>
      <c r="CR50" s="7" t="e">
        <f t="shared" si="65"/>
        <v>#N/A</v>
      </c>
    </row>
    <row r="51" spans="1:96" s="7" customFormat="1" ht="21" hidden="1" x14ac:dyDescent="0.25">
      <c r="A51" s="75" t="str">
        <f t="shared" si="50"/>
        <v/>
      </c>
      <c r="B51" s="91"/>
      <c r="C51" s="82"/>
      <c r="D51" s="75" t="str">
        <f>IF(C51="","",VLOOKUP(C51,listaBolsa!$D$2:$H$1118,2,0))</f>
        <v/>
      </c>
      <c r="E51" s="91" t="str">
        <f>IF(C51="","",VLOOKUP(C51,listaBolsa!$D$2:$H$1118,3,0))</f>
        <v/>
      </c>
      <c r="F51" s="92"/>
      <c r="G51" s="86" t="str">
        <f>IF(C51="","",VLOOKUP(C51,listaBolsa!$D$2:$H$1118,5,0))</f>
        <v/>
      </c>
      <c r="H51" s="89" t="str">
        <f>IF(C51="","",VLOOKUP(C51,listaBolsa!$D$2:$W$1118,10,0))</f>
        <v/>
      </c>
      <c r="I51" s="128" t="str">
        <f>IF(C51="","",VLOOKUP(C51,listaBolsa!$D$2:$W$1118,14,0))</f>
        <v/>
      </c>
      <c r="J51" s="129" t="e">
        <f t="shared" si="55"/>
        <v>#VALUE!</v>
      </c>
      <c r="K51" s="129" t="e">
        <f t="shared" si="56"/>
        <v>#VALUE!</v>
      </c>
      <c r="L51" s="129" t="str">
        <f t="shared" si="26"/>
        <v/>
      </c>
      <c r="M51" s="129" t="str">
        <f t="shared" si="27"/>
        <v/>
      </c>
      <c r="N51" s="90" t="str">
        <f>IF(C51="","",VLOOKUP(C51,listaBolsa!$D$2:$AZ$1276,23,0))</f>
        <v/>
      </c>
      <c r="O51" s="130" t="str">
        <f>IF(C51="","",VLOOKUP(C51,listaBolsa!$D$2:$AZ$1276,27,0))</f>
        <v/>
      </c>
      <c r="P51" s="131" t="e">
        <f t="shared" si="28"/>
        <v>#VALUE!</v>
      </c>
      <c r="Q51" s="131" t="e">
        <f t="shared" si="29"/>
        <v>#VALUE!</v>
      </c>
      <c r="R51" s="131" t="str">
        <f t="shared" si="30"/>
        <v/>
      </c>
      <c r="S51" s="131" t="str">
        <f t="shared" si="31"/>
        <v/>
      </c>
      <c r="T51" s="83" t="str">
        <f>IF(C51="","",VLOOKUP(C51,listaBolsa!$D$2:$BB$1276,36,0))</f>
        <v/>
      </c>
      <c r="U51" s="132" t="str">
        <f>IF(C51="","",VLOOKUP(C51,listaBolsa!$D$2:$BB$1276,40,0))</f>
        <v/>
      </c>
      <c r="V51" s="133" t="e">
        <f t="shared" si="32"/>
        <v>#VALUE!</v>
      </c>
      <c r="W51" s="133" t="e">
        <f t="shared" si="33"/>
        <v>#VALUE!</v>
      </c>
      <c r="X51" s="133" t="str">
        <f t="shared" si="34"/>
        <v/>
      </c>
      <c r="Y51" s="133" t="str">
        <f t="shared" si="35"/>
        <v/>
      </c>
      <c r="Z51" s="134" t="str">
        <f t="shared" si="51"/>
        <v/>
      </c>
      <c r="AA51" s="134" t="str">
        <f t="shared" si="52"/>
        <v/>
      </c>
      <c r="AB51" s="135" t="str">
        <f t="shared" si="53"/>
        <v/>
      </c>
      <c r="AC51" s="85" t="str">
        <f t="shared" si="54"/>
        <v/>
      </c>
      <c r="AD51" s="5"/>
      <c r="AF51" s="7" t="str">
        <f>IF(C51="","",VLOOKUP(C51,listaBolsa!$D$2:$BB$276,51,0))</f>
        <v/>
      </c>
      <c r="BG51" s="7">
        <v>41</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57"/>
        <v>#N/A</v>
      </c>
      <c r="CK51" s="7" t="e">
        <f t="shared" si="58"/>
        <v>#N/A</v>
      </c>
      <c r="CL51" s="7" t="e">
        <f t="shared" si="59"/>
        <v>#N/A</v>
      </c>
      <c r="CM51" s="7" t="e">
        <f t="shared" si="60"/>
        <v>#N/A</v>
      </c>
      <c r="CN51" s="7" t="e">
        <f t="shared" si="61"/>
        <v>#N/A</v>
      </c>
      <c r="CO51" s="7" t="e">
        <f t="shared" si="62"/>
        <v>#N/A</v>
      </c>
      <c r="CP51" s="7" t="e">
        <f t="shared" si="63"/>
        <v>#N/A</v>
      </c>
      <c r="CQ51" s="7" t="e">
        <f t="shared" si="64"/>
        <v>#N/A</v>
      </c>
      <c r="CR51" s="7" t="e">
        <f t="shared" si="65"/>
        <v>#N/A</v>
      </c>
    </row>
    <row r="52" spans="1:96" s="7" customFormat="1" ht="21" hidden="1" x14ac:dyDescent="0.25">
      <c r="A52" s="75" t="str">
        <f t="shared" si="50"/>
        <v/>
      </c>
      <c r="B52" s="91"/>
      <c r="C52" s="82"/>
      <c r="D52" s="75" t="str">
        <f>IF(C52="","",VLOOKUP(C52,listaBolsa!$D$2:$H$1118,2,0))</f>
        <v/>
      </c>
      <c r="E52" s="91" t="str">
        <f>IF(C52="","",VLOOKUP(C52,listaBolsa!$D$2:$H$1118,3,0))</f>
        <v/>
      </c>
      <c r="F52" s="92"/>
      <c r="G52" s="86" t="str">
        <f>IF(C52="","",VLOOKUP(C52,listaBolsa!$D$2:$H$1118,5,0))</f>
        <v/>
      </c>
      <c r="H52" s="89" t="str">
        <f>IF(C52="","",VLOOKUP(C52,listaBolsa!$D$2:$W$1118,10,0))</f>
        <v/>
      </c>
      <c r="I52" s="128" t="str">
        <f>IF(C52="","",VLOOKUP(C52,listaBolsa!$D$2:$W$1118,14,0))</f>
        <v/>
      </c>
      <c r="J52" s="129" t="e">
        <f t="shared" si="55"/>
        <v>#VALUE!</v>
      </c>
      <c r="K52" s="129" t="e">
        <f t="shared" si="56"/>
        <v>#VALUE!</v>
      </c>
      <c r="L52" s="129" t="str">
        <f t="shared" si="26"/>
        <v/>
      </c>
      <c r="M52" s="129" t="str">
        <f t="shared" si="27"/>
        <v/>
      </c>
      <c r="N52" s="90" t="str">
        <f>IF(C52="","",VLOOKUP(C52,listaBolsa!$D$2:$AZ$1276,23,0))</f>
        <v/>
      </c>
      <c r="O52" s="130" t="str">
        <f>IF(C52="","",VLOOKUP(C52,listaBolsa!$D$2:$AZ$1276,27,0))</f>
        <v/>
      </c>
      <c r="P52" s="131" t="e">
        <f t="shared" si="28"/>
        <v>#VALUE!</v>
      </c>
      <c r="Q52" s="131" t="e">
        <f t="shared" si="29"/>
        <v>#VALUE!</v>
      </c>
      <c r="R52" s="131" t="str">
        <f t="shared" si="30"/>
        <v/>
      </c>
      <c r="S52" s="131" t="str">
        <f t="shared" si="31"/>
        <v/>
      </c>
      <c r="T52" s="83" t="str">
        <f>IF(C52="","",VLOOKUP(C52,listaBolsa!$D$2:$BB$1276,36,0))</f>
        <v/>
      </c>
      <c r="U52" s="132" t="str">
        <f>IF(C52="","",VLOOKUP(C52,listaBolsa!$D$2:$BB$1276,40,0))</f>
        <v/>
      </c>
      <c r="V52" s="133" t="e">
        <f t="shared" si="32"/>
        <v>#VALUE!</v>
      </c>
      <c r="W52" s="133" t="e">
        <f t="shared" si="33"/>
        <v>#VALUE!</v>
      </c>
      <c r="X52" s="133" t="str">
        <f t="shared" si="34"/>
        <v/>
      </c>
      <c r="Y52" s="133" t="str">
        <f t="shared" si="35"/>
        <v/>
      </c>
      <c r="Z52" s="134" t="str">
        <f t="shared" si="51"/>
        <v/>
      </c>
      <c r="AA52" s="134" t="str">
        <f t="shared" si="52"/>
        <v/>
      </c>
      <c r="AB52" s="135" t="str">
        <f t="shared" si="53"/>
        <v/>
      </c>
      <c r="AC52" s="85" t="str">
        <f t="shared" si="54"/>
        <v/>
      </c>
      <c r="AD52" s="5"/>
      <c r="AF52" s="7" t="str">
        <f>IF(C52="","",VLOOKUP(C52,listaBolsa!$D$2:$BB$276,51,0))</f>
        <v/>
      </c>
      <c r="BG52" s="7">
        <v>42</v>
      </c>
      <c r="CA52" s="7" t="e">
        <f>VLOOKUP(C52,listaBolsa!$D$2:$BA$1248,1,0)</f>
        <v>#N/A</v>
      </c>
      <c r="CB52" s="7" t="e">
        <f>VLOOKUP(C52,listaBolsa!$D$2:$BA$1248,2,0)</f>
        <v>#N/A</v>
      </c>
      <c r="CC52" s="7" t="e">
        <f>VLOOKUP(C52,listaBolsa!$D$2:$BA$1248,10,0)</f>
        <v>#N/A</v>
      </c>
      <c r="CD52" s="7" t="e">
        <f>VLOOKUP(C52,listaBolsa!$D$2:$BA$1248,14,0)</f>
        <v>#N/A</v>
      </c>
      <c r="CE52" s="7" t="e">
        <f>VLOOKUP(C52,listaBolsa!$D$2:$BA$1248,23,0)</f>
        <v>#N/A</v>
      </c>
      <c r="CF52" s="7" t="e">
        <f>VLOOKUP(C52,listaBolsa!$D$2:$BA$1248,29,0)</f>
        <v>#N/A</v>
      </c>
      <c r="CG52" s="7" t="e">
        <f>VLOOKUP(C52,listaBolsa!$D$2:$BA$1248,36,0)</f>
        <v>#N/A</v>
      </c>
      <c r="CH52" s="7" t="e">
        <f>VLOOKUP(C52,listaBolsa!$D$2:$BA$1248,40,0)</f>
        <v>#N/A</v>
      </c>
      <c r="CI52" s="7" t="e">
        <f>VLOOKUP(C52,listaBolsa!$D$2:$BA$1248,48,0)</f>
        <v>#N/A</v>
      </c>
      <c r="CJ52" s="7" t="e">
        <f t="shared" si="57"/>
        <v>#N/A</v>
      </c>
      <c r="CK52" s="7" t="e">
        <f t="shared" si="58"/>
        <v>#N/A</v>
      </c>
      <c r="CL52" s="7" t="e">
        <f t="shared" si="59"/>
        <v>#N/A</v>
      </c>
      <c r="CM52" s="7" t="e">
        <f t="shared" si="60"/>
        <v>#N/A</v>
      </c>
      <c r="CN52" s="7" t="e">
        <f t="shared" si="61"/>
        <v>#N/A</v>
      </c>
      <c r="CO52" s="7" t="e">
        <f t="shared" si="62"/>
        <v>#N/A</v>
      </c>
      <c r="CP52" s="7" t="e">
        <f t="shared" si="63"/>
        <v>#N/A</v>
      </c>
      <c r="CQ52" s="7" t="e">
        <f t="shared" si="64"/>
        <v>#N/A</v>
      </c>
      <c r="CR52" s="7" t="e">
        <f t="shared" si="65"/>
        <v>#N/A</v>
      </c>
    </row>
    <row r="53" spans="1:96" s="7" customFormat="1" ht="21" hidden="1" x14ac:dyDescent="0.25">
      <c r="A53" s="75" t="str">
        <f t="shared" si="50"/>
        <v/>
      </c>
      <c r="B53" s="91"/>
      <c r="C53" s="82"/>
      <c r="D53" s="75" t="str">
        <f>IF(C53="","",VLOOKUP(C53,listaBolsa!$D$2:$H$1118,2,0))</f>
        <v/>
      </c>
      <c r="E53" s="91" t="str">
        <f>IF(C53="","",VLOOKUP(C53,listaBolsa!$D$2:$H$1118,3,0))</f>
        <v/>
      </c>
      <c r="F53" s="92"/>
      <c r="G53" s="86" t="str">
        <f>IF(C53="","",VLOOKUP(C53,listaBolsa!$D$2:$H$1118,5,0))</f>
        <v/>
      </c>
      <c r="H53" s="89" t="str">
        <f>IF(C53="","",VLOOKUP(C53,listaBolsa!$D$2:$W$1118,10,0))</f>
        <v/>
      </c>
      <c r="I53" s="128" t="str">
        <f>IF(C53="","",VLOOKUP(C53,listaBolsa!$D$2:$W$1118,14,0))</f>
        <v/>
      </c>
      <c r="J53" s="129" t="e">
        <f t="shared" si="55"/>
        <v>#VALUE!</v>
      </c>
      <c r="K53" s="129" t="e">
        <f t="shared" si="56"/>
        <v>#VALUE!</v>
      </c>
      <c r="L53" s="129" t="str">
        <f t="shared" si="26"/>
        <v/>
      </c>
      <c r="M53" s="129" t="str">
        <f t="shared" si="27"/>
        <v/>
      </c>
      <c r="N53" s="90" t="str">
        <f>IF(C53="","",VLOOKUP(C53,listaBolsa!$D$2:$AZ$1276,23,0))</f>
        <v/>
      </c>
      <c r="O53" s="130" t="str">
        <f>IF(C53="","",VLOOKUP(C53,listaBolsa!$D$2:$AZ$1276,27,0))</f>
        <v/>
      </c>
      <c r="P53" s="131" t="e">
        <f t="shared" si="28"/>
        <v>#VALUE!</v>
      </c>
      <c r="Q53" s="131" t="e">
        <f t="shared" si="29"/>
        <v>#VALUE!</v>
      </c>
      <c r="R53" s="131" t="str">
        <f t="shared" si="30"/>
        <v/>
      </c>
      <c r="S53" s="131" t="str">
        <f t="shared" si="31"/>
        <v/>
      </c>
      <c r="T53" s="83" t="str">
        <f>IF(C53="","",VLOOKUP(C53,listaBolsa!$D$2:$BB$1276,36,0))</f>
        <v/>
      </c>
      <c r="U53" s="132" t="str">
        <f>IF(C53="","",VLOOKUP(C53,listaBolsa!$D$2:$BB$1276,40,0))</f>
        <v/>
      </c>
      <c r="V53" s="133" t="e">
        <f t="shared" si="32"/>
        <v>#VALUE!</v>
      </c>
      <c r="W53" s="133" t="e">
        <f t="shared" si="33"/>
        <v>#VALUE!</v>
      </c>
      <c r="X53" s="133" t="str">
        <f t="shared" si="34"/>
        <v/>
      </c>
      <c r="Y53" s="133" t="str">
        <f t="shared" si="35"/>
        <v/>
      </c>
      <c r="Z53" s="134" t="str">
        <f t="shared" si="51"/>
        <v/>
      </c>
      <c r="AA53" s="134" t="str">
        <f t="shared" si="52"/>
        <v/>
      </c>
      <c r="AB53" s="135" t="str">
        <f t="shared" si="53"/>
        <v/>
      </c>
      <c r="AC53" s="85" t="str">
        <f t="shared" si="54"/>
        <v/>
      </c>
      <c r="AD53" s="5"/>
      <c r="AF53" s="7" t="str">
        <f>IF(C53="","",VLOOKUP(C53,listaBolsa!$D$2:$BB$276,51,0))</f>
        <v/>
      </c>
      <c r="BG53" s="7">
        <v>43</v>
      </c>
      <c r="CA53" s="7" t="e">
        <f>VLOOKUP(C53,listaBolsa!$D$2:$BA$1248,1,0)</f>
        <v>#N/A</v>
      </c>
      <c r="CB53" s="7" t="e">
        <f>VLOOKUP(C53,listaBolsa!$D$2:$BA$1248,2,0)</f>
        <v>#N/A</v>
      </c>
      <c r="CC53" s="7" t="e">
        <f>VLOOKUP(C53,listaBolsa!$D$2:$BA$1248,10,0)</f>
        <v>#N/A</v>
      </c>
      <c r="CD53" s="7" t="e">
        <f>VLOOKUP(C53,listaBolsa!$D$2:$BA$1248,14,0)</f>
        <v>#N/A</v>
      </c>
      <c r="CE53" s="7" t="e">
        <f>VLOOKUP(C53,listaBolsa!$D$2:$BA$1248,23,0)</f>
        <v>#N/A</v>
      </c>
      <c r="CF53" s="7" t="e">
        <f>VLOOKUP(C53,listaBolsa!$D$2:$BA$1248,29,0)</f>
        <v>#N/A</v>
      </c>
      <c r="CG53" s="7" t="e">
        <f>VLOOKUP(C53,listaBolsa!$D$2:$BA$1248,36,0)</f>
        <v>#N/A</v>
      </c>
      <c r="CH53" s="7" t="e">
        <f>VLOOKUP(C53,listaBolsa!$D$2:$BA$1248,40,0)</f>
        <v>#N/A</v>
      </c>
      <c r="CI53" s="7" t="e">
        <f>VLOOKUP(C53,listaBolsa!$D$2:$BA$1248,48,0)</f>
        <v>#N/A</v>
      </c>
      <c r="CJ53" s="7" t="e">
        <f t="shared" si="57"/>
        <v>#N/A</v>
      </c>
      <c r="CK53" s="7" t="e">
        <f t="shared" si="58"/>
        <v>#N/A</v>
      </c>
      <c r="CL53" s="7" t="e">
        <f t="shared" si="59"/>
        <v>#N/A</v>
      </c>
      <c r="CM53" s="7" t="e">
        <f t="shared" si="60"/>
        <v>#N/A</v>
      </c>
      <c r="CN53" s="7" t="e">
        <f t="shared" si="61"/>
        <v>#N/A</v>
      </c>
      <c r="CO53" s="7" t="e">
        <f t="shared" si="62"/>
        <v>#N/A</v>
      </c>
      <c r="CP53" s="7" t="e">
        <f t="shared" si="63"/>
        <v>#N/A</v>
      </c>
      <c r="CQ53" s="7" t="e">
        <f t="shared" si="64"/>
        <v>#N/A</v>
      </c>
      <c r="CR53" s="7" t="e">
        <f t="shared" si="65"/>
        <v>#N/A</v>
      </c>
    </row>
    <row r="54" spans="1:96" s="7" customFormat="1" ht="21" hidden="1" x14ac:dyDescent="0.25">
      <c r="A54" s="75" t="str">
        <f t="shared" si="50"/>
        <v/>
      </c>
      <c r="B54" s="91"/>
      <c r="C54" s="82"/>
      <c r="D54" s="75" t="str">
        <f>IF(C54="","",VLOOKUP(C54,listaBolsa!$D$2:$H$1118,2,0))</f>
        <v/>
      </c>
      <c r="E54" s="91" t="str">
        <f>IF(C54="","",VLOOKUP(C54,listaBolsa!$D$2:$H$1118,3,0))</f>
        <v/>
      </c>
      <c r="F54" s="92"/>
      <c r="G54" s="86" t="str">
        <f>IF(C54="","",VLOOKUP(C54,listaBolsa!$D$2:$H$1118,5,0))</f>
        <v/>
      </c>
      <c r="H54" s="89" t="str">
        <f>IF(C54="","",VLOOKUP(C54,listaBolsa!$D$2:$W$1118,10,0))</f>
        <v/>
      </c>
      <c r="I54" s="128" t="str">
        <f>IF(C54="","",VLOOKUP(C54,listaBolsa!$D$2:$W$1118,14,0))</f>
        <v/>
      </c>
      <c r="J54" s="129" t="e">
        <f t="shared" si="55"/>
        <v>#VALUE!</v>
      </c>
      <c r="K54" s="129" t="e">
        <f t="shared" si="56"/>
        <v>#VALUE!</v>
      </c>
      <c r="L54" s="129" t="str">
        <f t="shared" si="26"/>
        <v/>
      </c>
      <c r="M54" s="129" t="str">
        <f t="shared" si="27"/>
        <v/>
      </c>
      <c r="N54" s="90" t="str">
        <f>IF(C54="","",VLOOKUP(C54,listaBolsa!$D$2:$AZ$1276,23,0))</f>
        <v/>
      </c>
      <c r="O54" s="130" t="str">
        <f>IF(C54="","",VLOOKUP(C54,listaBolsa!$D$2:$AZ$1276,27,0))</f>
        <v/>
      </c>
      <c r="P54" s="131" t="e">
        <f t="shared" si="28"/>
        <v>#VALUE!</v>
      </c>
      <c r="Q54" s="131" t="e">
        <f t="shared" si="29"/>
        <v>#VALUE!</v>
      </c>
      <c r="R54" s="131" t="str">
        <f t="shared" si="30"/>
        <v/>
      </c>
      <c r="S54" s="131" t="str">
        <f t="shared" si="31"/>
        <v/>
      </c>
      <c r="T54" s="83" t="str">
        <f>IF(C54="","",VLOOKUP(C54,listaBolsa!$D$2:$BB$1276,36,0))</f>
        <v/>
      </c>
      <c r="U54" s="132" t="str">
        <f>IF(C54="","",VLOOKUP(C54,listaBolsa!$D$2:$BB$1276,40,0))</f>
        <v/>
      </c>
      <c r="V54" s="133" t="e">
        <f t="shared" si="32"/>
        <v>#VALUE!</v>
      </c>
      <c r="W54" s="133" t="e">
        <f t="shared" si="33"/>
        <v>#VALUE!</v>
      </c>
      <c r="X54" s="133" t="str">
        <f t="shared" si="34"/>
        <v/>
      </c>
      <c r="Y54" s="133" t="str">
        <f t="shared" si="35"/>
        <v/>
      </c>
      <c r="Z54" s="134" t="str">
        <f t="shared" si="51"/>
        <v/>
      </c>
      <c r="AA54" s="134" t="str">
        <f t="shared" si="52"/>
        <v/>
      </c>
      <c r="AB54" s="135" t="str">
        <f t="shared" si="53"/>
        <v/>
      </c>
      <c r="AC54" s="85" t="str">
        <f t="shared" si="54"/>
        <v/>
      </c>
      <c r="AD54" s="5"/>
      <c r="AF54" s="7" t="str">
        <f>IF(C54="","",VLOOKUP(C54,listaBolsa!$D$2:$BB$276,51,0))</f>
        <v/>
      </c>
      <c r="BG54" s="7">
        <v>44</v>
      </c>
      <c r="CA54" s="7" t="e">
        <f>VLOOKUP(C54,listaBolsa!$D$2:$BA$1248,1,0)</f>
        <v>#N/A</v>
      </c>
      <c r="CB54" s="7" t="e">
        <f>VLOOKUP(C54,listaBolsa!$D$2:$BA$1248,2,0)</f>
        <v>#N/A</v>
      </c>
      <c r="CC54" s="7" t="e">
        <f>VLOOKUP(C54,listaBolsa!$D$2:$BA$1248,10,0)</f>
        <v>#N/A</v>
      </c>
      <c r="CD54" s="7" t="e">
        <f>VLOOKUP(C54,listaBolsa!$D$2:$BA$1248,14,0)</f>
        <v>#N/A</v>
      </c>
      <c r="CE54" s="7" t="e">
        <f>VLOOKUP(C54,listaBolsa!$D$2:$BA$1248,23,0)</f>
        <v>#N/A</v>
      </c>
      <c r="CF54" s="7" t="e">
        <f>VLOOKUP(C54,listaBolsa!$D$2:$BA$1248,29,0)</f>
        <v>#N/A</v>
      </c>
      <c r="CG54" s="7" t="e">
        <f>VLOOKUP(C54,listaBolsa!$D$2:$BA$1248,36,0)</f>
        <v>#N/A</v>
      </c>
      <c r="CH54" s="7" t="e">
        <f>VLOOKUP(C54,listaBolsa!$D$2:$BA$1248,40,0)</f>
        <v>#N/A</v>
      </c>
      <c r="CI54" s="7" t="e">
        <f>VLOOKUP(C54,listaBolsa!$D$2:$BA$1248,48,0)</f>
        <v>#N/A</v>
      </c>
      <c r="CJ54" s="7" t="e">
        <f t="shared" si="57"/>
        <v>#N/A</v>
      </c>
      <c r="CK54" s="7" t="e">
        <f t="shared" si="58"/>
        <v>#N/A</v>
      </c>
      <c r="CL54" s="7" t="e">
        <f t="shared" si="59"/>
        <v>#N/A</v>
      </c>
      <c r="CM54" s="7" t="e">
        <f t="shared" si="60"/>
        <v>#N/A</v>
      </c>
      <c r="CN54" s="7" t="e">
        <f t="shared" si="61"/>
        <v>#N/A</v>
      </c>
      <c r="CO54" s="7" t="e">
        <f t="shared" si="62"/>
        <v>#N/A</v>
      </c>
      <c r="CP54" s="7" t="e">
        <f t="shared" si="63"/>
        <v>#N/A</v>
      </c>
      <c r="CQ54" s="7" t="e">
        <f t="shared" si="64"/>
        <v>#N/A</v>
      </c>
      <c r="CR54" s="7" t="e">
        <f t="shared" si="65"/>
        <v>#N/A</v>
      </c>
    </row>
    <row r="55" spans="1:96" s="7" customFormat="1" ht="21" hidden="1" x14ac:dyDescent="0.25">
      <c r="A55" s="75" t="str">
        <f t="shared" si="50"/>
        <v/>
      </c>
      <c r="B55" s="91"/>
      <c r="C55" s="82"/>
      <c r="D55" s="75" t="str">
        <f>IF(C55="","",VLOOKUP(C55,listaBolsa!$D$2:$H$1118,2,0))</f>
        <v/>
      </c>
      <c r="E55" s="91" t="str">
        <f>IF(C55="","",VLOOKUP(C55,listaBolsa!$D$2:$H$1118,3,0))</f>
        <v/>
      </c>
      <c r="F55" s="92"/>
      <c r="G55" s="86" t="str">
        <f>IF(C55="","",VLOOKUP(C55,listaBolsa!$D$2:$H$1118,5,0))</f>
        <v/>
      </c>
      <c r="H55" s="89" t="str">
        <f>IF(C55="","",VLOOKUP(C55,listaBolsa!$D$2:$W$1118,10,0))</f>
        <v/>
      </c>
      <c r="I55" s="128" t="str">
        <f>IF(C55="","",VLOOKUP(C55,listaBolsa!$D$2:$W$1118,14,0))</f>
        <v/>
      </c>
      <c r="J55" s="129" t="e">
        <f t="shared" si="55"/>
        <v>#VALUE!</v>
      </c>
      <c r="K55" s="129" t="e">
        <f t="shared" si="56"/>
        <v>#VALUE!</v>
      </c>
      <c r="L55" s="129" t="str">
        <f t="shared" si="26"/>
        <v/>
      </c>
      <c r="M55" s="129" t="str">
        <f t="shared" si="27"/>
        <v/>
      </c>
      <c r="N55" s="90" t="str">
        <f>IF(C55="","",VLOOKUP(C55,listaBolsa!$D$2:$AZ$1276,23,0))</f>
        <v/>
      </c>
      <c r="O55" s="130" t="str">
        <f>IF(C55="","",VLOOKUP(C55,listaBolsa!$D$2:$AZ$1276,27,0))</f>
        <v/>
      </c>
      <c r="P55" s="131" t="e">
        <f t="shared" si="28"/>
        <v>#VALUE!</v>
      </c>
      <c r="Q55" s="131" t="e">
        <f t="shared" si="29"/>
        <v>#VALUE!</v>
      </c>
      <c r="R55" s="131" t="str">
        <f t="shared" si="30"/>
        <v/>
      </c>
      <c r="S55" s="131" t="str">
        <f t="shared" si="31"/>
        <v/>
      </c>
      <c r="T55" s="83" t="str">
        <f>IF(C55="","",VLOOKUP(C55,listaBolsa!$D$2:$BB$1276,36,0))</f>
        <v/>
      </c>
      <c r="U55" s="132" t="str">
        <f>IF(C55="","",VLOOKUP(C55,listaBolsa!$D$2:$BB$1276,40,0))</f>
        <v/>
      </c>
      <c r="V55" s="133" t="e">
        <f t="shared" si="32"/>
        <v>#VALUE!</v>
      </c>
      <c r="W55" s="133" t="e">
        <f t="shared" si="33"/>
        <v>#VALUE!</v>
      </c>
      <c r="X55" s="133" t="str">
        <f t="shared" si="34"/>
        <v/>
      </c>
      <c r="Y55" s="133" t="str">
        <f t="shared" si="35"/>
        <v/>
      </c>
      <c r="Z55" s="134" t="str">
        <f t="shared" si="51"/>
        <v/>
      </c>
      <c r="AA55" s="134" t="str">
        <f t="shared" si="52"/>
        <v/>
      </c>
      <c r="AB55" s="135" t="str">
        <f t="shared" si="53"/>
        <v/>
      </c>
      <c r="AC55" s="85" t="str">
        <f t="shared" si="54"/>
        <v/>
      </c>
      <c r="AD55" s="5"/>
      <c r="AF55" s="7" t="str">
        <f>IF(C55="","",VLOOKUP(C55,listaBolsa!$D$2:$BB$276,51,0))</f>
        <v/>
      </c>
      <c r="BG55" s="7">
        <v>45</v>
      </c>
      <c r="CA55" s="7" t="e">
        <f>VLOOKUP(C55,listaBolsa!$D$2:$BA$1248,1,0)</f>
        <v>#N/A</v>
      </c>
      <c r="CB55" s="7" t="e">
        <f>VLOOKUP(C55,listaBolsa!$D$2:$BA$1248,2,0)</f>
        <v>#N/A</v>
      </c>
      <c r="CC55" s="7" t="e">
        <f>VLOOKUP(C55,listaBolsa!$D$2:$BA$1248,10,0)</f>
        <v>#N/A</v>
      </c>
      <c r="CD55" s="7" t="e">
        <f>VLOOKUP(C55,listaBolsa!$D$2:$BA$1248,14,0)</f>
        <v>#N/A</v>
      </c>
      <c r="CE55" s="7" t="e">
        <f>VLOOKUP(C55,listaBolsa!$D$2:$BA$1248,23,0)</f>
        <v>#N/A</v>
      </c>
      <c r="CF55" s="7" t="e">
        <f>VLOOKUP(C55,listaBolsa!$D$2:$BA$1248,29,0)</f>
        <v>#N/A</v>
      </c>
      <c r="CG55" s="7" t="e">
        <f>VLOOKUP(C55,listaBolsa!$D$2:$BA$1248,36,0)</f>
        <v>#N/A</v>
      </c>
      <c r="CH55" s="7" t="e">
        <f>VLOOKUP(C55,listaBolsa!$D$2:$BA$1248,40,0)</f>
        <v>#N/A</v>
      </c>
      <c r="CI55" s="7" t="e">
        <f>VLOOKUP(C55,listaBolsa!$D$2:$BA$1248,48,0)</f>
        <v>#N/A</v>
      </c>
      <c r="CJ55" s="7" t="e">
        <f t="shared" si="57"/>
        <v>#N/A</v>
      </c>
      <c r="CK55" s="7" t="e">
        <f t="shared" si="58"/>
        <v>#N/A</v>
      </c>
      <c r="CL55" s="7" t="e">
        <f t="shared" si="59"/>
        <v>#N/A</v>
      </c>
      <c r="CM55" s="7" t="e">
        <f t="shared" si="60"/>
        <v>#N/A</v>
      </c>
      <c r="CN55" s="7" t="e">
        <f t="shared" si="61"/>
        <v>#N/A</v>
      </c>
      <c r="CO55" s="7" t="e">
        <f t="shared" si="62"/>
        <v>#N/A</v>
      </c>
      <c r="CP55" s="7" t="e">
        <f t="shared" si="63"/>
        <v>#N/A</v>
      </c>
      <c r="CQ55" s="7" t="e">
        <f t="shared" si="64"/>
        <v>#N/A</v>
      </c>
      <c r="CR55" s="7" t="e">
        <f t="shared" si="65"/>
        <v>#N/A</v>
      </c>
    </row>
    <row r="56" spans="1:96" s="7" customFormat="1" ht="21" hidden="1" x14ac:dyDescent="0.25">
      <c r="A56" s="75" t="str">
        <f t="shared" si="50"/>
        <v/>
      </c>
      <c r="B56" s="91"/>
      <c r="C56" s="82"/>
      <c r="D56" s="75" t="str">
        <f>IF(C56="","",VLOOKUP(C56,listaBolsa!$D$2:$H$1118,2,0))</f>
        <v/>
      </c>
      <c r="E56" s="91" t="str">
        <f>IF(C56="","",VLOOKUP(C56,listaBolsa!$D$2:$H$1118,3,0))</f>
        <v/>
      </c>
      <c r="F56" s="92"/>
      <c r="G56" s="86" t="str">
        <f>IF(C56="","",VLOOKUP(C56,listaBolsa!$D$2:$H$1118,5,0))</f>
        <v/>
      </c>
      <c r="H56" s="89" t="str">
        <f>IF(C56="","",VLOOKUP(C56,listaBolsa!$D$2:$W$1118,10,0))</f>
        <v/>
      </c>
      <c r="I56" s="128" t="str">
        <f>IF(C56="","",VLOOKUP(C56,listaBolsa!$D$2:$W$1118,14,0))</f>
        <v/>
      </c>
      <c r="J56" s="129" t="e">
        <f t="shared" si="55"/>
        <v>#VALUE!</v>
      </c>
      <c r="K56" s="129" t="e">
        <f t="shared" si="56"/>
        <v>#VALUE!</v>
      </c>
      <c r="L56" s="129" t="str">
        <f t="shared" si="26"/>
        <v/>
      </c>
      <c r="M56" s="129" t="str">
        <f t="shared" si="27"/>
        <v/>
      </c>
      <c r="N56" s="90" t="str">
        <f>IF(C56="","",VLOOKUP(C56,listaBolsa!$D$2:$AZ$1276,23,0))</f>
        <v/>
      </c>
      <c r="O56" s="130" t="str">
        <f>IF(C56="","",VLOOKUP(C56,listaBolsa!$D$2:$AZ$1276,27,0))</f>
        <v/>
      </c>
      <c r="P56" s="131" t="e">
        <f t="shared" si="28"/>
        <v>#VALUE!</v>
      </c>
      <c r="Q56" s="131" t="e">
        <f t="shared" si="29"/>
        <v>#VALUE!</v>
      </c>
      <c r="R56" s="131" t="str">
        <f t="shared" si="30"/>
        <v/>
      </c>
      <c r="S56" s="131" t="str">
        <f t="shared" si="31"/>
        <v/>
      </c>
      <c r="T56" s="83" t="str">
        <f>IF(C56="","",VLOOKUP(C56,listaBolsa!$D$2:$BB$1276,36,0))</f>
        <v/>
      </c>
      <c r="U56" s="132" t="str">
        <f>IF(C56="","",VLOOKUP(C56,listaBolsa!$D$2:$BB$1276,40,0))</f>
        <v/>
      </c>
      <c r="V56" s="133" t="e">
        <f t="shared" si="32"/>
        <v>#VALUE!</v>
      </c>
      <c r="W56" s="133" t="e">
        <f t="shared" si="33"/>
        <v>#VALUE!</v>
      </c>
      <c r="X56" s="133" t="str">
        <f t="shared" si="34"/>
        <v/>
      </c>
      <c r="Y56" s="133" t="str">
        <f t="shared" si="35"/>
        <v/>
      </c>
      <c r="Z56" s="134" t="str">
        <f t="shared" si="51"/>
        <v/>
      </c>
      <c r="AA56" s="134" t="str">
        <f t="shared" si="52"/>
        <v/>
      </c>
      <c r="AB56" s="135" t="str">
        <f t="shared" si="53"/>
        <v/>
      </c>
      <c r="AC56" s="85" t="str">
        <f t="shared" si="54"/>
        <v/>
      </c>
      <c r="AD56" s="5"/>
      <c r="AF56" s="7" t="str">
        <f>IF(C56="","",VLOOKUP(C56,listaBolsa!$D$2:$BB$276,51,0))</f>
        <v/>
      </c>
      <c r="BG56" s="7">
        <v>46</v>
      </c>
      <c r="CA56" s="7" t="e">
        <f>VLOOKUP(C56,listaBolsa!$D$2:$BA$1248,1,0)</f>
        <v>#N/A</v>
      </c>
      <c r="CB56" s="7" t="e">
        <f>VLOOKUP(C56,listaBolsa!$D$2:$BA$1248,2,0)</f>
        <v>#N/A</v>
      </c>
      <c r="CC56" s="7" t="e">
        <f>VLOOKUP(C56,listaBolsa!$D$2:$BA$1248,10,0)</f>
        <v>#N/A</v>
      </c>
      <c r="CD56" s="7" t="e">
        <f>VLOOKUP(C56,listaBolsa!$D$2:$BA$1248,14,0)</f>
        <v>#N/A</v>
      </c>
      <c r="CE56" s="7" t="e">
        <f>VLOOKUP(C56,listaBolsa!$D$2:$BA$1248,23,0)</f>
        <v>#N/A</v>
      </c>
      <c r="CF56" s="7" t="e">
        <f>VLOOKUP(C56,listaBolsa!$D$2:$BA$1248,29,0)</f>
        <v>#N/A</v>
      </c>
      <c r="CG56" s="7" t="e">
        <f>VLOOKUP(C56,listaBolsa!$D$2:$BA$1248,36,0)</f>
        <v>#N/A</v>
      </c>
      <c r="CH56" s="7" t="e">
        <f>VLOOKUP(C56,listaBolsa!$D$2:$BA$1248,40,0)</f>
        <v>#N/A</v>
      </c>
      <c r="CI56" s="7" t="e">
        <f>VLOOKUP(C56,listaBolsa!$D$2:$BA$1248,48,0)</f>
        <v>#N/A</v>
      </c>
      <c r="CJ56" s="7" t="e">
        <f t="shared" si="57"/>
        <v>#N/A</v>
      </c>
      <c r="CK56" s="7" t="e">
        <f t="shared" si="58"/>
        <v>#N/A</v>
      </c>
      <c r="CL56" s="7" t="e">
        <f t="shared" si="59"/>
        <v>#N/A</v>
      </c>
      <c r="CM56" s="7" t="e">
        <f t="shared" si="60"/>
        <v>#N/A</v>
      </c>
      <c r="CN56" s="7" t="e">
        <f t="shared" si="61"/>
        <v>#N/A</v>
      </c>
      <c r="CO56" s="7" t="e">
        <f t="shared" si="62"/>
        <v>#N/A</v>
      </c>
      <c r="CP56" s="7" t="e">
        <f t="shared" si="63"/>
        <v>#N/A</v>
      </c>
      <c r="CQ56" s="7" t="e">
        <f t="shared" si="64"/>
        <v>#N/A</v>
      </c>
      <c r="CR56" s="7" t="e">
        <f t="shared" si="65"/>
        <v>#N/A</v>
      </c>
    </row>
    <row r="57" spans="1:96" s="7" customFormat="1" ht="21" hidden="1" x14ac:dyDescent="0.25">
      <c r="A57" s="75" t="str">
        <f t="shared" si="50"/>
        <v/>
      </c>
      <c r="B57" s="91"/>
      <c r="C57" s="82"/>
      <c r="D57" s="75" t="str">
        <f>IF(C57="","",VLOOKUP(C57,listaBolsa!$D$2:$H$1118,2,0))</f>
        <v/>
      </c>
      <c r="E57" s="91" t="str">
        <f>IF(C57="","",VLOOKUP(C57,listaBolsa!$D$2:$H$1118,3,0))</f>
        <v/>
      </c>
      <c r="F57" s="92"/>
      <c r="G57" s="86" t="str">
        <f>IF(C57="","",VLOOKUP(C57,listaBolsa!$D$2:$H$1118,5,0))</f>
        <v/>
      </c>
      <c r="H57" s="89" t="str">
        <f>IF(C57="","",VLOOKUP(C57,listaBolsa!$D$2:$W$1118,10,0))</f>
        <v/>
      </c>
      <c r="I57" s="128" t="str">
        <f>IF(C57="","",VLOOKUP(C57,listaBolsa!$D$2:$W$1118,14,0))</f>
        <v/>
      </c>
      <c r="J57" s="129" t="e">
        <f t="shared" si="55"/>
        <v>#VALUE!</v>
      </c>
      <c r="K57" s="129" t="e">
        <f t="shared" si="56"/>
        <v>#VALUE!</v>
      </c>
      <c r="L57" s="129" t="str">
        <f t="shared" si="26"/>
        <v/>
      </c>
      <c r="M57" s="129" t="str">
        <f t="shared" si="27"/>
        <v/>
      </c>
      <c r="N57" s="90" t="str">
        <f>IF(C57="","",VLOOKUP(C57,listaBolsa!$D$2:$AZ$1276,23,0))</f>
        <v/>
      </c>
      <c r="O57" s="130" t="str">
        <f>IF(C57="","",VLOOKUP(C57,listaBolsa!$D$2:$AZ$1276,27,0))</f>
        <v/>
      </c>
      <c r="P57" s="131" t="e">
        <f t="shared" si="28"/>
        <v>#VALUE!</v>
      </c>
      <c r="Q57" s="131" t="e">
        <f t="shared" si="29"/>
        <v>#VALUE!</v>
      </c>
      <c r="R57" s="131" t="str">
        <f t="shared" si="30"/>
        <v/>
      </c>
      <c r="S57" s="131" t="str">
        <f t="shared" si="31"/>
        <v/>
      </c>
      <c r="T57" s="83" t="str">
        <f>IF(C57="","",VLOOKUP(C57,listaBolsa!$D$2:$BB$1276,36,0))</f>
        <v/>
      </c>
      <c r="U57" s="132" t="str">
        <f>IF(C57="","",VLOOKUP(C57,listaBolsa!$D$2:$BB$1276,40,0))</f>
        <v/>
      </c>
      <c r="V57" s="133" t="e">
        <f t="shared" si="32"/>
        <v>#VALUE!</v>
      </c>
      <c r="W57" s="133" t="e">
        <f t="shared" si="33"/>
        <v>#VALUE!</v>
      </c>
      <c r="X57" s="133" t="str">
        <f t="shared" si="34"/>
        <v/>
      </c>
      <c r="Y57" s="133" t="str">
        <f t="shared" si="35"/>
        <v/>
      </c>
      <c r="Z57" s="134" t="str">
        <f t="shared" si="51"/>
        <v/>
      </c>
      <c r="AA57" s="134" t="str">
        <f t="shared" si="52"/>
        <v/>
      </c>
      <c r="AB57" s="135" t="str">
        <f t="shared" si="53"/>
        <v/>
      </c>
      <c r="AC57" s="85" t="str">
        <f t="shared" si="54"/>
        <v/>
      </c>
      <c r="AD57" s="5"/>
      <c r="AF57" s="7" t="str">
        <f>IF(C57="","",VLOOKUP(C57,listaBolsa!$D$2:$BB$276,51,0))</f>
        <v/>
      </c>
      <c r="BG57" s="7">
        <v>47</v>
      </c>
      <c r="CA57" s="7" t="e">
        <f>VLOOKUP(C57,listaBolsa!$D$2:$BA$1248,1,0)</f>
        <v>#N/A</v>
      </c>
      <c r="CB57" s="7" t="e">
        <f>VLOOKUP(C57,listaBolsa!$D$2:$BA$1248,2,0)</f>
        <v>#N/A</v>
      </c>
      <c r="CC57" s="7" t="e">
        <f>VLOOKUP(C57,listaBolsa!$D$2:$BA$1248,10,0)</f>
        <v>#N/A</v>
      </c>
      <c r="CD57" s="7" t="e">
        <f>VLOOKUP(C57,listaBolsa!$D$2:$BA$1248,14,0)</f>
        <v>#N/A</v>
      </c>
      <c r="CE57" s="7" t="e">
        <f>VLOOKUP(C57,listaBolsa!$D$2:$BA$1248,23,0)</f>
        <v>#N/A</v>
      </c>
      <c r="CF57" s="7" t="e">
        <f>VLOOKUP(C57,listaBolsa!$D$2:$BA$1248,29,0)</f>
        <v>#N/A</v>
      </c>
      <c r="CG57" s="7" t="e">
        <f>VLOOKUP(C57,listaBolsa!$D$2:$BA$1248,36,0)</f>
        <v>#N/A</v>
      </c>
      <c r="CH57" s="7" t="e">
        <f>VLOOKUP(C57,listaBolsa!$D$2:$BA$1248,40,0)</f>
        <v>#N/A</v>
      </c>
      <c r="CI57" s="7" t="e">
        <f>VLOOKUP(C57,listaBolsa!$D$2:$BA$1248,48,0)</f>
        <v>#N/A</v>
      </c>
      <c r="CJ57" s="7" t="e">
        <f t="shared" si="57"/>
        <v>#N/A</v>
      </c>
      <c r="CK57" s="7" t="e">
        <f t="shared" si="58"/>
        <v>#N/A</v>
      </c>
      <c r="CL57" s="7" t="e">
        <f t="shared" si="59"/>
        <v>#N/A</v>
      </c>
      <c r="CM57" s="7" t="e">
        <f t="shared" si="60"/>
        <v>#N/A</v>
      </c>
      <c r="CN57" s="7" t="e">
        <f t="shared" si="61"/>
        <v>#N/A</v>
      </c>
      <c r="CO57" s="7" t="e">
        <f t="shared" si="62"/>
        <v>#N/A</v>
      </c>
      <c r="CP57" s="7" t="e">
        <f t="shared" si="63"/>
        <v>#N/A</v>
      </c>
      <c r="CQ57" s="7" t="e">
        <f t="shared" si="64"/>
        <v>#N/A</v>
      </c>
      <c r="CR57" s="7" t="e">
        <f t="shared" si="65"/>
        <v>#N/A</v>
      </c>
    </row>
    <row r="58" spans="1:96" s="7" customFormat="1" ht="21" hidden="1" x14ac:dyDescent="0.25">
      <c r="A58" s="75" t="str">
        <f t="shared" si="50"/>
        <v/>
      </c>
      <c r="B58" s="91"/>
      <c r="C58" s="82"/>
      <c r="D58" s="75" t="str">
        <f>IF(C58="","",VLOOKUP(C58,listaBolsa!$D$2:$H$1118,2,0))</f>
        <v/>
      </c>
      <c r="E58" s="91" t="str">
        <f>IF(C58="","",VLOOKUP(C58,listaBolsa!$D$2:$H$1118,3,0))</f>
        <v/>
      </c>
      <c r="F58" s="92"/>
      <c r="G58" s="86" t="str">
        <f>IF(C58="","",VLOOKUP(C58,listaBolsa!$D$2:$H$1118,5,0))</f>
        <v/>
      </c>
      <c r="H58" s="89" t="str">
        <f>IF(C58="","",VLOOKUP(C58,listaBolsa!$D$2:$W$1118,10,0))</f>
        <v/>
      </c>
      <c r="I58" s="128" t="str">
        <f>IF(C58="","",VLOOKUP(C58,listaBolsa!$D$2:$W$1118,14,0))</f>
        <v/>
      </c>
      <c r="J58" s="129" t="e">
        <f t="shared" si="55"/>
        <v>#VALUE!</v>
      </c>
      <c r="K58" s="129" t="e">
        <f t="shared" si="56"/>
        <v>#VALUE!</v>
      </c>
      <c r="L58" s="129" t="str">
        <f t="shared" si="26"/>
        <v/>
      </c>
      <c r="M58" s="129" t="str">
        <f t="shared" si="27"/>
        <v/>
      </c>
      <c r="N58" s="90" t="str">
        <f>IF(C58="","",VLOOKUP(C58,listaBolsa!$D$2:$AZ$1276,23,0))</f>
        <v/>
      </c>
      <c r="O58" s="130" t="str">
        <f>IF(C58="","",VLOOKUP(C58,listaBolsa!$D$2:$AZ$1276,27,0))</f>
        <v/>
      </c>
      <c r="P58" s="131" t="e">
        <f t="shared" si="28"/>
        <v>#VALUE!</v>
      </c>
      <c r="Q58" s="131" t="e">
        <f t="shared" si="29"/>
        <v>#VALUE!</v>
      </c>
      <c r="R58" s="131" t="str">
        <f t="shared" si="30"/>
        <v/>
      </c>
      <c r="S58" s="131" t="str">
        <f t="shared" si="31"/>
        <v/>
      </c>
      <c r="T58" s="83" t="str">
        <f>IF(C58="","",VLOOKUP(C58,listaBolsa!$D$2:$BB$1276,36,0))</f>
        <v/>
      </c>
      <c r="U58" s="132" t="str">
        <f>IF(C58="","",VLOOKUP(C58,listaBolsa!$D$2:$BB$1276,40,0))</f>
        <v/>
      </c>
      <c r="V58" s="133" t="e">
        <f t="shared" si="32"/>
        <v>#VALUE!</v>
      </c>
      <c r="W58" s="133" t="e">
        <f t="shared" si="33"/>
        <v>#VALUE!</v>
      </c>
      <c r="X58" s="133" t="str">
        <f t="shared" si="34"/>
        <v/>
      </c>
      <c r="Y58" s="133" t="str">
        <f t="shared" si="35"/>
        <v/>
      </c>
      <c r="Z58" s="134" t="str">
        <f t="shared" si="51"/>
        <v/>
      </c>
      <c r="AA58" s="134" t="str">
        <f t="shared" si="52"/>
        <v/>
      </c>
      <c r="AB58" s="135" t="str">
        <f t="shared" si="53"/>
        <v/>
      </c>
      <c r="AC58" s="85" t="str">
        <f t="shared" si="54"/>
        <v/>
      </c>
      <c r="AD58" s="5"/>
      <c r="AF58" s="7" t="str">
        <f>IF(C58="","",VLOOKUP(C58,listaBolsa!$D$2:$BB$276,51,0))</f>
        <v/>
      </c>
      <c r="BG58" s="7">
        <v>48</v>
      </c>
      <c r="CA58" s="7" t="e">
        <f>VLOOKUP(C58,listaBolsa!$D$2:$BA$1248,1,0)</f>
        <v>#N/A</v>
      </c>
      <c r="CB58" s="7" t="e">
        <f>VLOOKUP(C58,listaBolsa!$D$2:$BA$1248,2,0)</f>
        <v>#N/A</v>
      </c>
      <c r="CC58" s="7" t="e">
        <f>VLOOKUP(C58,listaBolsa!$D$2:$BA$1248,10,0)</f>
        <v>#N/A</v>
      </c>
      <c r="CD58" s="7" t="e">
        <f>VLOOKUP(C58,listaBolsa!$D$2:$BA$1248,14,0)</f>
        <v>#N/A</v>
      </c>
      <c r="CE58" s="7" t="e">
        <f>VLOOKUP(C58,listaBolsa!$D$2:$BA$1248,23,0)</f>
        <v>#N/A</v>
      </c>
      <c r="CF58" s="7" t="e">
        <f>VLOOKUP(C58,listaBolsa!$D$2:$BA$1248,29,0)</f>
        <v>#N/A</v>
      </c>
      <c r="CG58" s="7" t="e">
        <f>VLOOKUP(C58,listaBolsa!$D$2:$BA$1248,36,0)</f>
        <v>#N/A</v>
      </c>
      <c r="CH58" s="7" t="e">
        <f>VLOOKUP(C58,listaBolsa!$D$2:$BA$1248,40,0)</f>
        <v>#N/A</v>
      </c>
      <c r="CI58" s="7" t="e">
        <f>VLOOKUP(C58,listaBolsa!$D$2:$BA$1248,48,0)</f>
        <v>#N/A</v>
      </c>
      <c r="CJ58" s="7" t="e">
        <f t="shared" si="57"/>
        <v>#N/A</v>
      </c>
      <c r="CK58" s="7" t="e">
        <f t="shared" si="58"/>
        <v>#N/A</v>
      </c>
      <c r="CL58" s="7" t="e">
        <f t="shared" si="59"/>
        <v>#N/A</v>
      </c>
      <c r="CM58" s="7" t="e">
        <f t="shared" si="60"/>
        <v>#N/A</v>
      </c>
      <c r="CN58" s="7" t="e">
        <f t="shared" si="61"/>
        <v>#N/A</v>
      </c>
      <c r="CO58" s="7" t="e">
        <f t="shared" si="62"/>
        <v>#N/A</v>
      </c>
      <c r="CP58" s="7" t="e">
        <f t="shared" si="63"/>
        <v>#N/A</v>
      </c>
      <c r="CQ58" s="7" t="e">
        <f t="shared" si="64"/>
        <v>#N/A</v>
      </c>
      <c r="CR58" s="7" t="e">
        <f t="shared" si="65"/>
        <v>#N/A</v>
      </c>
    </row>
    <row r="59" spans="1:96" s="7" customFormat="1" ht="21" hidden="1" x14ac:dyDescent="0.25">
      <c r="A59" s="75" t="str">
        <f t="shared" si="50"/>
        <v/>
      </c>
      <c r="B59" s="91"/>
      <c r="C59" s="82"/>
      <c r="D59" s="75" t="str">
        <f>IF(C59="","",VLOOKUP(C59,listaBolsa!$D$2:$H$1118,2,0))</f>
        <v/>
      </c>
      <c r="E59" s="91" t="str">
        <f>IF(C59="","",VLOOKUP(C59,listaBolsa!$D$2:$H$1118,3,0))</f>
        <v/>
      </c>
      <c r="F59" s="92"/>
      <c r="G59" s="86" t="str">
        <f>IF(C59="","",VLOOKUP(C59,listaBolsa!$D$2:$H$1118,5,0))</f>
        <v/>
      </c>
      <c r="H59" s="89" t="str">
        <f>IF(C59="","",VLOOKUP(C59,listaBolsa!$D$2:$W$1118,10,0))</f>
        <v/>
      </c>
      <c r="I59" s="128" t="str">
        <f>IF(C59="","",VLOOKUP(C59,listaBolsa!$D$2:$W$1118,14,0))</f>
        <v/>
      </c>
      <c r="J59" s="129" t="e">
        <f t="shared" si="55"/>
        <v>#VALUE!</v>
      </c>
      <c r="K59" s="129" t="e">
        <f t="shared" si="56"/>
        <v>#VALUE!</v>
      </c>
      <c r="L59" s="129" t="str">
        <f t="shared" si="26"/>
        <v/>
      </c>
      <c r="M59" s="129" t="str">
        <f t="shared" si="27"/>
        <v/>
      </c>
      <c r="N59" s="90" t="str">
        <f>IF(C59="","",VLOOKUP(C59,listaBolsa!$D$2:$AZ$1276,23,0))</f>
        <v/>
      </c>
      <c r="O59" s="130" t="str">
        <f>IF(C59="","",VLOOKUP(C59,listaBolsa!$D$2:$AZ$1276,27,0))</f>
        <v/>
      </c>
      <c r="P59" s="131" t="e">
        <f t="shared" si="28"/>
        <v>#VALUE!</v>
      </c>
      <c r="Q59" s="131" t="e">
        <f t="shared" si="29"/>
        <v>#VALUE!</v>
      </c>
      <c r="R59" s="131" t="str">
        <f t="shared" si="30"/>
        <v/>
      </c>
      <c r="S59" s="131" t="str">
        <f t="shared" si="31"/>
        <v/>
      </c>
      <c r="T59" s="83" t="str">
        <f>IF(C59="","",VLOOKUP(C59,listaBolsa!$D$2:$BB$1276,36,0))</f>
        <v/>
      </c>
      <c r="U59" s="132" t="str">
        <f>IF(C59="","",VLOOKUP(C59,listaBolsa!$D$2:$BB$1276,40,0))</f>
        <v/>
      </c>
      <c r="V59" s="133" t="e">
        <f t="shared" si="32"/>
        <v>#VALUE!</v>
      </c>
      <c r="W59" s="133" t="e">
        <f t="shared" si="33"/>
        <v>#VALUE!</v>
      </c>
      <c r="X59" s="133" t="str">
        <f t="shared" si="34"/>
        <v/>
      </c>
      <c r="Y59" s="133" t="str">
        <f t="shared" si="35"/>
        <v/>
      </c>
      <c r="Z59" s="134" t="str">
        <f t="shared" si="51"/>
        <v/>
      </c>
      <c r="AA59" s="134" t="str">
        <f t="shared" si="52"/>
        <v/>
      </c>
      <c r="AB59" s="135" t="str">
        <f t="shared" si="53"/>
        <v/>
      </c>
      <c r="AC59" s="85" t="str">
        <f t="shared" si="54"/>
        <v/>
      </c>
      <c r="AD59" s="5"/>
      <c r="AF59" s="7" t="str">
        <f>IF(C59="","",VLOOKUP(C59,listaBolsa!$D$2:$BB$276,51,0))</f>
        <v/>
      </c>
      <c r="BG59" s="7">
        <v>49</v>
      </c>
      <c r="CA59" s="7" t="e">
        <f>VLOOKUP(C59,listaBolsa!$D$2:$BA$1248,1,0)</f>
        <v>#N/A</v>
      </c>
      <c r="CB59" s="7" t="e">
        <f>VLOOKUP(C59,listaBolsa!$D$2:$BA$1248,2,0)</f>
        <v>#N/A</v>
      </c>
      <c r="CC59" s="7" t="e">
        <f>VLOOKUP(C59,listaBolsa!$D$2:$BA$1248,10,0)</f>
        <v>#N/A</v>
      </c>
      <c r="CD59" s="7" t="e">
        <f>VLOOKUP(C59,listaBolsa!$D$2:$BA$1248,14,0)</f>
        <v>#N/A</v>
      </c>
      <c r="CE59" s="7" t="e">
        <f>VLOOKUP(C59,listaBolsa!$D$2:$BA$1248,23,0)</f>
        <v>#N/A</v>
      </c>
      <c r="CF59" s="7" t="e">
        <f>VLOOKUP(C59,listaBolsa!$D$2:$BA$1248,29,0)</f>
        <v>#N/A</v>
      </c>
      <c r="CG59" s="7" t="e">
        <f>VLOOKUP(C59,listaBolsa!$D$2:$BA$1248,36,0)</f>
        <v>#N/A</v>
      </c>
      <c r="CH59" s="7" t="e">
        <f>VLOOKUP(C59,listaBolsa!$D$2:$BA$1248,40,0)</f>
        <v>#N/A</v>
      </c>
      <c r="CI59" s="7" t="e">
        <f>VLOOKUP(C59,listaBolsa!$D$2:$BA$1248,48,0)</f>
        <v>#N/A</v>
      </c>
      <c r="CJ59" s="7" t="e">
        <f t="shared" si="57"/>
        <v>#N/A</v>
      </c>
      <c r="CK59" s="7" t="e">
        <f t="shared" si="58"/>
        <v>#N/A</v>
      </c>
      <c r="CL59" s="7" t="e">
        <f t="shared" si="59"/>
        <v>#N/A</v>
      </c>
      <c r="CM59" s="7" t="e">
        <f t="shared" si="60"/>
        <v>#N/A</v>
      </c>
      <c r="CN59" s="7" t="e">
        <f t="shared" si="61"/>
        <v>#N/A</v>
      </c>
      <c r="CO59" s="7" t="e">
        <f t="shared" si="62"/>
        <v>#N/A</v>
      </c>
      <c r="CP59" s="7" t="e">
        <f t="shared" si="63"/>
        <v>#N/A</v>
      </c>
      <c r="CQ59" s="7" t="e">
        <f t="shared" si="64"/>
        <v>#N/A</v>
      </c>
      <c r="CR59" s="7" t="e">
        <f t="shared" si="65"/>
        <v>#N/A</v>
      </c>
    </row>
    <row r="60" spans="1:96" s="7" customFormat="1" ht="21" hidden="1" x14ac:dyDescent="0.25">
      <c r="A60" s="75" t="str">
        <f t="shared" si="50"/>
        <v/>
      </c>
      <c r="B60" s="91"/>
      <c r="C60" s="82"/>
      <c r="D60" s="75" t="str">
        <f>IF(C60="","",VLOOKUP(C60,listaBolsa!$D$2:$H$1118,2,0))</f>
        <v/>
      </c>
      <c r="E60" s="91" t="str">
        <f>IF(C60="","",VLOOKUP(C60,listaBolsa!$D$2:$H$1118,3,0))</f>
        <v/>
      </c>
      <c r="F60" s="92"/>
      <c r="G60" s="86" t="str">
        <f>IF(C60="","",VLOOKUP(C60,listaBolsa!$D$2:$H$1118,5,0))</f>
        <v/>
      </c>
      <c r="H60" s="89" t="str">
        <f>IF(C60="","",VLOOKUP(C60,listaBolsa!$D$2:$W$1118,10,0))</f>
        <v/>
      </c>
      <c r="I60" s="128" t="str">
        <f>IF(C60="","",VLOOKUP(C60,listaBolsa!$D$2:$W$1118,14,0))</f>
        <v/>
      </c>
      <c r="J60" s="129" t="e">
        <f t="shared" si="55"/>
        <v>#VALUE!</v>
      </c>
      <c r="K60" s="129" t="e">
        <f t="shared" si="56"/>
        <v>#VALUE!</v>
      </c>
      <c r="L60" s="129" t="str">
        <f t="shared" si="26"/>
        <v/>
      </c>
      <c r="M60" s="129" t="str">
        <f t="shared" si="27"/>
        <v/>
      </c>
      <c r="N60" s="90" t="str">
        <f>IF(C60="","",VLOOKUP(C60,listaBolsa!$D$2:$AZ$1276,23,0))</f>
        <v/>
      </c>
      <c r="O60" s="130" t="str">
        <f>IF(C60="","",VLOOKUP(C60,listaBolsa!$D$2:$AZ$1276,27,0))</f>
        <v/>
      </c>
      <c r="P60" s="131" t="e">
        <f t="shared" si="28"/>
        <v>#VALUE!</v>
      </c>
      <c r="Q60" s="131" t="e">
        <f t="shared" si="29"/>
        <v>#VALUE!</v>
      </c>
      <c r="R60" s="131" t="str">
        <f t="shared" si="30"/>
        <v/>
      </c>
      <c r="S60" s="131" t="str">
        <f t="shared" si="31"/>
        <v/>
      </c>
      <c r="T60" s="83" t="str">
        <f>IF(C60="","",VLOOKUP(C60,listaBolsa!$D$2:$BB$1276,36,0))</f>
        <v/>
      </c>
      <c r="U60" s="132" t="str">
        <f>IF(C60="","",VLOOKUP(C60,listaBolsa!$D$2:$BB$1276,40,0))</f>
        <v/>
      </c>
      <c r="V60" s="133" t="e">
        <f t="shared" si="32"/>
        <v>#VALUE!</v>
      </c>
      <c r="W60" s="133" t="e">
        <f t="shared" si="33"/>
        <v>#VALUE!</v>
      </c>
      <c r="X60" s="133" t="str">
        <f t="shared" si="34"/>
        <v/>
      </c>
      <c r="Y60" s="133" t="str">
        <f t="shared" si="35"/>
        <v/>
      </c>
      <c r="Z60" s="134" t="str">
        <f t="shared" si="51"/>
        <v/>
      </c>
      <c r="AA60" s="134" t="str">
        <f t="shared" si="52"/>
        <v/>
      </c>
      <c r="AB60" s="135" t="str">
        <f t="shared" si="53"/>
        <v/>
      </c>
      <c r="AC60" s="85" t="str">
        <f t="shared" si="54"/>
        <v/>
      </c>
      <c r="AD60" s="5"/>
      <c r="AF60" s="7" t="str">
        <f>IF(C60="","",VLOOKUP(C60,listaBolsa!$D$2:$BB$276,51,0))</f>
        <v/>
      </c>
      <c r="BG60" s="7">
        <v>50</v>
      </c>
      <c r="CA60" s="7" t="e">
        <f>VLOOKUP(C60,listaBolsa!$D$2:$BA$1248,1,0)</f>
        <v>#N/A</v>
      </c>
      <c r="CB60" s="7" t="e">
        <f>VLOOKUP(C60,listaBolsa!$D$2:$BA$1248,2,0)</f>
        <v>#N/A</v>
      </c>
      <c r="CC60" s="7" t="e">
        <f>VLOOKUP(C60,listaBolsa!$D$2:$BA$1248,10,0)</f>
        <v>#N/A</v>
      </c>
      <c r="CD60" s="7" t="e">
        <f>VLOOKUP(C60,listaBolsa!$D$2:$BA$1248,14,0)</f>
        <v>#N/A</v>
      </c>
      <c r="CE60" s="7" t="e">
        <f>VLOOKUP(C60,listaBolsa!$D$2:$BA$1248,23,0)</f>
        <v>#N/A</v>
      </c>
      <c r="CF60" s="7" t="e">
        <f>VLOOKUP(C60,listaBolsa!$D$2:$BA$1248,29,0)</f>
        <v>#N/A</v>
      </c>
      <c r="CG60" s="7" t="e">
        <f>VLOOKUP(C60,listaBolsa!$D$2:$BA$1248,36,0)</f>
        <v>#N/A</v>
      </c>
      <c r="CH60" s="7" t="e">
        <f>VLOOKUP(C60,listaBolsa!$D$2:$BA$1248,40,0)</f>
        <v>#N/A</v>
      </c>
      <c r="CI60" s="7" t="e">
        <f>VLOOKUP(C60,listaBolsa!$D$2:$BA$1248,48,0)</f>
        <v>#N/A</v>
      </c>
      <c r="CJ60" s="7" t="e">
        <f t="shared" si="57"/>
        <v>#N/A</v>
      </c>
      <c r="CK60" s="7" t="e">
        <f t="shared" si="58"/>
        <v>#N/A</v>
      </c>
      <c r="CL60" s="7" t="e">
        <f t="shared" si="59"/>
        <v>#N/A</v>
      </c>
      <c r="CM60" s="7" t="e">
        <f t="shared" si="60"/>
        <v>#N/A</v>
      </c>
      <c r="CN60" s="7" t="e">
        <f t="shared" si="61"/>
        <v>#N/A</v>
      </c>
      <c r="CO60" s="7" t="e">
        <f t="shared" si="62"/>
        <v>#N/A</v>
      </c>
      <c r="CP60" s="7" t="e">
        <f t="shared" si="63"/>
        <v>#N/A</v>
      </c>
      <c r="CQ60" s="7" t="e">
        <f t="shared" si="64"/>
        <v>#N/A</v>
      </c>
      <c r="CR60" s="7" t="e">
        <f t="shared" si="65"/>
        <v>#N/A</v>
      </c>
    </row>
    <row r="61" spans="1:96" s="7" customFormat="1" ht="21" hidden="1" x14ac:dyDescent="0.25">
      <c r="A61" s="75" t="str">
        <f t="shared" si="50"/>
        <v/>
      </c>
      <c r="B61" s="91"/>
      <c r="C61" s="82"/>
      <c r="D61" s="75" t="str">
        <f>IF(C61="","",VLOOKUP(C61,listaBolsa!$D$2:$H$1118,2,0))</f>
        <v/>
      </c>
      <c r="E61" s="91" t="str">
        <f>IF(C61="","",VLOOKUP(C61,listaBolsa!$D$2:$H$1118,3,0))</f>
        <v/>
      </c>
      <c r="F61" s="92"/>
      <c r="G61" s="86" t="str">
        <f>IF(C61="","",VLOOKUP(C61,listaBolsa!$D$2:$H$1118,5,0))</f>
        <v/>
      </c>
      <c r="H61" s="89" t="str">
        <f>IF(C61="","",VLOOKUP(C61,listaBolsa!$D$2:$W$1118,10,0))</f>
        <v/>
      </c>
      <c r="I61" s="128" t="str">
        <f>IF(C61="","",VLOOKUP(C61,listaBolsa!$D$2:$W$1118,14,0))</f>
        <v/>
      </c>
      <c r="J61" s="129" t="e">
        <f t="shared" si="55"/>
        <v>#VALUE!</v>
      </c>
      <c r="K61" s="129" t="e">
        <f t="shared" si="56"/>
        <v>#VALUE!</v>
      </c>
      <c r="L61" s="129" t="str">
        <f t="shared" si="26"/>
        <v/>
      </c>
      <c r="M61" s="129" t="str">
        <f t="shared" si="27"/>
        <v/>
      </c>
      <c r="N61" s="90" t="str">
        <f>IF(C61="","",VLOOKUP(C61,listaBolsa!$D$2:$AZ$1276,23,0))</f>
        <v/>
      </c>
      <c r="O61" s="130" t="str">
        <f>IF(C61="","",VLOOKUP(C61,listaBolsa!$D$2:$AZ$1276,27,0))</f>
        <v/>
      </c>
      <c r="P61" s="131" t="e">
        <f t="shared" si="28"/>
        <v>#VALUE!</v>
      </c>
      <c r="Q61" s="131" t="e">
        <f t="shared" si="29"/>
        <v>#VALUE!</v>
      </c>
      <c r="R61" s="131" t="str">
        <f t="shared" si="30"/>
        <v/>
      </c>
      <c r="S61" s="131" t="str">
        <f t="shared" si="31"/>
        <v/>
      </c>
      <c r="T61" s="83" t="str">
        <f>IF(C61="","",VLOOKUP(C61,listaBolsa!$D$2:$BB$1276,36,0))</f>
        <v/>
      </c>
      <c r="U61" s="132" t="str">
        <f>IF(C61="","",VLOOKUP(C61,listaBolsa!$D$2:$BB$1276,40,0))</f>
        <v/>
      </c>
      <c r="V61" s="133" t="e">
        <f t="shared" si="32"/>
        <v>#VALUE!</v>
      </c>
      <c r="W61" s="133" t="e">
        <f t="shared" si="33"/>
        <v>#VALUE!</v>
      </c>
      <c r="X61" s="133" t="str">
        <f t="shared" si="34"/>
        <v/>
      </c>
      <c r="Y61" s="133" t="str">
        <f t="shared" si="35"/>
        <v/>
      </c>
      <c r="Z61" s="134" t="str">
        <f t="shared" si="51"/>
        <v/>
      </c>
      <c r="AA61" s="134" t="str">
        <f t="shared" si="52"/>
        <v/>
      </c>
      <c r="AB61" s="135" t="str">
        <f t="shared" si="53"/>
        <v/>
      </c>
      <c r="AC61" s="85" t="str">
        <f t="shared" si="54"/>
        <v/>
      </c>
      <c r="AD61" s="5"/>
      <c r="AF61" s="7" t="str">
        <f>IF(C61="","",VLOOKUP(C61,listaBolsa!$D$2:$BB$276,51,0))</f>
        <v/>
      </c>
      <c r="BG61" s="7">
        <v>51</v>
      </c>
      <c r="CA61" s="7" t="e">
        <f>VLOOKUP(C61,listaBolsa!$D$2:$BA$1248,1,0)</f>
        <v>#N/A</v>
      </c>
      <c r="CB61" s="7" t="e">
        <f>VLOOKUP(C61,listaBolsa!$D$2:$BA$1248,2,0)</f>
        <v>#N/A</v>
      </c>
      <c r="CC61" s="7" t="e">
        <f>VLOOKUP(C61,listaBolsa!$D$2:$BA$1248,10,0)</f>
        <v>#N/A</v>
      </c>
      <c r="CD61" s="7" t="e">
        <f>VLOOKUP(C61,listaBolsa!$D$2:$BA$1248,14,0)</f>
        <v>#N/A</v>
      </c>
      <c r="CE61" s="7" t="e">
        <f>VLOOKUP(C61,listaBolsa!$D$2:$BA$1248,23,0)</f>
        <v>#N/A</v>
      </c>
      <c r="CF61" s="7" t="e">
        <f>VLOOKUP(C61,listaBolsa!$D$2:$BA$1248,29,0)</f>
        <v>#N/A</v>
      </c>
      <c r="CG61" s="7" t="e">
        <f>VLOOKUP(C61,listaBolsa!$D$2:$BA$1248,36,0)</f>
        <v>#N/A</v>
      </c>
      <c r="CH61" s="7" t="e">
        <f>VLOOKUP(C61,listaBolsa!$D$2:$BA$1248,40,0)</f>
        <v>#N/A</v>
      </c>
      <c r="CI61" s="7" t="e">
        <f>VLOOKUP(C61,listaBolsa!$D$2:$BA$1248,48,0)</f>
        <v>#N/A</v>
      </c>
      <c r="CJ61" s="7" t="e">
        <f t="shared" si="57"/>
        <v>#N/A</v>
      </c>
      <c r="CK61" s="7" t="e">
        <f t="shared" si="58"/>
        <v>#N/A</v>
      </c>
      <c r="CL61" s="7" t="e">
        <f t="shared" si="59"/>
        <v>#N/A</v>
      </c>
      <c r="CM61" s="7" t="e">
        <f t="shared" si="60"/>
        <v>#N/A</v>
      </c>
      <c r="CN61" s="7" t="e">
        <f t="shared" si="61"/>
        <v>#N/A</v>
      </c>
      <c r="CO61" s="7" t="e">
        <f t="shared" si="62"/>
        <v>#N/A</v>
      </c>
      <c r="CP61" s="7" t="e">
        <f t="shared" si="63"/>
        <v>#N/A</v>
      </c>
      <c r="CQ61" s="7" t="e">
        <f t="shared" si="64"/>
        <v>#N/A</v>
      </c>
      <c r="CR61" s="7" t="e">
        <f t="shared" si="65"/>
        <v>#N/A</v>
      </c>
    </row>
    <row r="62" spans="1:96" s="7" customFormat="1" ht="21" hidden="1" x14ac:dyDescent="0.25">
      <c r="A62" s="75" t="str">
        <f t="shared" si="50"/>
        <v/>
      </c>
      <c r="B62" s="91"/>
      <c r="C62" s="82"/>
      <c r="D62" s="75" t="str">
        <f>IF(C62="","",VLOOKUP(C62,listaBolsa!$D$2:$H$1118,2,0))</f>
        <v/>
      </c>
      <c r="E62" s="91" t="str">
        <f>IF(C62="","",VLOOKUP(C62,listaBolsa!$D$2:$H$1118,3,0))</f>
        <v/>
      </c>
      <c r="F62" s="92"/>
      <c r="G62" s="86" t="str">
        <f>IF(C62="","",VLOOKUP(C62,listaBolsa!$D$2:$H$1118,5,0))</f>
        <v/>
      </c>
      <c r="H62" s="89" t="str">
        <f>IF(C62="","",VLOOKUP(C62,listaBolsa!$D$2:$W$1118,10,0))</f>
        <v/>
      </c>
      <c r="I62" s="128" t="str">
        <f>IF(C62="","",VLOOKUP(C62,listaBolsa!$D$2:$W$1118,14,0))</f>
        <v/>
      </c>
      <c r="J62" s="129" t="e">
        <f t="shared" si="55"/>
        <v>#VALUE!</v>
      </c>
      <c r="K62" s="129" t="e">
        <f t="shared" si="56"/>
        <v>#VALUE!</v>
      </c>
      <c r="L62" s="129" t="str">
        <f t="shared" si="26"/>
        <v/>
      </c>
      <c r="M62" s="129" t="str">
        <f t="shared" si="27"/>
        <v/>
      </c>
      <c r="N62" s="90" t="str">
        <f>IF(C62="","",VLOOKUP(C62,listaBolsa!$D$2:$AZ$1276,23,0))</f>
        <v/>
      </c>
      <c r="O62" s="130" t="str">
        <f>IF(C62="","",VLOOKUP(C62,listaBolsa!$D$2:$AZ$1276,27,0))</f>
        <v/>
      </c>
      <c r="P62" s="131" t="e">
        <f t="shared" si="28"/>
        <v>#VALUE!</v>
      </c>
      <c r="Q62" s="131" t="e">
        <f t="shared" si="29"/>
        <v>#VALUE!</v>
      </c>
      <c r="R62" s="131" t="str">
        <f t="shared" si="30"/>
        <v/>
      </c>
      <c r="S62" s="131" t="str">
        <f t="shared" si="31"/>
        <v/>
      </c>
      <c r="T62" s="83" t="str">
        <f>IF(C62="","",VLOOKUP(C62,listaBolsa!$D$2:$BB$1276,36,0))</f>
        <v/>
      </c>
      <c r="U62" s="132" t="str">
        <f>IF(C62="","",VLOOKUP(C62,listaBolsa!$D$2:$BB$1276,40,0))</f>
        <v/>
      </c>
      <c r="V62" s="133" t="e">
        <f t="shared" si="32"/>
        <v>#VALUE!</v>
      </c>
      <c r="W62" s="133" t="e">
        <f t="shared" si="33"/>
        <v>#VALUE!</v>
      </c>
      <c r="X62" s="133" t="str">
        <f t="shared" si="34"/>
        <v/>
      </c>
      <c r="Y62" s="133" t="str">
        <f t="shared" si="35"/>
        <v/>
      </c>
      <c r="Z62" s="134" t="str">
        <f t="shared" si="51"/>
        <v/>
      </c>
      <c r="AA62" s="134" t="str">
        <f t="shared" si="52"/>
        <v/>
      </c>
      <c r="AB62" s="135" t="str">
        <f t="shared" si="53"/>
        <v/>
      </c>
      <c r="AC62" s="85" t="str">
        <f t="shared" si="54"/>
        <v/>
      </c>
      <c r="AD62" s="5"/>
      <c r="AF62" s="7" t="str">
        <f>IF(C62="","",VLOOKUP(C62,listaBolsa!$D$2:$BB$276,51,0))</f>
        <v/>
      </c>
      <c r="BG62" s="7">
        <v>52</v>
      </c>
      <c r="CA62" s="7" t="e">
        <f>VLOOKUP(C62,listaBolsa!$D$2:$BA$1248,1,0)</f>
        <v>#N/A</v>
      </c>
      <c r="CB62" s="7" t="e">
        <f>VLOOKUP(C62,listaBolsa!$D$2:$BA$1248,2,0)</f>
        <v>#N/A</v>
      </c>
      <c r="CC62" s="7" t="e">
        <f>VLOOKUP(C62,listaBolsa!$D$2:$BA$1248,10,0)</f>
        <v>#N/A</v>
      </c>
      <c r="CD62" s="7" t="e">
        <f>VLOOKUP(C62,listaBolsa!$D$2:$BA$1248,14,0)</f>
        <v>#N/A</v>
      </c>
      <c r="CE62" s="7" t="e">
        <f>VLOOKUP(C62,listaBolsa!$D$2:$BA$1248,23,0)</f>
        <v>#N/A</v>
      </c>
      <c r="CF62" s="7" t="e">
        <f>VLOOKUP(C62,listaBolsa!$D$2:$BA$1248,29,0)</f>
        <v>#N/A</v>
      </c>
      <c r="CG62" s="7" t="e">
        <f>VLOOKUP(C62,listaBolsa!$D$2:$BA$1248,36,0)</f>
        <v>#N/A</v>
      </c>
      <c r="CH62" s="7" t="e">
        <f>VLOOKUP(C62,listaBolsa!$D$2:$BA$1248,40,0)</f>
        <v>#N/A</v>
      </c>
      <c r="CI62" s="7" t="e">
        <f>VLOOKUP(C62,listaBolsa!$D$2:$BA$1248,48,0)</f>
        <v>#N/A</v>
      </c>
      <c r="CJ62" s="7" t="e">
        <f t="shared" si="57"/>
        <v>#N/A</v>
      </c>
      <c r="CK62" s="7" t="e">
        <f t="shared" si="58"/>
        <v>#N/A</v>
      </c>
      <c r="CL62" s="7" t="e">
        <f t="shared" si="59"/>
        <v>#N/A</v>
      </c>
      <c r="CM62" s="7" t="e">
        <f t="shared" si="60"/>
        <v>#N/A</v>
      </c>
      <c r="CN62" s="7" t="e">
        <f t="shared" si="61"/>
        <v>#N/A</v>
      </c>
      <c r="CO62" s="7" t="e">
        <f t="shared" si="62"/>
        <v>#N/A</v>
      </c>
      <c r="CP62" s="7" t="e">
        <f t="shared" si="63"/>
        <v>#N/A</v>
      </c>
      <c r="CQ62" s="7" t="e">
        <f t="shared" si="64"/>
        <v>#N/A</v>
      </c>
      <c r="CR62" s="7" t="e">
        <f t="shared" si="65"/>
        <v>#N/A</v>
      </c>
    </row>
    <row r="63" spans="1:96" s="7" customFormat="1" ht="21" hidden="1" x14ac:dyDescent="0.25">
      <c r="A63" s="75" t="str">
        <f t="shared" si="50"/>
        <v/>
      </c>
      <c r="B63" s="91"/>
      <c r="C63" s="82"/>
      <c r="D63" s="75" t="str">
        <f>IF(C63="","",VLOOKUP(C63,listaBolsa!$D$2:$H$1118,2,0))</f>
        <v/>
      </c>
      <c r="E63" s="91" t="str">
        <f>IF(C63="","",VLOOKUP(C63,listaBolsa!$D$2:$H$1118,3,0))</f>
        <v/>
      </c>
      <c r="F63" s="92"/>
      <c r="G63" s="86" t="str">
        <f>IF(C63="","",VLOOKUP(C63,listaBolsa!$D$2:$H$1118,5,0))</f>
        <v/>
      </c>
      <c r="H63" s="89" t="str">
        <f>IF(C63="","",VLOOKUP(C63,listaBolsa!$D$2:$W$1118,10,0))</f>
        <v/>
      </c>
      <c r="I63" s="128" t="str">
        <f>IF(C63="","",VLOOKUP(C63,listaBolsa!$D$2:$W$1118,14,0))</f>
        <v/>
      </c>
      <c r="J63" s="129" t="e">
        <f t="shared" si="55"/>
        <v>#VALUE!</v>
      </c>
      <c r="K63" s="129" t="e">
        <f t="shared" si="56"/>
        <v>#VALUE!</v>
      </c>
      <c r="L63" s="129" t="str">
        <f t="shared" si="26"/>
        <v/>
      </c>
      <c r="M63" s="129" t="str">
        <f t="shared" si="27"/>
        <v/>
      </c>
      <c r="N63" s="90" t="str">
        <f>IF(C63="","",VLOOKUP(C63,listaBolsa!$D$2:$AZ$1276,23,0))</f>
        <v/>
      </c>
      <c r="O63" s="130" t="str">
        <f>IF(C63="","",VLOOKUP(C63,listaBolsa!$D$2:$AZ$1276,27,0))</f>
        <v/>
      </c>
      <c r="P63" s="131" t="e">
        <f t="shared" si="28"/>
        <v>#VALUE!</v>
      </c>
      <c r="Q63" s="131" t="e">
        <f t="shared" si="29"/>
        <v>#VALUE!</v>
      </c>
      <c r="R63" s="131" t="str">
        <f t="shared" si="30"/>
        <v/>
      </c>
      <c r="S63" s="131" t="str">
        <f t="shared" si="31"/>
        <v/>
      </c>
      <c r="T63" s="83" t="str">
        <f>IF(C63="","",VLOOKUP(C63,listaBolsa!$D$2:$BB$1276,36,0))</f>
        <v/>
      </c>
      <c r="U63" s="132" t="str">
        <f>IF(C63="","",VLOOKUP(C63,listaBolsa!$D$2:$BB$1276,40,0))</f>
        <v/>
      </c>
      <c r="V63" s="133" t="e">
        <f t="shared" si="32"/>
        <v>#VALUE!</v>
      </c>
      <c r="W63" s="133" t="e">
        <f t="shared" si="33"/>
        <v>#VALUE!</v>
      </c>
      <c r="X63" s="133" t="str">
        <f t="shared" si="34"/>
        <v/>
      </c>
      <c r="Y63" s="133" t="str">
        <f t="shared" si="35"/>
        <v/>
      </c>
      <c r="Z63" s="134" t="str">
        <f t="shared" si="51"/>
        <v/>
      </c>
      <c r="AA63" s="134" t="str">
        <f t="shared" si="52"/>
        <v/>
      </c>
      <c r="AB63" s="135" t="str">
        <f t="shared" si="53"/>
        <v/>
      </c>
      <c r="AC63" s="85" t="str">
        <f t="shared" si="54"/>
        <v/>
      </c>
      <c r="AD63" s="5"/>
      <c r="AF63" s="7" t="str">
        <f>IF(C63="","",VLOOKUP(C63,listaBolsa!$D$2:$BB$276,51,0))</f>
        <v/>
      </c>
      <c r="BG63" s="7">
        <v>53</v>
      </c>
      <c r="CA63" s="7" t="e">
        <f>VLOOKUP(C63,listaBolsa!$D$2:$BA$1248,1,0)</f>
        <v>#N/A</v>
      </c>
      <c r="CB63" s="7" t="e">
        <f>VLOOKUP(C63,listaBolsa!$D$2:$BA$1248,2,0)</f>
        <v>#N/A</v>
      </c>
      <c r="CC63" s="7" t="e">
        <f>VLOOKUP(C63,listaBolsa!$D$2:$BA$1248,10,0)</f>
        <v>#N/A</v>
      </c>
      <c r="CD63" s="7" t="e">
        <f>VLOOKUP(C63,listaBolsa!$D$2:$BA$1248,14,0)</f>
        <v>#N/A</v>
      </c>
      <c r="CE63" s="7" t="e">
        <f>VLOOKUP(C63,listaBolsa!$D$2:$BA$1248,23,0)</f>
        <v>#N/A</v>
      </c>
      <c r="CF63" s="7" t="e">
        <f>VLOOKUP(C63,listaBolsa!$D$2:$BA$1248,29,0)</f>
        <v>#N/A</v>
      </c>
      <c r="CG63" s="7" t="e">
        <f>VLOOKUP(C63,listaBolsa!$D$2:$BA$1248,36,0)</f>
        <v>#N/A</v>
      </c>
      <c r="CH63" s="7" t="e">
        <f>VLOOKUP(C63,listaBolsa!$D$2:$BA$1248,40,0)</f>
        <v>#N/A</v>
      </c>
      <c r="CI63" s="7" t="e">
        <f>VLOOKUP(C63,listaBolsa!$D$2:$BA$1248,48,0)</f>
        <v>#N/A</v>
      </c>
      <c r="CJ63" s="7" t="e">
        <f t="shared" si="57"/>
        <v>#N/A</v>
      </c>
      <c r="CK63" s="7" t="e">
        <f t="shared" si="58"/>
        <v>#N/A</v>
      </c>
      <c r="CL63" s="7" t="e">
        <f t="shared" si="59"/>
        <v>#N/A</v>
      </c>
      <c r="CM63" s="7" t="e">
        <f t="shared" si="60"/>
        <v>#N/A</v>
      </c>
      <c r="CN63" s="7" t="e">
        <f t="shared" si="61"/>
        <v>#N/A</v>
      </c>
      <c r="CO63" s="7" t="e">
        <f t="shared" si="62"/>
        <v>#N/A</v>
      </c>
      <c r="CP63" s="7" t="e">
        <f t="shared" si="63"/>
        <v>#N/A</v>
      </c>
      <c r="CQ63" s="7" t="e">
        <f t="shared" si="64"/>
        <v>#N/A</v>
      </c>
      <c r="CR63" s="7" t="e">
        <f t="shared" si="65"/>
        <v>#N/A</v>
      </c>
    </row>
    <row r="64" spans="1:96" s="7" customFormat="1" ht="21" hidden="1" x14ac:dyDescent="0.25">
      <c r="A64" s="75" t="str">
        <f t="shared" si="50"/>
        <v/>
      </c>
      <c r="B64" s="91"/>
      <c r="C64" s="82"/>
      <c r="D64" s="75" t="str">
        <f>IF(C64="","",VLOOKUP(C64,listaBolsa!$D$2:$H$1118,2,0))</f>
        <v/>
      </c>
      <c r="E64" s="91" t="str">
        <f>IF(C64="","",VLOOKUP(C64,listaBolsa!$D$2:$H$1118,3,0))</f>
        <v/>
      </c>
      <c r="F64" s="92"/>
      <c r="G64" s="86" t="str">
        <f>IF(C64="","",VLOOKUP(C64,listaBolsa!$D$2:$H$1118,5,0))</f>
        <v/>
      </c>
      <c r="H64" s="89" t="str">
        <f>IF(C64="","",VLOOKUP(C64,listaBolsa!$D$2:$W$1118,10,0))</f>
        <v/>
      </c>
      <c r="I64" s="128" t="str">
        <f>IF(C64="","",VLOOKUP(C64,listaBolsa!$D$2:$W$1118,14,0))</f>
        <v/>
      </c>
      <c r="J64" s="129" t="e">
        <f t="shared" si="55"/>
        <v>#VALUE!</v>
      </c>
      <c r="K64" s="129" t="e">
        <f t="shared" si="56"/>
        <v>#VALUE!</v>
      </c>
      <c r="L64" s="129" t="str">
        <f t="shared" si="26"/>
        <v/>
      </c>
      <c r="M64" s="129" t="str">
        <f t="shared" si="27"/>
        <v/>
      </c>
      <c r="N64" s="90" t="str">
        <f>IF(C64="","",VLOOKUP(C64,listaBolsa!$D$2:$AZ$1276,23,0))</f>
        <v/>
      </c>
      <c r="O64" s="130" t="str">
        <f>IF(C64="","",VLOOKUP(C64,listaBolsa!$D$2:$AZ$1276,27,0))</f>
        <v/>
      </c>
      <c r="P64" s="131" t="e">
        <f t="shared" si="28"/>
        <v>#VALUE!</v>
      </c>
      <c r="Q64" s="131" t="e">
        <f t="shared" si="29"/>
        <v>#VALUE!</v>
      </c>
      <c r="R64" s="131" t="str">
        <f t="shared" si="30"/>
        <v/>
      </c>
      <c r="S64" s="131" t="str">
        <f t="shared" si="31"/>
        <v/>
      </c>
      <c r="T64" s="83" t="str">
        <f>IF(C64="","",VLOOKUP(C64,listaBolsa!$D$2:$BB$1276,36,0))</f>
        <v/>
      </c>
      <c r="U64" s="132" t="str">
        <f>IF(C64="","",VLOOKUP(C64,listaBolsa!$D$2:$BB$1276,40,0))</f>
        <v/>
      </c>
      <c r="V64" s="133" t="e">
        <f t="shared" si="32"/>
        <v>#VALUE!</v>
      </c>
      <c r="W64" s="133" t="e">
        <f t="shared" si="33"/>
        <v>#VALUE!</v>
      </c>
      <c r="X64" s="133" t="str">
        <f t="shared" si="34"/>
        <v/>
      </c>
      <c r="Y64" s="133" t="str">
        <f t="shared" si="35"/>
        <v/>
      </c>
      <c r="Z64" s="134" t="str">
        <f t="shared" si="51"/>
        <v/>
      </c>
      <c r="AA64" s="134" t="str">
        <f t="shared" si="52"/>
        <v/>
      </c>
      <c r="AB64" s="135" t="str">
        <f t="shared" si="53"/>
        <v/>
      </c>
      <c r="AC64" s="85" t="str">
        <f t="shared" si="54"/>
        <v/>
      </c>
      <c r="AD64" s="5"/>
      <c r="AF64" s="7" t="str">
        <f>IF(C64="","",VLOOKUP(C64,listaBolsa!$D$2:$BB$276,51,0))</f>
        <v/>
      </c>
      <c r="BG64" s="7">
        <v>54</v>
      </c>
      <c r="CA64" s="7" t="e">
        <f>VLOOKUP(C64,listaBolsa!$D$2:$BA$1248,1,0)</f>
        <v>#N/A</v>
      </c>
      <c r="CB64" s="7" t="e">
        <f>VLOOKUP(C64,listaBolsa!$D$2:$BA$1248,2,0)</f>
        <v>#N/A</v>
      </c>
      <c r="CC64" s="7" t="e">
        <f>VLOOKUP(C64,listaBolsa!$D$2:$BA$1248,10,0)</f>
        <v>#N/A</v>
      </c>
      <c r="CD64" s="7" t="e">
        <f>VLOOKUP(C64,listaBolsa!$D$2:$BA$1248,14,0)</f>
        <v>#N/A</v>
      </c>
      <c r="CE64" s="7" t="e">
        <f>VLOOKUP(C64,listaBolsa!$D$2:$BA$1248,23,0)</f>
        <v>#N/A</v>
      </c>
      <c r="CF64" s="7" t="e">
        <f>VLOOKUP(C64,listaBolsa!$D$2:$BA$1248,29,0)</f>
        <v>#N/A</v>
      </c>
      <c r="CG64" s="7" t="e">
        <f>VLOOKUP(C64,listaBolsa!$D$2:$BA$1248,36,0)</f>
        <v>#N/A</v>
      </c>
      <c r="CH64" s="7" t="e">
        <f>VLOOKUP(C64,listaBolsa!$D$2:$BA$1248,40,0)</f>
        <v>#N/A</v>
      </c>
      <c r="CI64" s="7" t="e">
        <f>VLOOKUP(C64,listaBolsa!$D$2:$BA$1248,48,0)</f>
        <v>#N/A</v>
      </c>
      <c r="CJ64" s="7" t="e">
        <f t="shared" si="57"/>
        <v>#N/A</v>
      </c>
      <c r="CK64" s="7" t="e">
        <f t="shared" si="58"/>
        <v>#N/A</v>
      </c>
      <c r="CL64" s="7" t="e">
        <f t="shared" si="59"/>
        <v>#N/A</v>
      </c>
      <c r="CM64" s="7" t="e">
        <f t="shared" si="60"/>
        <v>#N/A</v>
      </c>
      <c r="CN64" s="7" t="e">
        <f t="shared" si="61"/>
        <v>#N/A</v>
      </c>
      <c r="CO64" s="7" t="e">
        <f t="shared" si="62"/>
        <v>#N/A</v>
      </c>
      <c r="CP64" s="7" t="e">
        <f t="shared" si="63"/>
        <v>#N/A</v>
      </c>
      <c r="CQ64" s="7" t="e">
        <f t="shared" si="64"/>
        <v>#N/A</v>
      </c>
      <c r="CR64" s="7" t="e">
        <f t="shared" si="65"/>
        <v>#N/A</v>
      </c>
    </row>
    <row r="65" spans="1:96" s="7" customFormat="1" ht="21" hidden="1" x14ac:dyDescent="0.25">
      <c r="A65" s="75" t="str">
        <f t="shared" si="50"/>
        <v/>
      </c>
      <c r="B65" s="91"/>
      <c r="C65" s="82"/>
      <c r="D65" s="75" t="str">
        <f>IF(C65="","",VLOOKUP(C65,listaBolsa!$D$2:$H$1118,2,0))</f>
        <v/>
      </c>
      <c r="E65" s="91" t="str">
        <f>IF(C65="","",VLOOKUP(C65,listaBolsa!$D$2:$H$1118,3,0))</f>
        <v/>
      </c>
      <c r="F65" s="92"/>
      <c r="G65" s="86" t="str">
        <f>IF(C65="","",VLOOKUP(C65,listaBolsa!$D$2:$H$1118,5,0))</f>
        <v/>
      </c>
      <c r="H65" s="89" t="str">
        <f>IF(C65="","",VLOOKUP(C65,listaBolsa!$D$2:$W$1118,10,0))</f>
        <v/>
      </c>
      <c r="I65" s="128" t="str">
        <f>IF(C65="","",VLOOKUP(C65,listaBolsa!$D$2:$W$1118,14,0))</f>
        <v/>
      </c>
      <c r="J65" s="129" t="e">
        <f t="shared" si="55"/>
        <v>#VALUE!</v>
      </c>
      <c r="K65" s="129" t="e">
        <f t="shared" si="56"/>
        <v>#VALUE!</v>
      </c>
      <c r="L65" s="129" t="str">
        <f t="shared" si="26"/>
        <v/>
      </c>
      <c r="M65" s="129" t="str">
        <f t="shared" si="27"/>
        <v/>
      </c>
      <c r="N65" s="90" t="str">
        <f>IF(C65="","",VLOOKUP(C65,listaBolsa!$D$2:$AZ$1276,23,0))</f>
        <v/>
      </c>
      <c r="O65" s="130" t="str">
        <f>IF(C65="","",VLOOKUP(C65,listaBolsa!$D$2:$AZ$1276,27,0))</f>
        <v/>
      </c>
      <c r="P65" s="131" t="e">
        <f t="shared" si="28"/>
        <v>#VALUE!</v>
      </c>
      <c r="Q65" s="131" t="e">
        <f t="shared" si="29"/>
        <v>#VALUE!</v>
      </c>
      <c r="R65" s="131" t="str">
        <f t="shared" si="30"/>
        <v/>
      </c>
      <c r="S65" s="131" t="str">
        <f t="shared" si="31"/>
        <v/>
      </c>
      <c r="T65" s="83" t="str">
        <f>IF(C65="","",VLOOKUP(C65,listaBolsa!$D$2:$BB$1276,36,0))</f>
        <v/>
      </c>
      <c r="U65" s="132" t="str">
        <f>IF(C65="","",VLOOKUP(C65,listaBolsa!$D$2:$BB$1276,40,0))</f>
        <v/>
      </c>
      <c r="V65" s="133" t="e">
        <f t="shared" si="32"/>
        <v>#VALUE!</v>
      </c>
      <c r="W65" s="133" t="e">
        <f t="shared" si="33"/>
        <v>#VALUE!</v>
      </c>
      <c r="X65" s="133" t="str">
        <f t="shared" si="34"/>
        <v/>
      </c>
      <c r="Y65" s="133" t="str">
        <f t="shared" si="35"/>
        <v/>
      </c>
      <c r="Z65" s="134" t="str">
        <f t="shared" si="51"/>
        <v/>
      </c>
      <c r="AA65" s="134" t="str">
        <f t="shared" si="52"/>
        <v/>
      </c>
      <c r="AB65" s="135" t="str">
        <f t="shared" si="53"/>
        <v/>
      </c>
      <c r="AC65" s="85" t="str">
        <f t="shared" si="54"/>
        <v/>
      </c>
      <c r="AD65" s="5"/>
      <c r="AF65" s="7" t="str">
        <f>IF(C65="","",VLOOKUP(C65,listaBolsa!$D$2:$BB$276,51,0))</f>
        <v/>
      </c>
      <c r="BG65" s="7">
        <v>55</v>
      </c>
      <c r="CA65" s="7" t="e">
        <f>VLOOKUP(C65,listaBolsa!$D$2:$BA$1248,1,0)</f>
        <v>#N/A</v>
      </c>
      <c r="CB65" s="7" t="e">
        <f>VLOOKUP(C65,listaBolsa!$D$2:$BA$1248,2,0)</f>
        <v>#N/A</v>
      </c>
      <c r="CC65" s="7" t="e">
        <f>VLOOKUP(C65,listaBolsa!$D$2:$BA$1248,10,0)</f>
        <v>#N/A</v>
      </c>
      <c r="CD65" s="7" t="e">
        <f>VLOOKUP(C65,listaBolsa!$D$2:$BA$1248,14,0)</f>
        <v>#N/A</v>
      </c>
      <c r="CE65" s="7" t="e">
        <f>VLOOKUP(C65,listaBolsa!$D$2:$BA$1248,23,0)</f>
        <v>#N/A</v>
      </c>
      <c r="CF65" s="7" t="e">
        <f>VLOOKUP(C65,listaBolsa!$D$2:$BA$1248,29,0)</f>
        <v>#N/A</v>
      </c>
      <c r="CG65" s="7" t="e">
        <f>VLOOKUP(C65,listaBolsa!$D$2:$BA$1248,36,0)</f>
        <v>#N/A</v>
      </c>
      <c r="CH65" s="7" t="e">
        <f>VLOOKUP(C65,listaBolsa!$D$2:$BA$1248,40,0)</f>
        <v>#N/A</v>
      </c>
      <c r="CI65" s="7" t="e">
        <f>VLOOKUP(C65,listaBolsa!$D$2:$BA$1248,48,0)</f>
        <v>#N/A</v>
      </c>
      <c r="CJ65" s="7" t="e">
        <f t="shared" si="57"/>
        <v>#N/A</v>
      </c>
      <c r="CK65" s="7" t="e">
        <f t="shared" si="58"/>
        <v>#N/A</v>
      </c>
      <c r="CL65" s="7" t="e">
        <f t="shared" si="59"/>
        <v>#N/A</v>
      </c>
      <c r="CM65" s="7" t="e">
        <f t="shared" si="60"/>
        <v>#N/A</v>
      </c>
      <c r="CN65" s="7" t="e">
        <f t="shared" si="61"/>
        <v>#N/A</v>
      </c>
      <c r="CO65" s="7" t="e">
        <f t="shared" si="62"/>
        <v>#N/A</v>
      </c>
      <c r="CP65" s="7" t="e">
        <f t="shared" si="63"/>
        <v>#N/A</v>
      </c>
      <c r="CQ65" s="7" t="e">
        <f t="shared" si="64"/>
        <v>#N/A</v>
      </c>
      <c r="CR65" s="7" t="e">
        <f t="shared" si="65"/>
        <v>#N/A</v>
      </c>
    </row>
    <row r="66" spans="1:96" s="7" customFormat="1" ht="21" hidden="1" x14ac:dyDescent="0.25">
      <c r="A66" s="75" t="str">
        <f t="shared" si="50"/>
        <v/>
      </c>
      <c r="B66" s="91"/>
      <c r="C66" s="82"/>
      <c r="D66" s="75" t="str">
        <f>IF(C66="","",VLOOKUP(C66,listaBolsa!$D$2:$H$1118,2,0))</f>
        <v/>
      </c>
      <c r="E66" s="91" t="str">
        <f>IF(C66="","",VLOOKUP(C66,listaBolsa!$D$2:$H$1118,3,0))</f>
        <v/>
      </c>
      <c r="F66" s="92"/>
      <c r="G66" s="86" t="str">
        <f>IF(C66="","",VLOOKUP(C66,listaBolsa!$D$2:$H$1118,5,0))</f>
        <v/>
      </c>
      <c r="H66" s="89" t="str">
        <f>IF(C66="","",VLOOKUP(C66,listaBolsa!$D$2:$W$1118,10,0))</f>
        <v/>
      </c>
      <c r="I66" s="128" t="str">
        <f>IF(C66="","",VLOOKUP(C66,listaBolsa!$D$2:$W$1118,14,0))</f>
        <v/>
      </c>
      <c r="J66" s="129" t="e">
        <f t="shared" si="55"/>
        <v>#VALUE!</v>
      </c>
      <c r="K66" s="129" t="e">
        <f t="shared" si="56"/>
        <v>#VALUE!</v>
      </c>
      <c r="L66" s="129" t="str">
        <f t="shared" si="26"/>
        <v/>
      </c>
      <c r="M66" s="129" t="str">
        <f t="shared" si="27"/>
        <v/>
      </c>
      <c r="N66" s="90" t="str">
        <f>IF(C66="","",VLOOKUP(C66,listaBolsa!$D$2:$AZ$1276,23,0))</f>
        <v/>
      </c>
      <c r="O66" s="130" t="str">
        <f>IF(C66="","",VLOOKUP(C66,listaBolsa!$D$2:$AZ$1276,27,0))</f>
        <v/>
      </c>
      <c r="P66" s="131" t="e">
        <f t="shared" si="28"/>
        <v>#VALUE!</v>
      </c>
      <c r="Q66" s="131" t="e">
        <f t="shared" si="29"/>
        <v>#VALUE!</v>
      </c>
      <c r="R66" s="131" t="str">
        <f t="shared" si="30"/>
        <v/>
      </c>
      <c r="S66" s="131" t="str">
        <f t="shared" si="31"/>
        <v/>
      </c>
      <c r="T66" s="83" t="str">
        <f>IF(C66="","",VLOOKUP(C66,listaBolsa!$D$2:$BB$1276,36,0))</f>
        <v/>
      </c>
      <c r="U66" s="132" t="str">
        <f>IF(C66="","",VLOOKUP(C66,listaBolsa!$D$2:$BB$1276,40,0))</f>
        <v/>
      </c>
      <c r="V66" s="133" t="e">
        <f t="shared" si="32"/>
        <v>#VALUE!</v>
      </c>
      <c r="W66" s="133" t="e">
        <f t="shared" si="33"/>
        <v>#VALUE!</v>
      </c>
      <c r="X66" s="133" t="str">
        <f t="shared" si="34"/>
        <v/>
      </c>
      <c r="Y66" s="133" t="str">
        <f t="shared" si="35"/>
        <v/>
      </c>
      <c r="Z66" s="134" t="str">
        <f t="shared" si="51"/>
        <v/>
      </c>
      <c r="AA66" s="134" t="str">
        <f t="shared" si="52"/>
        <v/>
      </c>
      <c r="AB66" s="135" t="str">
        <f t="shared" si="53"/>
        <v/>
      </c>
      <c r="AC66" s="85" t="str">
        <f t="shared" si="54"/>
        <v/>
      </c>
      <c r="AD66" s="5"/>
      <c r="AF66" s="7" t="str">
        <f>IF(C66="","",VLOOKUP(C66,listaBolsa!$D$2:$BB$276,51,0))</f>
        <v/>
      </c>
      <c r="BG66" s="7">
        <v>56</v>
      </c>
      <c r="CA66" s="7" t="e">
        <f>VLOOKUP(C66,listaBolsa!$D$2:$BA$1248,1,0)</f>
        <v>#N/A</v>
      </c>
      <c r="CB66" s="7" t="e">
        <f>VLOOKUP(C66,listaBolsa!$D$2:$BA$1248,2,0)</f>
        <v>#N/A</v>
      </c>
      <c r="CC66" s="7" t="e">
        <f>VLOOKUP(C66,listaBolsa!$D$2:$BA$1248,10,0)</f>
        <v>#N/A</v>
      </c>
      <c r="CD66" s="7" t="e">
        <f>VLOOKUP(C66,listaBolsa!$D$2:$BA$1248,14,0)</f>
        <v>#N/A</v>
      </c>
      <c r="CE66" s="7" t="e">
        <f>VLOOKUP(C66,listaBolsa!$D$2:$BA$1248,23,0)</f>
        <v>#N/A</v>
      </c>
      <c r="CF66" s="7" t="e">
        <f>VLOOKUP(C66,listaBolsa!$D$2:$BA$1248,29,0)</f>
        <v>#N/A</v>
      </c>
      <c r="CG66" s="7" t="e">
        <f>VLOOKUP(C66,listaBolsa!$D$2:$BA$1248,36,0)</f>
        <v>#N/A</v>
      </c>
      <c r="CH66" s="7" t="e">
        <f>VLOOKUP(C66,listaBolsa!$D$2:$BA$1248,40,0)</f>
        <v>#N/A</v>
      </c>
      <c r="CI66" s="7" t="e">
        <f>VLOOKUP(C66,listaBolsa!$D$2:$BA$1248,48,0)</f>
        <v>#N/A</v>
      </c>
      <c r="CJ66" s="7" t="e">
        <f t="shared" si="57"/>
        <v>#N/A</v>
      </c>
      <c r="CK66" s="7" t="e">
        <f t="shared" si="58"/>
        <v>#N/A</v>
      </c>
      <c r="CL66" s="7" t="e">
        <f t="shared" si="59"/>
        <v>#N/A</v>
      </c>
      <c r="CM66" s="7" t="e">
        <f t="shared" si="60"/>
        <v>#N/A</v>
      </c>
      <c r="CN66" s="7" t="e">
        <f t="shared" si="61"/>
        <v>#N/A</v>
      </c>
      <c r="CO66" s="7" t="e">
        <f t="shared" si="62"/>
        <v>#N/A</v>
      </c>
      <c r="CP66" s="7" t="e">
        <f t="shared" si="63"/>
        <v>#N/A</v>
      </c>
      <c r="CQ66" s="7" t="e">
        <f t="shared" si="64"/>
        <v>#N/A</v>
      </c>
      <c r="CR66" s="7" t="e">
        <f t="shared" si="65"/>
        <v>#N/A</v>
      </c>
    </row>
    <row r="67" spans="1:96" s="7" customFormat="1" ht="21" hidden="1" x14ac:dyDescent="0.25">
      <c r="A67" s="75" t="str">
        <f t="shared" si="50"/>
        <v/>
      </c>
      <c r="B67" s="91"/>
      <c r="C67" s="82"/>
      <c r="D67" s="75" t="str">
        <f>IF(C67="","",VLOOKUP(C67,listaBolsa!$D$2:$H$1118,2,0))</f>
        <v/>
      </c>
      <c r="E67" s="91" t="str">
        <f>IF(C67="","",VLOOKUP(C67,listaBolsa!$D$2:$H$1118,3,0))</f>
        <v/>
      </c>
      <c r="F67" s="92"/>
      <c r="G67" s="86" t="str">
        <f>IF(C67="","",VLOOKUP(C67,listaBolsa!$D$2:$H$1118,5,0))</f>
        <v/>
      </c>
      <c r="H67" s="89" t="str">
        <f>IF(C67="","",VLOOKUP(C67,listaBolsa!$D$2:$W$1118,10,0))</f>
        <v/>
      </c>
      <c r="I67" s="128" t="str">
        <f>IF(C67="","",VLOOKUP(C67,listaBolsa!$D$2:$W$1118,14,0))</f>
        <v/>
      </c>
      <c r="J67" s="129" t="e">
        <f t="shared" si="55"/>
        <v>#VALUE!</v>
      </c>
      <c r="K67" s="129" t="e">
        <f t="shared" si="56"/>
        <v>#VALUE!</v>
      </c>
      <c r="L67" s="129" t="str">
        <f t="shared" si="26"/>
        <v/>
      </c>
      <c r="M67" s="129" t="str">
        <f t="shared" si="27"/>
        <v/>
      </c>
      <c r="N67" s="90" t="str">
        <f>IF(C67="","",VLOOKUP(C67,listaBolsa!$D$2:$AZ$1276,23,0))</f>
        <v/>
      </c>
      <c r="O67" s="130" t="str">
        <f>IF(C67="","",VLOOKUP(C67,listaBolsa!$D$2:$AZ$1276,27,0))</f>
        <v/>
      </c>
      <c r="P67" s="131" t="e">
        <f t="shared" si="28"/>
        <v>#VALUE!</v>
      </c>
      <c r="Q67" s="131" t="e">
        <f t="shared" si="29"/>
        <v>#VALUE!</v>
      </c>
      <c r="R67" s="131" t="str">
        <f t="shared" si="30"/>
        <v/>
      </c>
      <c r="S67" s="131" t="str">
        <f t="shared" si="31"/>
        <v/>
      </c>
      <c r="T67" s="83" t="str">
        <f>IF(C67="","",VLOOKUP(C67,listaBolsa!$D$2:$BB$1276,36,0))</f>
        <v/>
      </c>
      <c r="U67" s="132" t="str">
        <f>IF(C67="","",VLOOKUP(C67,listaBolsa!$D$2:$BB$1276,40,0))</f>
        <v/>
      </c>
      <c r="V67" s="133" t="e">
        <f t="shared" si="32"/>
        <v>#VALUE!</v>
      </c>
      <c r="W67" s="133" t="e">
        <f t="shared" si="33"/>
        <v>#VALUE!</v>
      </c>
      <c r="X67" s="133" t="str">
        <f t="shared" si="34"/>
        <v/>
      </c>
      <c r="Y67" s="133" t="str">
        <f t="shared" si="35"/>
        <v/>
      </c>
      <c r="Z67" s="134" t="str">
        <f t="shared" si="51"/>
        <v/>
      </c>
      <c r="AA67" s="134" t="str">
        <f t="shared" si="52"/>
        <v/>
      </c>
      <c r="AB67" s="135" t="str">
        <f t="shared" si="53"/>
        <v/>
      </c>
      <c r="AC67" s="85" t="str">
        <f t="shared" si="54"/>
        <v/>
      </c>
      <c r="AD67" s="5"/>
      <c r="AF67" s="7" t="str">
        <f>IF(C67="","",VLOOKUP(C67,listaBolsa!$D$2:$BB$276,51,0))</f>
        <v/>
      </c>
      <c r="BG67" s="7">
        <v>57</v>
      </c>
      <c r="CA67" s="7" t="e">
        <f>VLOOKUP(C67,listaBolsa!$D$2:$BA$1248,1,0)</f>
        <v>#N/A</v>
      </c>
      <c r="CB67" s="7" t="e">
        <f>VLOOKUP(C67,listaBolsa!$D$2:$BA$1248,2,0)</f>
        <v>#N/A</v>
      </c>
      <c r="CC67" s="7" t="e">
        <f>VLOOKUP(C67,listaBolsa!$D$2:$BA$1248,10,0)</f>
        <v>#N/A</v>
      </c>
      <c r="CD67" s="7" t="e">
        <f>VLOOKUP(C67,listaBolsa!$D$2:$BA$1248,14,0)</f>
        <v>#N/A</v>
      </c>
      <c r="CE67" s="7" t="e">
        <f>VLOOKUP(C67,listaBolsa!$D$2:$BA$1248,23,0)</f>
        <v>#N/A</v>
      </c>
      <c r="CF67" s="7" t="e">
        <f>VLOOKUP(C67,listaBolsa!$D$2:$BA$1248,29,0)</f>
        <v>#N/A</v>
      </c>
      <c r="CG67" s="7" t="e">
        <f>VLOOKUP(C67,listaBolsa!$D$2:$BA$1248,36,0)</f>
        <v>#N/A</v>
      </c>
      <c r="CH67" s="7" t="e">
        <f>VLOOKUP(C67,listaBolsa!$D$2:$BA$1248,40,0)</f>
        <v>#N/A</v>
      </c>
      <c r="CI67" s="7" t="e">
        <f>VLOOKUP(C67,listaBolsa!$D$2:$BA$1248,48,0)</f>
        <v>#N/A</v>
      </c>
      <c r="CJ67" s="7" t="e">
        <f t="shared" si="57"/>
        <v>#N/A</v>
      </c>
      <c r="CK67" s="7" t="e">
        <f t="shared" si="58"/>
        <v>#N/A</v>
      </c>
      <c r="CL67" s="7" t="e">
        <f t="shared" si="59"/>
        <v>#N/A</v>
      </c>
      <c r="CM67" s="7" t="e">
        <f t="shared" si="60"/>
        <v>#N/A</v>
      </c>
      <c r="CN67" s="7" t="e">
        <f t="shared" si="61"/>
        <v>#N/A</v>
      </c>
      <c r="CO67" s="7" t="e">
        <f t="shared" si="62"/>
        <v>#N/A</v>
      </c>
      <c r="CP67" s="7" t="e">
        <f t="shared" si="63"/>
        <v>#N/A</v>
      </c>
      <c r="CQ67" s="7" t="e">
        <f t="shared" si="64"/>
        <v>#N/A</v>
      </c>
      <c r="CR67" s="7" t="e">
        <f t="shared" si="65"/>
        <v>#N/A</v>
      </c>
    </row>
    <row r="68" spans="1:96" s="7" customFormat="1" ht="21" hidden="1" x14ac:dyDescent="0.25">
      <c r="A68" s="75" t="str">
        <f t="shared" si="50"/>
        <v/>
      </c>
      <c r="B68" s="91"/>
      <c r="C68" s="82"/>
      <c r="D68" s="75" t="str">
        <f>IF(C68="","",VLOOKUP(C68,listaBolsa!$D$2:$H$1118,2,0))</f>
        <v/>
      </c>
      <c r="E68" s="91" t="str">
        <f>IF(C68="","",VLOOKUP(C68,listaBolsa!$D$2:$H$1118,3,0))</f>
        <v/>
      </c>
      <c r="F68" s="92"/>
      <c r="G68" s="86" t="str">
        <f>IF(C68="","",VLOOKUP(C68,listaBolsa!$D$2:$H$1118,5,0))</f>
        <v/>
      </c>
      <c r="H68" s="89" t="str">
        <f>IF(C68="","",VLOOKUP(C68,listaBolsa!$D$2:$W$1118,10,0))</f>
        <v/>
      </c>
      <c r="I68" s="128" t="str">
        <f>IF(C68="","",VLOOKUP(C68,listaBolsa!$D$2:$W$1118,14,0))</f>
        <v/>
      </c>
      <c r="J68" s="129" t="e">
        <f t="shared" si="55"/>
        <v>#VALUE!</v>
      </c>
      <c r="K68" s="129" t="e">
        <f t="shared" si="56"/>
        <v>#VALUE!</v>
      </c>
      <c r="L68" s="129" t="str">
        <f t="shared" si="26"/>
        <v/>
      </c>
      <c r="M68" s="129" t="str">
        <f t="shared" si="27"/>
        <v/>
      </c>
      <c r="N68" s="90" t="str">
        <f>IF(C68="","",VLOOKUP(C68,listaBolsa!$D$2:$AZ$1276,23,0))</f>
        <v/>
      </c>
      <c r="O68" s="130" t="str">
        <f>IF(C68="","",VLOOKUP(C68,listaBolsa!$D$2:$AZ$1276,27,0))</f>
        <v/>
      </c>
      <c r="P68" s="131" t="e">
        <f t="shared" si="28"/>
        <v>#VALUE!</v>
      </c>
      <c r="Q68" s="131" t="e">
        <f t="shared" si="29"/>
        <v>#VALUE!</v>
      </c>
      <c r="R68" s="131" t="str">
        <f t="shared" si="30"/>
        <v/>
      </c>
      <c r="S68" s="131" t="str">
        <f t="shared" si="31"/>
        <v/>
      </c>
      <c r="T68" s="83" t="str">
        <f>IF(C68="","",VLOOKUP(C68,listaBolsa!$D$2:$BB$1276,36,0))</f>
        <v/>
      </c>
      <c r="U68" s="132" t="str">
        <f>IF(C68="","",VLOOKUP(C68,listaBolsa!$D$2:$BB$1276,40,0))</f>
        <v/>
      </c>
      <c r="V68" s="133" t="e">
        <f t="shared" si="32"/>
        <v>#VALUE!</v>
      </c>
      <c r="W68" s="133" t="e">
        <f t="shared" si="33"/>
        <v>#VALUE!</v>
      </c>
      <c r="X68" s="133" t="str">
        <f t="shared" si="34"/>
        <v/>
      </c>
      <c r="Y68" s="133" t="str">
        <f t="shared" si="35"/>
        <v/>
      </c>
      <c r="Z68" s="134" t="str">
        <f t="shared" si="51"/>
        <v/>
      </c>
      <c r="AA68" s="134" t="str">
        <f t="shared" si="52"/>
        <v/>
      </c>
      <c r="AB68" s="135" t="str">
        <f t="shared" si="53"/>
        <v/>
      </c>
      <c r="AC68" s="85" t="str">
        <f t="shared" si="54"/>
        <v/>
      </c>
      <c r="AD68" s="5"/>
      <c r="AF68" s="7" t="str">
        <f>IF(C68="","",VLOOKUP(C68,listaBolsa!$D$2:$BB$276,51,0))</f>
        <v/>
      </c>
      <c r="BG68" s="7">
        <v>58</v>
      </c>
      <c r="CA68" s="7" t="e">
        <f>VLOOKUP(C68,listaBolsa!$D$2:$BA$1248,1,0)</f>
        <v>#N/A</v>
      </c>
      <c r="CB68" s="7" t="e">
        <f>VLOOKUP(C68,listaBolsa!$D$2:$BA$1248,2,0)</f>
        <v>#N/A</v>
      </c>
      <c r="CC68" s="7" t="e">
        <f>VLOOKUP(C68,listaBolsa!$D$2:$BA$1248,10,0)</f>
        <v>#N/A</v>
      </c>
      <c r="CD68" s="7" t="e">
        <f>VLOOKUP(C68,listaBolsa!$D$2:$BA$1248,14,0)</f>
        <v>#N/A</v>
      </c>
      <c r="CE68" s="7" t="e">
        <f>VLOOKUP(C68,listaBolsa!$D$2:$BA$1248,23,0)</f>
        <v>#N/A</v>
      </c>
      <c r="CF68" s="7" t="e">
        <f>VLOOKUP(C68,listaBolsa!$D$2:$BA$1248,29,0)</f>
        <v>#N/A</v>
      </c>
      <c r="CG68" s="7" t="e">
        <f>VLOOKUP(C68,listaBolsa!$D$2:$BA$1248,36,0)</f>
        <v>#N/A</v>
      </c>
      <c r="CH68" s="7" t="e">
        <f>VLOOKUP(C68,listaBolsa!$D$2:$BA$1248,40,0)</f>
        <v>#N/A</v>
      </c>
      <c r="CI68" s="7" t="e">
        <f>VLOOKUP(C68,listaBolsa!$D$2:$BA$1248,48,0)</f>
        <v>#N/A</v>
      </c>
      <c r="CJ68" s="7" t="e">
        <f t="shared" si="57"/>
        <v>#N/A</v>
      </c>
      <c r="CK68" s="7" t="e">
        <f t="shared" si="58"/>
        <v>#N/A</v>
      </c>
      <c r="CL68" s="7" t="e">
        <f t="shared" si="59"/>
        <v>#N/A</v>
      </c>
      <c r="CM68" s="7" t="e">
        <f t="shared" si="60"/>
        <v>#N/A</v>
      </c>
      <c r="CN68" s="7" t="e">
        <f t="shared" si="61"/>
        <v>#N/A</v>
      </c>
      <c r="CO68" s="7" t="e">
        <f t="shared" si="62"/>
        <v>#N/A</v>
      </c>
      <c r="CP68" s="7" t="e">
        <f t="shared" si="63"/>
        <v>#N/A</v>
      </c>
      <c r="CQ68" s="7" t="e">
        <f t="shared" si="64"/>
        <v>#N/A</v>
      </c>
      <c r="CR68" s="7" t="e">
        <f t="shared" si="65"/>
        <v>#N/A</v>
      </c>
    </row>
    <row r="69" spans="1:96" s="7" customFormat="1" ht="21" hidden="1" x14ac:dyDescent="0.25">
      <c r="A69" s="75" t="str">
        <f t="shared" si="50"/>
        <v/>
      </c>
      <c r="B69" s="91"/>
      <c r="C69" s="82"/>
      <c r="D69" s="75" t="str">
        <f>IF(C69="","",VLOOKUP(C69,listaBolsa!$D$2:$H$1118,2,0))</f>
        <v/>
      </c>
      <c r="E69" s="91" t="str">
        <f>IF(C69="","",VLOOKUP(C69,listaBolsa!$D$2:$H$1118,3,0))</f>
        <v/>
      </c>
      <c r="F69" s="92"/>
      <c r="G69" s="86" t="str">
        <f>IF(C69="","",VLOOKUP(C69,listaBolsa!$D$2:$H$1118,5,0))</f>
        <v/>
      </c>
      <c r="H69" s="89" t="str">
        <f>IF(C69="","",VLOOKUP(C69,listaBolsa!$D$2:$W$1118,10,0))</f>
        <v/>
      </c>
      <c r="I69" s="128" t="str">
        <f>IF(C69="","",VLOOKUP(C69,listaBolsa!$D$2:$W$1118,14,0))</f>
        <v/>
      </c>
      <c r="J69" s="129" t="e">
        <f t="shared" si="55"/>
        <v>#VALUE!</v>
      </c>
      <c r="K69" s="129" t="e">
        <f t="shared" si="56"/>
        <v>#VALUE!</v>
      </c>
      <c r="L69" s="129" t="str">
        <f t="shared" si="26"/>
        <v/>
      </c>
      <c r="M69" s="129" t="str">
        <f t="shared" si="27"/>
        <v/>
      </c>
      <c r="N69" s="90" t="str">
        <f>IF(C69="","",VLOOKUP(C69,listaBolsa!$D$2:$AZ$1276,23,0))</f>
        <v/>
      </c>
      <c r="O69" s="130" t="str">
        <f>IF(C69="","",VLOOKUP(C69,listaBolsa!$D$2:$AZ$1276,27,0))</f>
        <v/>
      </c>
      <c r="P69" s="131" t="e">
        <f t="shared" si="28"/>
        <v>#VALUE!</v>
      </c>
      <c r="Q69" s="131" t="e">
        <f t="shared" si="29"/>
        <v>#VALUE!</v>
      </c>
      <c r="R69" s="131" t="str">
        <f t="shared" si="30"/>
        <v/>
      </c>
      <c r="S69" s="131" t="str">
        <f t="shared" si="31"/>
        <v/>
      </c>
      <c r="T69" s="83" t="str">
        <f>IF(C69="","",VLOOKUP(C69,listaBolsa!$D$2:$BB$1276,36,0))</f>
        <v/>
      </c>
      <c r="U69" s="132" t="str">
        <f>IF(C69="","",VLOOKUP(C69,listaBolsa!$D$2:$BB$1276,40,0))</f>
        <v/>
      </c>
      <c r="V69" s="133" t="e">
        <f t="shared" si="32"/>
        <v>#VALUE!</v>
      </c>
      <c r="W69" s="133" t="e">
        <f t="shared" si="33"/>
        <v>#VALUE!</v>
      </c>
      <c r="X69" s="133" t="str">
        <f t="shared" si="34"/>
        <v/>
      </c>
      <c r="Y69" s="133" t="str">
        <f t="shared" si="35"/>
        <v/>
      </c>
      <c r="Z69" s="134" t="str">
        <f t="shared" si="51"/>
        <v/>
      </c>
      <c r="AA69" s="134" t="str">
        <f t="shared" si="52"/>
        <v/>
      </c>
      <c r="AB69" s="135" t="str">
        <f t="shared" si="53"/>
        <v/>
      </c>
      <c r="AC69" s="85" t="str">
        <f t="shared" si="54"/>
        <v/>
      </c>
      <c r="AD69" s="5"/>
      <c r="AF69" s="7" t="str">
        <f>IF(C69="","",VLOOKUP(C69,listaBolsa!$D$2:$BB$276,51,0))</f>
        <v/>
      </c>
      <c r="BG69" s="7">
        <v>59</v>
      </c>
      <c r="CA69" s="7" t="e">
        <f>VLOOKUP(C69,listaBolsa!$D$2:$BA$1248,1,0)</f>
        <v>#N/A</v>
      </c>
      <c r="CB69" s="7" t="e">
        <f>VLOOKUP(C69,listaBolsa!$D$2:$BA$1248,2,0)</f>
        <v>#N/A</v>
      </c>
      <c r="CC69" s="7" t="e">
        <f>VLOOKUP(C69,listaBolsa!$D$2:$BA$1248,10,0)</f>
        <v>#N/A</v>
      </c>
      <c r="CD69" s="7" t="e">
        <f>VLOOKUP(C69,listaBolsa!$D$2:$BA$1248,14,0)</f>
        <v>#N/A</v>
      </c>
      <c r="CE69" s="7" t="e">
        <f>VLOOKUP(C69,listaBolsa!$D$2:$BA$1248,23,0)</f>
        <v>#N/A</v>
      </c>
      <c r="CF69" s="7" t="e">
        <f>VLOOKUP(C69,listaBolsa!$D$2:$BA$1248,29,0)</f>
        <v>#N/A</v>
      </c>
      <c r="CG69" s="7" t="e">
        <f>VLOOKUP(C69,listaBolsa!$D$2:$BA$1248,36,0)</f>
        <v>#N/A</v>
      </c>
      <c r="CH69" s="7" t="e">
        <f>VLOOKUP(C69,listaBolsa!$D$2:$BA$1248,40,0)</f>
        <v>#N/A</v>
      </c>
      <c r="CI69" s="7" t="e">
        <f>VLOOKUP(C69,listaBolsa!$D$2:$BA$1248,48,0)</f>
        <v>#N/A</v>
      </c>
      <c r="CJ69" s="7" t="e">
        <f t="shared" si="57"/>
        <v>#N/A</v>
      </c>
      <c r="CK69" s="7" t="e">
        <f t="shared" si="58"/>
        <v>#N/A</v>
      </c>
      <c r="CL69" s="7" t="e">
        <f t="shared" si="59"/>
        <v>#N/A</v>
      </c>
      <c r="CM69" s="7" t="e">
        <f t="shared" si="60"/>
        <v>#N/A</v>
      </c>
      <c r="CN69" s="7" t="e">
        <f t="shared" si="61"/>
        <v>#N/A</v>
      </c>
      <c r="CO69" s="7" t="e">
        <f t="shared" si="62"/>
        <v>#N/A</v>
      </c>
      <c r="CP69" s="7" t="e">
        <f t="shared" si="63"/>
        <v>#N/A</v>
      </c>
      <c r="CQ69" s="7" t="e">
        <f t="shared" si="64"/>
        <v>#N/A</v>
      </c>
      <c r="CR69" s="7" t="e">
        <f t="shared" si="65"/>
        <v>#N/A</v>
      </c>
    </row>
    <row r="70" spans="1:96" s="7" customFormat="1" ht="21" hidden="1" x14ac:dyDescent="0.25">
      <c r="A70" s="75" t="str">
        <f t="shared" si="50"/>
        <v/>
      </c>
      <c r="B70" s="91"/>
      <c r="C70" s="82"/>
      <c r="D70" s="75" t="str">
        <f>IF(C70="","",VLOOKUP(C70,listaBolsa!$D$2:$H$1118,2,0))</f>
        <v/>
      </c>
      <c r="E70" s="91" t="str">
        <f>IF(C70="","",VLOOKUP(C70,listaBolsa!$D$2:$H$1118,3,0))</f>
        <v/>
      </c>
      <c r="F70" s="92"/>
      <c r="G70" s="86" t="str">
        <f>IF(C70="","",VLOOKUP(C70,listaBolsa!$D$2:$H$1118,5,0))</f>
        <v/>
      </c>
      <c r="H70" s="89" t="str">
        <f>IF(C70="","",VLOOKUP(C70,listaBolsa!$D$2:$W$1118,10,0))</f>
        <v/>
      </c>
      <c r="I70" s="128" t="str">
        <f>IF(C70="","",VLOOKUP(C70,listaBolsa!$D$2:$W$1118,14,0))</f>
        <v/>
      </c>
      <c r="J70" s="129" t="e">
        <f t="shared" si="55"/>
        <v>#VALUE!</v>
      </c>
      <c r="K70" s="129" t="e">
        <f t="shared" si="56"/>
        <v>#VALUE!</v>
      </c>
      <c r="L70" s="129" t="str">
        <f t="shared" si="26"/>
        <v/>
      </c>
      <c r="M70" s="129" t="str">
        <f t="shared" si="27"/>
        <v/>
      </c>
      <c r="N70" s="90" t="str">
        <f>IF(C70="","",VLOOKUP(C70,listaBolsa!$D$2:$AZ$1276,23,0))</f>
        <v/>
      </c>
      <c r="O70" s="130" t="str">
        <f>IF(C70="","",VLOOKUP(C70,listaBolsa!$D$2:$AZ$1276,27,0))</f>
        <v/>
      </c>
      <c r="P70" s="131" t="e">
        <f t="shared" si="28"/>
        <v>#VALUE!</v>
      </c>
      <c r="Q70" s="131" t="e">
        <f t="shared" si="29"/>
        <v>#VALUE!</v>
      </c>
      <c r="R70" s="131" t="str">
        <f t="shared" si="30"/>
        <v/>
      </c>
      <c r="S70" s="131" t="str">
        <f t="shared" si="31"/>
        <v/>
      </c>
      <c r="T70" s="83" t="str">
        <f>IF(C70="","",VLOOKUP(C70,listaBolsa!$D$2:$BB$1276,36,0))</f>
        <v/>
      </c>
      <c r="U70" s="132" t="str">
        <f>IF(C70="","",VLOOKUP(C70,listaBolsa!$D$2:$BB$1276,40,0))</f>
        <v/>
      </c>
      <c r="V70" s="133" t="e">
        <f t="shared" si="32"/>
        <v>#VALUE!</v>
      </c>
      <c r="W70" s="133" t="e">
        <f t="shared" si="33"/>
        <v>#VALUE!</v>
      </c>
      <c r="X70" s="133" t="str">
        <f t="shared" si="34"/>
        <v/>
      </c>
      <c r="Y70" s="133" t="str">
        <f t="shared" si="35"/>
        <v/>
      </c>
      <c r="Z70" s="134" t="str">
        <f t="shared" si="51"/>
        <v/>
      </c>
      <c r="AA70" s="134" t="str">
        <f t="shared" si="52"/>
        <v/>
      </c>
      <c r="AB70" s="135" t="str">
        <f t="shared" si="53"/>
        <v/>
      </c>
      <c r="AC70" s="85" t="str">
        <f t="shared" si="54"/>
        <v/>
      </c>
      <c r="AD70" s="5"/>
      <c r="AF70" s="7" t="str">
        <f>IF(C70="","",VLOOKUP(C70,listaBolsa!$D$2:$BB$276,51,0))</f>
        <v/>
      </c>
      <c r="BG70" s="7">
        <v>60</v>
      </c>
      <c r="CA70" s="7" t="e">
        <f>VLOOKUP(C70,listaBolsa!$D$2:$BA$1248,1,0)</f>
        <v>#N/A</v>
      </c>
      <c r="CB70" s="7" t="e">
        <f>VLOOKUP(C70,listaBolsa!$D$2:$BA$1248,2,0)</f>
        <v>#N/A</v>
      </c>
      <c r="CC70" s="7" t="e">
        <f>VLOOKUP(C70,listaBolsa!$D$2:$BA$1248,10,0)</f>
        <v>#N/A</v>
      </c>
      <c r="CD70" s="7" t="e">
        <f>VLOOKUP(C70,listaBolsa!$D$2:$BA$1248,14,0)</f>
        <v>#N/A</v>
      </c>
      <c r="CE70" s="7" t="e">
        <f>VLOOKUP(C70,listaBolsa!$D$2:$BA$1248,23,0)</f>
        <v>#N/A</v>
      </c>
      <c r="CF70" s="7" t="e">
        <f>VLOOKUP(C70,listaBolsa!$D$2:$BA$1248,29,0)</f>
        <v>#N/A</v>
      </c>
      <c r="CG70" s="7" t="e">
        <f>VLOOKUP(C70,listaBolsa!$D$2:$BA$1248,36,0)</f>
        <v>#N/A</v>
      </c>
      <c r="CH70" s="7" t="e">
        <f>VLOOKUP(C70,listaBolsa!$D$2:$BA$1248,40,0)</f>
        <v>#N/A</v>
      </c>
      <c r="CI70" s="7" t="e">
        <f>VLOOKUP(C70,listaBolsa!$D$2:$BA$1248,48,0)</f>
        <v>#N/A</v>
      </c>
      <c r="CJ70" s="7" t="e">
        <f t="shared" si="57"/>
        <v>#N/A</v>
      </c>
      <c r="CK70" s="7" t="e">
        <f t="shared" si="58"/>
        <v>#N/A</v>
      </c>
      <c r="CL70" s="7" t="e">
        <f t="shared" si="59"/>
        <v>#N/A</v>
      </c>
      <c r="CM70" s="7" t="e">
        <f t="shared" si="60"/>
        <v>#N/A</v>
      </c>
      <c r="CN70" s="7" t="e">
        <f t="shared" si="61"/>
        <v>#N/A</v>
      </c>
      <c r="CO70" s="7" t="e">
        <f t="shared" si="62"/>
        <v>#N/A</v>
      </c>
      <c r="CP70" s="7" t="e">
        <f t="shared" si="63"/>
        <v>#N/A</v>
      </c>
      <c r="CQ70" s="7" t="e">
        <f t="shared" si="64"/>
        <v>#N/A</v>
      </c>
      <c r="CR70" s="7" t="e">
        <f t="shared" si="65"/>
        <v>#N/A</v>
      </c>
    </row>
    <row r="71" spans="1:96" s="7" customFormat="1" ht="21" hidden="1" x14ac:dyDescent="0.25">
      <c r="A71" s="75" t="str">
        <f t="shared" si="50"/>
        <v/>
      </c>
      <c r="B71" s="91"/>
      <c r="C71" s="82"/>
      <c r="D71" s="75" t="str">
        <f>IF(C71="","",VLOOKUP(C71,listaBolsa!$D$2:$H$1118,2,0))</f>
        <v/>
      </c>
      <c r="E71" s="91" t="str">
        <f>IF(C71="","",VLOOKUP(C71,listaBolsa!$D$2:$H$1118,3,0))</f>
        <v/>
      </c>
      <c r="F71" s="92"/>
      <c r="G71" s="86" t="str">
        <f>IF(C71="","",VLOOKUP(C71,listaBolsa!$D$2:$H$1118,5,0))</f>
        <v/>
      </c>
      <c r="H71" s="89" t="str">
        <f>IF(C71="","",VLOOKUP(C71,listaBolsa!$D$2:$W$1118,10,0))</f>
        <v/>
      </c>
      <c r="I71" s="128" t="str">
        <f>IF(C71="","",VLOOKUP(C71,listaBolsa!$D$2:$W$1118,14,0))</f>
        <v/>
      </c>
      <c r="J71" s="129" t="e">
        <f t="shared" si="55"/>
        <v>#VALUE!</v>
      </c>
      <c r="K71" s="129" t="e">
        <f t="shared" si="56"/>
        <v>#VALUE!</v>
      </c>
      <c r="L71" s="129" t="str">
        <f t="shared" si="26"/>
        <v/>
      </c>
      <c r="M71" s="129" t="str">
        <f t="shared" si="27"/>
        <v/>
      </c>
      <c r="N71" s="90" t="str">
        <f>IF(C71="","",VLOOKUP(C71,listaBolsa!$D$2:$AZ$1276,23,0))</f>
        <v/>
      </c>
      <c r="O71" s="130" t="str">
        <f>IF(C71="","",VLOOKUP(C71,listaBolsa!$D$2:$AZ$1276,27,0))</f>
        <v/>
      </c>
      <c r="P71" s="131" t="e">
        <f t="shared" si="28"/>
        <v>#VALUE!</v>
      </c>
      <c r="Q71" s="131" t="e">
        <f t="shared" si="29"/>
        <v>#VALUE!</v>
      </c>
      <c r="R71" s="131" t="str">
        <f t="shared" si="30"/>
        <v/>
      </c>
      <c r="S71" s="131" t="str">
        <f t="shared" si="31"/>
        <v/>
      </c>
      <c r="T71" s="83" t="str">
        <f>IF(C71="","",VLOOKUP(C71,listaBolsa!$D$2:$BB$1276,36,0))</f>
        <v/>
      </c>
      <c r="U71" s="132" t="str">
        <f>IF(C71="","",VLOOKUP(C71,listaBolsa!$D$2:$BB$1276,40,0))</f>
        <v/>
      </c>
      <c r="V71" s="133" t="e">
        <f t="shared" si="32"/>
        <v>#VALUE!</v>
      </c>
      <c r="W71" s="133" t="e">
        <f t="shared" si="33"/>
        <v>#VALUE!</v>
      </c>
      <c r="X71" s="133" t="str">
        <f t="shared" si="34"/>
        <v/>
      </c>
      <c r="Y71" s="133" t="str">
        <f t="shared" si="35"/>
        <v/>
      </c>
      <c r="Z71" s="134" t="str">
        <f t="shared" si="51"/>
        <v/>
      </c>
      <c r="AA71" s="134" t="str">
        <f t="shared" si="52"/>
        <v/>
      </c>
      <c r="AB71" s="135" t="str">
        <f t="shared" si="53"/>
        <v/>
      </c>
      <c r="AC71" s="85" t="str">
        <f t="shared" si="54"/>
        <v/>
      </c>
      <c r="AD71" s="5"/>
      <c r="AF71" s="7" t="str">
        <f>IF(C71="","",VLOOKUP(C71,listaBolsa!$D$2:$BB$276,51,0))</f>
        <v/>
      </c>
      <c r="BG71" s="7">
        <v>61</v>
      </c>
      <c r="CA71" s="7" t="e">
        <f>VLOOKUP(C71,listaBolsa!$D$2:$BA$1248,1,0)</f>
        <v>#N/A</v>
      </c>
      <c r="CB71" s="7" t="e">
        <f>VLOOKUP(C71,listaBolsa!$D$2:$BA$1248,2,0)</f>
        <v>#N/A</v>
      </c>
      <c r="CC71" s="7" t="e">
        <f>VLOOKUP(C71,listaBolsa!$D$2:$BA$1248,10,0)</f>
        <v>#N/A</v>
      </c>
      <c r="CD71" s="7" t="e">
        <f>VLOOKUP(C71,listaBolsa!$D$2:$BA$1248,14,0)</f>
        <v>#N/A</v>
      </c>
      <c r="CE71" s="7" t="e">
        <f>VLOOKUP(C71,listaBolsa!$D$2:$BA$1248,23,0)</f>
        <v>#N/A</v>
      </c>
      <c r="CF71" s="7" t="e">
        <f>VLOOKUP(C71,listaBolsa!$D$2:$BA$1248,29,0)</f>
        <v>#N/A</v>
      </c>
      <c r="CG71" s="7" t="e">
        <f>VLOOKUP(C71,listaBolsa!$D$2:$BA$1248,36,0)</f>
        <v>#N/A</v>
      </c>
      <c r="CH71" s="7" t="e">
        <f>VLOOKUP(C71,listaBolsa!$D$2:$BA$1248,40,0)</f>
        <v>#N/A</v>
      </c>
      <c r="CI71" s="7" t="e">
        <f>VLOOKUP(C71,listaBolsa!$D$2:$BA$1248,48,0)</f>
        <v>#N/A</v>
      </c>
      <c r="CJ71" s="7" t="e">
        <f t="shared" si="57"/>
        <v>#N/A</v>
      </c>
      <c r="CK71" s="7" t="e">
        <f t="shared" si="58"/>
        <v>#N/A</v>
      </c>
      <c r="CL71" s="7" t="e">
        <f t="shared" si="59"/>
        <v>#N/A</v>
      </c>
      <c r="CM71" s="7" t="e">
        <f t="shared" si="60"/>
        <v>#N/A</v>
      </c>
      <c r="CN71" s="7" t="e">
        <f t="shared" si="61"/>
        <v>#N/A</v>
      </c>
      <c r="CO71" s="7" t="e">
        <f t="shared" si="62"/>
        <v>#N/A</v>
      </c>
      <c r="CP71" s="7" t="e">
        <f t="shared" si="63"/>
        <v>#N/A</v>
      </c>
      <c r="CQ71" s="7" t="e">
        <f t="shared" si="64"/>
        <v>#N/A</v>
      </c>
      <c r="CR71" s="7" t="e">
        <f t="shared" si="65"/>
        <v>#N/A</v>
      </c>
    </row>
    <row r="72" spans="1:96" s="7" customFormat="1" ht="21" hidden="1" x14ac:dyDescent="0.25">
      <c r="A72" s="75" t="str">
        <f t="shared" si="50"/>
        <v/>
      </c>
      <c r="B72" s="91"/>
      <c r="C72" s="82"/>
      <c r="D72" s="75" t="str">
        <f>IF(C72="","",VLOOKUP(C72,listaBolsa!$D$2:$H$1118,2,0))</f>
        <v/>
      </c>
      <c r="E72" s="91" t="str">
        <f>IF(C72="","",VLOOKUP(C72,listaBolsa!$D$2:$H$1118,3,0))</f>
        <v/>
      </c>
      <c r="F72" s="92"/>
      <c r="G72" s="86" t="str">
        <f>IF(C72="","",VLOOKUP(C72,listaBolsa!$D$2:$H$1118,5,0))</f>
        <v/>
      </c>
      <c r="H72" s="89" t="str">
        <f>IF(C72="","",VLOOKUP(C72,listaBolsa!$D$2:$W$1118,10,0))</f>
        <v/>
      </c>
      <c r="I72" s="128" t="str">
        <f>IF(C72="","",VLOOKUP(C72,listaBolsa!$D$2:$W$1118,14,0))</f>
        <v/>
      </c>
      <c r="J72" s="129" t="e">
        <f t="shared" si="55"/>
        <v>#VALUE!</v>
      </c>
      <c r="K72" s="129" t="e">
        <f t="shared" si="56"/>
        <v>#VALUE!</v>
      </c>
      <c r="L72" s="129" t="str">
        <f t="shared" si="26"/>
        <v/>
      </c>
      <c r="M72" s="129" t="str">
        <f t="shared" si="27"/>
        <v/>
      </c>
      <c r="N72" s="90" t="str">
        <f>IF(C72="","",VLOOKUP(C72,listaBolsa!$D$2:$AZ$1276,23,0))</f>
        <v/>
      </c>
      <c r="O72" s="130" t="str">
        <f>IF(C72="","",VLOOKUP(C72,listaBolsa!$D$2:$AZ$1276,27,0))</f>
        <v/>
      </c>
      <c r="P72" s="131" t="e">
        <f t="shared" si="28"/>
        <v>#VALUE!</v>
      </c>
      <c r="Q72" s="131" t="e">
        <f t="shared" si="29"/>
        <v>#VALUE!</v>
      </c>
      <c r="R72" s="131" t="str">
        <f t="shared" si="30"/>
        <v/>
      </c>
      <c r="S72" s="131" t="str">
        <f t="shared" si="31"/>
        <v/>
      </c>
      <c r="T72" s="83" t="str">
        <f>IF(C72="","",VLOOKUP(C72,listaBolsa!$D$2:$BB$1276,36,0))</f>
        <v/>
      </c>
      <c r="U72" s="132" t="str">
        <f>IF(C72="","",VLOOKUP(C72,listaBolsa!$D$2:$BB$1276,40,0))</f>
        <v/>
      </c>
      <c r="V72" s="133" t="e">
        <f t="shared" si="32"/>
        <v>#VALUE!</v>
      </c>
      <c r="W72" s="133" t="e">
        <f t="shared" si="33"/>
        <v>#VALUE!</v>
      </c>
      <c r="X72" s="133" t="str">
        <f t="shared" si="34"/>
        <v/>
      </c>
      <c r="Y72" s="133" t="str">
        <f t="shared" si="35"/>
        <v/>
      </c>
      <c r="Z72" s="134" t="str">
        <f t="shared" si="51"/>
        <v/>
      </c>
      <c r="AA72" s="134" t="str">
        <f t="shared" si="52"/>
        <v/>
      </c>
      <c r="AB72" s="135" t="str">
        <f t="shared" si="53"/>
        <v/>
      </c>
      <c r="AC72" s="85" t="str">
        <f t="shared" si="54"/>
        <v/>
      </c>
      <c r="AD72" s="5"/>
      <c r="AF72" s="7" t="str">
        <f>IF(C72="","",VLOOKUP(C72,listaBolsa!$D$2:$BB$276,51,0))</f>
        <v/>
      </c>
      <c r="BG72" s="7">
        <v>62</v>
      </c>
      <c r="CA72" s="7" t="e">
        <f>VLOOKUP(C72,listaBolsa!$D$2:$BA$1248,1,0)</f>
        <v>#N/A</v>
      </c>
      <c r="CB72" s="7" t="e">
        <f>VLOOKUP(C72,listaBolsa!$D$2:$BA$1248,2,0)</f>
        <v>#N/A</v>
      </c>
      <c r="CC72" s="7" t="e">
        <f>VLOOKUP(C72,listaBolsa!$D$2:$BA$1248,10,0)</f>
        <v>#N/A</v>
      </c>
      <c r="CD72" s="7" t="e">
        <f>VLOOKUP(C72,listaBolsa!$D$2:$BA$1248,14,0)</f>
        <v>#N/A</v>
      </c>
      <c r="CE72" s="7" t="e">
        <f>VLOOKUP(C72,listaBolsa!$D$2:$BA$1248,23,0)</f>
        <v>#N/A</v>
      </c>
      <c r="CF72" s="7" t="e">
        <f>VLOOKUP(C72,listaBolsa!$D$2:$BA$1248,29,0)</f>
        <v>#N/A</v>
      </c>
      <c r="CG72" s="7" t="e">
        <f>VLOOKUP(C72,listaBolsa!$D$2:$BA$1248,36,0)</f>
        <v>#N/A</v>
      </c>
      <c r="CH72" s="7" t="e">
        <f>VLOOKUP(C72,listaBolsa!$D$2:$BA$1248,40,0)</f>
        <v>#N/A</v>
      </c>
      <c r="CI72" s="7" t="e">
        <f>VLOOKUP(C72,listaBolsa!$D$2:$BA$1248,48,0)</f>
        <v>#N/A</v>
      </c>
      <c r="CJ72" s="7" t="e">
        <f t="shared" si="57"/>
        <v>#N/A</v>
      </c>
      <c r="CK72" s="7" t="e">
        <f t="shared" si="58"/>
        <v>#N/A</v>
      </c>
      <c r="CL72" s="7" t="e">
        <f t="shared" si="59"/>
        <v>#N/A</v>
      </c>
      <c r="CM72" s="7" t="e">
        <f t="shared" si="60"/>
        <v>#N/A</v>
      </c>
      <c r="CN72" s="7" t="e">
        <f t="shared" si="61"/>
        <v>#N/A</v>
      </c>
      <c r="CO72" s="7" t="e">
        <f t="shared" si="62"/>
        <v>#N/A</v>
      </c>
      <c r="CP72" s="7" t="e">
        <f t="shared" si="63"/>
        <v>#N/A</v>
      </c>
      <c r="CQ72" s="7" t="e">
        <f t="shared" si="64"/>
        <v>#N/A</v>
      </c>
      <c r="CR72" s="7" t="e">
        <f t="shared" si="65"/>
        <v>#N/A</v>
      </c>
    </row>
    <row r="73" spans="1:96" s="7" customFormat="1" ht="21" hidden="1" x14ac:dyDescent="0.25">
      <c r="A73" s="75" t="str">
        <f t="shared" si="50"/>
        <v/>
      </c>
      <c r="B73" s="91"/>
      <c r="C73" s="82"/>
      <c r="D73" s="75" t="str">
        <f>IF(C73="","",VLOOKUP(C73,listaBolsa!$D$2:$H$1118,2,0))</f>
        <v/>
      </c>
      <c r="E73" s="91" t="str">
        <f>IF(C73="","",VLOOKUP(C73,listaBolsa!$D$2:$H$1118,3,0))</f>
        <v/>
      </c>
      <c r="F73" s="92"/>
      <c r="G73" s="86" t="str">
        <f>IF(C73="","",VLOOKUP(C73,listaBolsa!$D$2:$H$1118,5,0))</f>
        <v/>
      </c>
      <c r="H73" s="89" t="str">
        <f>IF(C73="","",VLOOKUP(C73,listaBolsa!$D$2:$W$1118,10,0))</f>
        <v/>
      </c>
      <c r="I73" s="128" t="str">
        <f>IF(C73="","",VLOOKUP(C73,listaBolsa!$D$2:$W$1118,14,0))</f>
        <v/>
      </c>
      <c r="J73" s="129" t="e">
        <f t="shared" si="55"/>
        <v>#VALUE!</v>
      </c>
      <c r="K73" s="129" t="e">
        <f t="shared" si="56"/>
        <v>#VALUE!</v>
      </c>
      <c r="L73" s="129" t="str">
        <f t="shared" si="26"/>
        <v/>
      </c>
      <c r="M73" s="129" t="str">
        <f t="shared" si="27"/>
        <v/>
      </c>
      <c r="N73" s="90" t="str">
        <f>IF(C73="","",VLOOKUP(C73,listaBolsa!$D$2:$AZ$1276,23,0))</f>
        <v/>
      </c>
      <c r="O73" s="130" t="str">
        <f>IF(C73="","",VLOOKUP(C73,listaBolsa!$D$2:$AZ$1276,27,0))</f>
        <v/>
      </c>
      <c r="P73" s="131" t="e">
        <f t="shared" si="28"/>
        <v>#VALUE!</v>
      </c>
      <c r="Q73" s="131" t="e">
        <f t="shared" si="29"/>
        <v>#VALUE!</v>
      </c>
      <c r="R73" s="131" t="str">
        <f t="shared" si="30"/>
        <v/>
      </c>
      <c r="S73" s="131" t="str">
        <f t="shared" si="31"/>
        <v/>
      </c>
      <c r="T73" s="83" t="str">
        <f>IF(C73="","",VLOOKUP(C73,listaBolsa!$D$2:$BB$1276,36,0))</f>
        <v/>
      </c>
      <c r="U73" s="132" t="str">
        <f>IF(C73="","",VLOOKUP(C73,listaBolsa!$D$2:$BB$1276,40,0))</f>
        <v/>
      </c>
      <c r="V73" s="133" t="e">
        <f t="shared" si="32"/>
        <v>#VALUE!</v>
      </c>
      <c r="W73" s="133" t="e">
        <f t="shared" si="33"/>
        <v>#VALUE!</v>
      </c>
      <c r="X73" s="133" t="str">
        <f t="shared" si="34"/>
        <v/>
      </c>
      <c r="Y73" s="133" t="str">
        <f t="shared" si="35"/>
        <v/>
      </c>
      <c r="Z73" s="134" t="str">
        <f t="shared" si="51"/>
        <v/>
      </c>
      <c r="AA73" s="134" t="str">
        <f t="shared" si="52"/>
        <v/>
      </c>
      <c r="AB73" s="135" t="str">
        <f t="shared" si="53"/>
        <v/>
      </c>
      <c r="AC73" s="85" t="str">
        <f t="shared" si="54"/>
        <v/>
      </c>
      <c r="AD73" s="5"/>
      <c r="AF73" s="7" t="str">
        <f>IF(C73="","",VLOOKUP(C73,listaBolsa!$D$2:$BB$276,51,0))</f>
        <v/>
      </c>
      <c r="BG73" s="7">
        <v>63</v>
      </c>
      <c r="CA73" s="7" t="e">
        <f>VLOOKUP(C73,listaBolsa!$D$2:$BA$1248,1,0)</f>
        <v>#N/A</v>
      </c>
      <c r="CB73" s="7" t="e">
        <f>VLOOKUP(C73,listaBolsa!$D$2:$BA$1248,2,0)</f>
        <v>#N/A</v>
      </c>
      <c r="CC73" s="7" t="e">
        <f>VLOOKUP(C73,listaBolsa!$D$2:$BA$1248,10,0)</f>
        <v>#N/A</v>
      </c>
      <c r="CD73" s="7" t="e">
        <f>VLOOKUP(C73,listaBolsa!$D$2:$BA$1248,14,0)</f>
        <v>#N/A</v>
      </c>
      <c r="CE73" s="7" t="e">
        <f>VLOOKUP(C73,listaBolsa!$D$2:$BA$1248,23,0)</f>
        <v>#N/A</v>
      </c>
      <c r="CF73" s="7" t="e">
        <f>VLOOKUP(C73,listaBolsa!$D$2:$BA$1248,29,0)</f>
        <v>#N/A</v>
      </c>
      <c r="CG73" s="7" t="e">
        <f>VLOOKUP(C73,listaBolsa!$D$2:$BA$1248,36,0)</f>
        <v>#N/A</v>
      </c>
      <c r="CH73" s="7" t="e">
        <f>VLOOKUP(C73,listaBolsa!$D$2:$BA$1248,40,0)</f>
        <v>#N/A</v>
      </c>
      <c r="CI73" s="7" t="e">
        <f>VLOOKUP(C73,listaBolsa!$D$2:$BA$1248,48,0)</f>
        <v>#N/A</v>
      </c>
      <c r="CJ73" s="7" t="e">
        <f t="shared" si="57"/>
        <v>#N/A</v>
      </c>
      <c r="CK73" s="7" t="e">
        <f t="shared" si="58"/>
        <v>#N/A</v>
      </c>
      <c r="CL73" s="7" t="e">
        <f t="shared" si="59"/>
        <v>#N/A</v>
      </c>
      <c r="CM73" s="7" t="e">
        <f t="shared" si="60"/>
        <v>#N/A</v>
      </c>
      <c r="CN73" s="7" t="e">
        <f t="shared" si="61"/>
        <v>#N/A</v>
      </c>
      <c r="CO73" s="7" t="e">
        <f t="shared" si="62"/>
        <v>#N/A</v>
      </c>
      <c r="CP73" s="7" t="e">
        <f t="shared" si="63"/>
        <v>#N/A</v>
      </c>
      <c r="CQ73" s="7" t="e">
        <f t="shared" si="64"/>
        <v>#N/A</v>
      </c>
      <c r="CR73" s="7" t="e">
        <f t="shared" si="65"/>
        <v>#N/A</v>
      </c>
    </row>
    <row r="74" spans="1:96" s="7" customFormat="1" ht="21" hidden="1" x14ac:dyDescent="0.25">
      <c r="A74" s="75" t="str">
        <f t="shared" si="50"/>
        <v/>
      </c>
      <c r="B74" s="91"/>
      <c r="C74" s="82"/>
      <c r="D74" s="75" t="str">
        <f>IF(C74="","",VLOOKUP(C74,listaBolsa!$D$2:$H$1118,2,0))</f>
        <v/>
      </c>
      <c r="E74" s="91" t="str">
        <f>IF(C74="","",VLOOKUP(C74,listaBolsa!$D$2:$H$1118,3,0))</f>
        <v/>
      </c>
      <c r="F74" s="92"/>
      <c r="G74" s="86" t="str">
        <f>IF(C74="","",VLOOKUP(C74,listaBolsa!$D$2:$H$1118,5,0))</f>
        <v/>
      </c>
      <c r="H74" s="89" t="str">
        <f>IF(C74="","",VLOOKUP(C74,listaBolsa!$D$2:$W$1118,10,0))</f>
        <v/>
      </c>
      <c r="I74" s="128" t="str">
        <f>IF(C74="","",VLOOKUP(C74,listaBolsa!$D$2:$W$1118,14,0))</f>
        <v/>
      </c>
      <c r="J74" s="129" t="e">
        <f t="shared" si="55"/>
        <v>#VALUE!</v>
      </c>
      <c r="K74" s="129" t="e">
        <f t="shared" si="56"/>
        <v>#VALUE!</v>
      </c>
      <c r="L74" s="129" t="str">
        <f t="shared" si="26"/>
        <v/>
      </c>
      <c r="M74" s="129" t="str">
        <f t="shared" si="27"/>
        <v/>
      </c>
      <c r="N74" s="90" t="str">
        <f>IF(C74="","",VLOOKUP(C74,listaBolsa!$D$2:$AZ$1276,23,0))</f>
        <v/>
      </c>
      <c r="O74" s="130" t="str">
        <f>IF(C74="","",VLOOKUP(C74,listaBolsa!$D$2:$AZ$1276,27,0))</f>
        <v/>
      </c>
      <c r="P74" s="131" t="e">
        <f t="shared" si="28"/>
        <v>#VALUE!</v>
      </c>
      <c r="Q74" s="131" t="e">
        <f t="shared" si="29"/>
        <v>#VALUE!</v>
      </c>
      <c r="R74" s="131" t="str">
        <f t="shared" si="30"/>
        <v/>
      </c>
      <c r="S74" s="131" t="str">
        <f t="shared" si="31"/>
        <v/>
      </c>
      <c r="T74" s="83" t="str">
        <f>IF(C74="","",VLOOKUP(C74,listaBolsa!$D$2:$BB$1276,36,0))</f>
        <v/>
      </c>
      <c r="U74" s="132" t="str">
        <f>IF(C74="","",VLOOKUP(C74,listaBolsa!$D$2:$BB$1276,40,0))</f>
        <v/>
      </c>
      <c r="V74" s="133" t="e">
        <f t="shared" si="32"/>
        <v>#VALUE!</v>
      </c>
      <c r="W74" s="133" t="e">
        <f t="shared" si="33"/>
        <v>#VALUE!</v>
      </c>
      <c r="X74" s="133" t="str">
        <f t="shared" si="34"/>
        <v/>
      </c>
      <c r="Y74" s="133" t="str">
        <f t="shared" si="35"/>
        <v/>
      </c>
      <c r="Z74" s="134" t="str">
        <f t="shared" si="51"/>
        <v/>
      </c>
      <c r="AA74" s="134" t="str">
        <f t="shared" si="52"/>
        <v/>
      </c>
      <c r="AB74" s="135" t="str">
        <f t="shared" si="53"/>
        <v/>
      </c>
      <c r="AC74" s="85" t="str">
        <f t="shared" si="54"/>
        <v/>
      </c>
      <c r="AD74" s="5"/>
      <c r="AF74" s="7" t="str">
        <f>IF(C74="","",VLOOKUP(C74,listaBolsa!$D$2:$BB$276,51,0))</f>
        <v/>
      </c>
      <c r="BG74" s="7">
        <v>64</v>
      </c>
      <c r="CA74" s="7" t="e">
        <f>VLOOKUP(C74,listaBolsa!$D$2:$BA$1248,1,0)</f>
        <v>#N/A</v>
      </c>
      <c r="CB74" s="7" t="e">
        <f>VLOOKUP(C74,listaBolsa!$D$2:$BA$1248,2,0)</f>
        <v>#N/A</v>
      </c>
      <c r="CC74" s="7" t="e">
        <f>VLOOKUP(C74,listaBolsa!$D$2:$BA$1248,10,0)</f>
        <v>#N/A</v>
      </c>
      <c r="CD74" s="7" t="e">
        <f>VLOOKUP(C74,listaBolsa!$D$2:$BA$1248,14,0)</f>
        <v>#N/A</v>
      </c>
      <c r="CE74" s="7" t="e">
        <f>VLOOKUP(C74,listaBolsa!$D$2:$BA$1248,23,0)</f>
        <v>#N/A</v>
      </c>
      <c r="CF74" s="7" t="e">
        <f>VLOOKUP(C74,listaBolsa!$D$2:$BA$1248,29,0)</f>
        <v>#N/A</v>
      </c>
      <c r="CG74" s="7" t="e">
        <f>VLOOKUP(C74,listaBolsa!$D$2:$BA$1248,36,0)</f>
        <v>#N/A</v>
      </c>
      <c r="CH74" s="7" t="e">
        <f>VLOOKUP(C74,listaBolsa!$D$2:$BA$1248,40,0)</f>
        <v>#N/A</v>
      </c>
      <c r="CI74" s="7" t="e">
        <f>VLOOKUP(C74,listaBolsa!$D$2:$BA$1248,48,0)</f>
        <v>#N/A</v>
      </c>
      <c r="CJ74" s="7" t="e">
        <f t="shared" si="57"/>
        <v>#N/A</v>
      </c>
      <c r="CK74" s="7" t="e">
        <f t="shared" si="58"/>
        <v>#N/A</v>
      </c>
      <c r="CL74" s="7" t="e">
        <f t="shared" si="59"/>
        <v>#N/A</v>
      </c>
      <c r="CM74" s="7" t="e">
        <f t="shared" si="60"/>
        <v>#N/A</v>
      </c>
      <c r="CN74" s="7" t="e">
        <f t="shared" si="61"/>
        <v>#N/A</v>
      </c>
      <c r="CO74" s="7" t="e">
        <f t="shared" si="62"/>
        <v>#N/A</v>
      </c>
      <c r="CP74" s="7" t="e">
        <f t="shared" si="63"/>
        <v>#N/A</v>
      </c>
      <c r="CQ74" s="7" t="e">
        <f t="shared" si="64"/>
        <v>#N/A</v>
      </c>
      <c r="CR74" s="7" t="e">
        <f t="shared" si="65"/>
        <v>#N/A</v>
      </c>
    </row>
    <row r="75" spans="1:96" s="7" customFormat="1" ht="21" hidden="1" x14ac:dyDescent="0.25">
      <c r="A75" s="75" t="str">
        <f t="shared" si="50"/>
        <v/>
      </c>
      <c r="B75" s="91"/>
      <c r="C75" s="82"/>
      <c r="D75" s="75" t="str">
        <f>IF(C75="","",VLOOKUP(C75,listaBolsa!$D$2:$H$1118,2,0))</f>
        <v/>
      </c>
      <c r="E75" s="91" t="str">
        <f>IF(C75="","",VLOOKUP(C75,listaBolsa!$D$2:$H$1118,3,0))</f>
        <v/>
      </c>
      <c r="F75" s="92"/>
      <c r="G75" s="86" t="str">
        <f>IF(C75="","",VLOOKUP(C75,listaBolsa!$D$2:$H$1118,5,0))</f>
        <v/>
      </c>
      <c r="H75" s="89" t="str">
        <f>IF(C75="","",VLOOKUP(C75,listaBolsa!$D$2:$W$1118,10,0))</f>
        <v/>
      </c>
      <c r="I75" s="128" t="str">
        <f>IF(C75="","",VLOOKUP(C75,listaBolsa!$D$2:$W$1118,14,0))</f>
        <v/>
      </c>
      <c r="J75" s="129" t="e">
        <f t="shared" si="55"/>
        <v>#VALUE!</v>
      </c>
      <c r="K75" s="129" t="e">
        <f t="shared" si="56"/>
        <v>#VALUE!</v>
      </c>
      <c r="L75" s="129" t="str">
        <f t="shared" si="26"/>
        <v/>
      </c>
      <c r="M75" s="129" t="str">
        <f t="shared" si="27"/>
        <v/>
      </c>
      <c r="N75" s="90" t="str">
        <f>IF(C75="","",VLOOKUP(C75,listaBolsa!$D$2:$AZ$1276,23,0))</f>
        <v/>
      </c>
      <c r="O75" s="130" t="str">
        <f>IF(C75="","",VLOOKUP(C75,listaBolsa!$D$2:$AZ$1276,27,0))</f>
        <v/>
      </c>
      <c r="P75" s="131" t="e">
        <f t="shared" si="28"/>
        <v>#VALUE!</v>
      </c>
      <c r="Q75" s="131" t="e">
        <f t="shared" si="29"/>
        <v>#VALUE!</v>
      </c>
      <c r="R75" s="131" t="str">
        <f t="shared" si="30"/>
        <v/>
      </c>
      <c r="S75" s="131" t="str">
        <f t="shared" si="31"/>
        <v/>
      </c>
      <c r="T75" s="83" t="str">
        <f>IF(C75="","",VLOOKUP(C75,listaBolsa!$D$2:$BB$1276,36,0))</f>
        <v/>
      </c>
      <c r="U75" s="132" t="str">
        <f>IF(C75="","",VLOOKUP(C75,listaBolsa!$D$2:$BB$1276,40,0))</f>
        <v/>
      </c>
      <c r="V75" s="133" t="e">
        <f t="shared" si="32"/>
        <v>#VALUE!</v>
      </c>
      <c r="W75" s="133" t="e">
        <f t="shared" si="33"/>
        <v>#VALUE!</v>
      </c>
      <c r="X75" s="133" t="str">
        <f t="shared" si="34"/>
        <v/>
      </c>
      <c r="Y75" s="133" t="str">
        <f t="shared" si="35"/>
        <v/>
      </c>
      <c r="Z75" s="134" t="str">
        <f t="shared" si="51"/>
        <v/>
      </c>
      <c r="AA75" s="134" t="str">
        <f t="shared" si="52"/>
        <v/>
      </c>
      <c r="AB75" s="135" t="str">
        <f t="shared" si="53"/>
        <v/>
      </c>
      <c r="AC75" s="85" t="str">
        <f t="shared" si="54"/>
        <v/>
      </c>
      <c r="AD75" s="5"/>
      <c r="AF75" s="7" t="str">
        <f>IF(C75="","",VLOOKUP(C75,listaBolsa!$D$2:$BB$276,51,0))</f>
        <v/>
      </c>
      <c r="BG75" s="7">
        <v>65</v>
      </c>
      <c r="CA75" s="7" t="e">
        <f>VLOOKUP(C75,listaBolsa!$D$2:$BA$1248,1,0)</f>
        <v>#N/A</v>
      </c>
      <c r="CB75" s="7" t="e">
        <f>VLOOKUP(C75,listaBolsa!$D$2:$BA$1248,2,0)</f>
        <v>#N/A</v>
      </c>
      <c r="CC75" s="7" t="e">
        <f>VLOOKUP(C75,listaBolsa!$D$2:$BA$1248,10,0)</f>
        <v>#N/A</v>
      </c>
      <c r="CD75" s="7" t="e">
        <f>VLOOKUP(C75,listaBolsa!$D$2:$BA$1248,14,0)</f>
        <v>#N/A</v>
      </c>
      <c r="CE75" s="7" t="e">
        <f>VLOOKUP(C75,listaBolsa!$D$2:$BA$1248,23,0)</f>
        <v>#N/A</v>
      </c>
      <c r="CF75" s="7" t="e">
        <f>VLOOKUP(C75,listaBolsa!$D$2:$BA$1248,29,0)</f>
        <v>#N/A</v>
      </c>
      <c r="CG75" s="7" t="e">
        <f>VLOOKUP(C75,listaBolsa!$D$2:$BA$1248,36,0)</f>
        <v>#N/A</v>
      </c>
      <c r="CH75" s="7" t="e">
        <f>VLOOKUP(C75,listaBolsa!$D$2:$BA$1248,40,0)</f>
        <v>#N/A</v>
      </c>
      <c r="CI75" s="7" t="e">
        <f>VLOOKUP(C75,listaBolsa!$D$2:$BA$1248,48,0)</f>
        <v>#N/A</v>
      </c>
      <c r="CJ75" s="7" t="e">
        <f t="shared" ref="CJ75:CJ106" si="66">CA75=C75</f>
        <v>#N/A</v>
      </c>
      <c r="CK75" s="7" t="e">
        <f t="shared" ref="CK75:CK106" si="67">CB75=D75</f>
        <v>#N/A</v>
      </c>
      <c r="CL75" s="7" t="e">
        <f t="shared" ref="CL75:CL106" si="68">CC75=H75</f>
        <v>#N/A</v>
      </c>
      <c r="CM75" s="7" t="e">
        <f t="shared" ref="CM75:CM106" si="69">CD75=I75</f>
        <v>#N/A</v>
      </c>
      <c r="CN75" s="7" t="e">
        <f t="shared" ref="CN75:CN106" si="70">CE75=N75</f>
        <v>#N/A</v>
      </c>
      <c r="CO75" s="7" t="e">
        <f t="shared" ref="CO75:CO106" si="71">CF75=O75</f>
        <v>#N/A</v>
      </c>
      <c r="CP75" s="7" t="e">
        <f t="shared" ref="CP75:CP106" si="72">CG75=T75</f>
        <v>#N/A</v>
      </c>
      <c r="CQ75" s="7" t="e">
        <f t="shared" ref="CQ75:CQ106" si="73">CH75=U75</f>
        <v>#N/A</v>
      </c>
      <c r="CR75" s="7" t="e">
        <f t="shared" ref="CR75:CR106" si="74">CI75=AC75</f>
        <v>#N/A</v>
      </c>
    </row>
    <row r="76" spans="1:96" s="7" customFormat="1" ht="21" hidden="1" x14ac:dyDescent="0.25">
      <c r="A76" s="75" t="str">
        <f t="shared" ref="A76:A137" si="75">IF(B76&lt;&gt;"",BG76,"")</f>
        <v/>
      </c>
      <c r="B76" s="91"/>
      <c r="C76" s="82"/>
      <c r="D76" s="75" t="str">
        <f>IF(C76="","",VLOOKUP(C76,listaBolsa!$D$2:$H$1118,2,0))</f>
        <v/>
      </c>
      <c r="E76" s="91" t="str">
        <f>IF(C76="","",VLOOKUP(C76,listaBolsa!$D$2:$H$1118,3,0))</f>
        <v/>
      </c>
      <c r="F76" s="92"/>
      <c r="G76" s="86" t="str">
        <f>IF(C76="","",VLOOKUP(C76,listaBolsa!$D$2:$H$1118,5,0))</f>
        <v/>
      </c>
      <c r="H76" s="89" t="str">
        <f>IF(C76="","",VLOOKUP(C76,listaBolsa!$D$2:$W$1118,10,0))</f>
        <v/>
      </c>
      <c r="I76" s="128" t="str">
        <f>IF(C76="","",VLOOKUP(C76,listaBolsa!$D$2:$W$1118,14,0))</f>
        <v/>
      </c>
      <c r="J76" s="129" t="e">
        <f t="shared" ref="J76:J137" si="76">I76*19%</f>
        <v>#VALUE!</v>
      </c>
      <c r="K76" s="129" t="e">
        <f t="shared" ref="K76:K137" si="77">I76+J76</f>
        <v>#VALUE!</v>
      </c>
      <c r="L76" s="129" t="str">
        <f t="shared" ref="L76:L137" si="78">IF(B76="","",(I76*F76))</f>
        <v/>
      </c>
      <c r="M76" s="129" t="str">
        <f t="shared" ref="M76:M137" si="79">IF(B76="","",(K76*F76))</f>
        <v/>
      </c>
      <c r="N76" s="90" t="str">
        <f>IF(C76="","",VLOOKUP(C76,listaBolsa!$D$2:$AZ$1276,23,0))</f>
        <v/>
      </c>
      <c r="O76" s="130" t="str">
        <f>IF(C76="","",VLOOKUP(C76,listaBolsa!$D$2:$AZ$1276,27,0))</f>
        <v/>
      </c>
      <c r="P76" s="131" t="e">
        <f t="shared" ref="P76:P137" si="80">O76*19%</f>
        <v>#VALUE!</v>
      </c>
      <c r="Q76" s="131" t="e">
        <f t="shared" ref="Q76:Q137" si="81">O76+P76</f>
        <v>#VALUE!</v>
      </c>
      <c r="R76" s="131" t="str">
        <f t="shared" ref="R76:R137" si="82">IF(B76="","",(O76*F76))</f>
        <v/>
      </c>
      <c r="S76" s="131" t="str">
        <f t="shared" ref="S76:S137" si="83">IF(B76="","",(Q76*F76))</f>
        <v/>
      </c>
      <c r="T76" s="83" t="str">
        <f>IF(C76="","",VLOOKUP(C76,listaBolsa!$D$2:$BB$1276,36,0))</f>
        <v/>
      </c>
      <c r="U76" s="132" t="str">
        <f>IF(C76="","",VLOOKUP(C76,listaBolsa!$D$2:$BB$1276,40,0))</f>
        <v/>
      </c>
      <c r="V76" s="133" t="e">
        <f t="shared" ref="V76:V137" si="84">U76*19%</f>
        <v>#VALUE!</v>
      </c>
      <c r="W76" s="133" t="e">
        <f t="shared" ref="W76:W137" si="85">U76+V76</f>
        <v>#VALUE!</v>
      </c>
      <c r="X76" s="133" t="str">
        <f t="shared" ref="X76:X137" si="86">IF(B76="","",(U76*F76))</f>
        <v/>
      </c>
      <c r="Y76" s="133" t="str">
        <f t="shared" ref="Y76:Y137" si="87">IF(B76="","",(W76*F76))</f>
        <v/>
      </c>
      <c r="Z76" s="134" t="str">
        <f t="shared" ref="Z76:Z137" si="88">IF(A76="","",ROUND(AVERAGE(K76,Q76,W76),0))</f>
        <v/>
      </c>
      <c r="AA76" s="134" t="str">
        <f t="shared" ref="AA76:AA137" si="89">IF(B76="","",Z76*F76)</f>
        <v/>
      </c>
      <c r="AB76" s="135" t="str">
        <f t="shared" ref="AB76:AB137" si="90">IF(B76="","",ROUND(STDEV(M76,S76,Y76),0))</f>
        <v/>
      </c>
      <c r="AC76" s="85" t="str">
        <f t="shared" ref="AC76:AC137" si="91">IF(B76="","",(AB76/AA76))</f>
        <v/>
      </c>
      <c r="AD76" s="5"/>
      <c r="AF76" s="7" t="str">
        <f>IF(C76="","",VLOOKUP(C76,listaBolsa!$D$2:$BB$276,51,0))</f>
        <v/>
      </c>
      <c r="BG76" s="7">
        <v>66</v>
      </c>
      <c r="CA76" s="7" t="e">
        <f>VLOOKUP(C76,listaBolsa!$D$2:$BA$1248,1,0)</f>
        <v>#N/A</v>
      </c>
      <c r="CB76" s="7" t="e">
        <f>VLOOKUP(C76,listaBolsa!$D$2:$BA$1248,2,0)</f>
        <v>#N/A</v>
      </c>
      <c r="CC76" s="7" t="e">
        <f>VLOOKUP(C76,listaBolsa!$D$2:$BA$1248,10,0)</f>
        <v>#N/A</v>
      </c>
      <c r="CD76" s="7" t="e">
        <f>VLOOKUP(C76,listaBolsa!$D$2:$BA$1248,14,0)</f>
        <v>#N/A</v>
      </c>
      <c r="CE76" s="7" t="e">
        <f>VLOOKUP(C76,listaBolsa!$D$2:$BA$1248,23,0)</f>
        <v>#N/A</v>
      </c>
      <c r="CF76" s="7" t="e">
        <f>VLOOKUP(C76,listaBolsa!$D$2:$BA$1248,29,0)</f>
        <v>#N/A</v>
      </c>
      <c r="CG76" s="7" t="e">
        <f>VLOOKUP(C76,listaBolsa!$D$2:$BA$1248,36,0)</f>
        <v>#N/A</v>
      </c>
      <c r="CH76" s="7" t="e">
        <f>VLOOKUP(C76,listaBolsa!$D$2:$BA$1248,40,0)</f>
        <v>#N/A</v>
      </c>
      <c r="CI76" s="7" t="e">
        <f>VLOOKUP(C76,listaBolsa!$D$2:$BA$1248,48,0)</f>
        <v>#N/A</v>
      </c>
      <c r="CJ76" s="7" t="e">
        <f t="shared" si="66"/>
        <v>#N/A</v>
      </c>
      <c r="CK76" s="7" t="e">
        <f t="shared" si="67"/>
        <v>#N/A</v>
      </c>
      <c r="CL76" s="7" t="e">
        <f t="shared" si="68"/>
        <v>#N/A</v>
      </c>
      <c r="CM76" s="7" t="e">
        <f t="shared" si="69"/>
        <v>#N/A</v>
      </c>
      <c r="CN76" s="7" t="e">
        <f t="shared" si="70"/>
        <v>#N/A</v>
      </c>
      <c r="CO76" s="7" t="e">
        <f t="shared" si="71"/>
        <v>#N/A</v>
      </c>
      <c r="CP76" s="7" t="e">
        <f t="shared" si="72"/>
        <v>#N/A</v>
      </c>
      <c r="CQ76" s="7" t="e">
        <f t="shared" si="73"/>
        <v>#N/A</v>
      </c>
      <c r="CR76" s="7" t="e">
        <f t="shared" si="74"/>
        <v>#N/A</v>
      </c>
    </row>
    <row r="77" spans="1:96" s="7" customFormat="1" ht="21" hidden="1" x14ac:dyDescent="0.25">
      <c r="A77" s="75" t="str">
        <f t="shared" si="75"/>
        <v/>
      </c>
      <c r="B77" s="91"/>
      <c r="C77" s="82"/>
      <c r="D77" s="75" t="str">
        <f>IF(C77="","",VLOOKUP(C77,listaBolsa!$D$2:$H$1118,2,0))</f>
        <v/>
      </c>
      <c r="E77" s="91" t="str">
        <f>IF(C77="","",VLOOKUP(C77,listaBolsa!$D$2:$H$1118,3,0))</f>
        <v/>
      </c>
      <c r="F77" s="92"/>
      <c r="G77" s="86" t="str">
        <f>IF(C77="","",VLOOKUP(C77,listaBolsa!$D$2:$H$1118,5,0))</f>
        <v/>
      </c>
      <c r="H77" s="89" t="str">
        <f>IF(C77="","",VLOOKUP(C77,listaBolsa!$D$2:$W$1118,10,0))</f>
        <v/>
      </c>
      <c r="I77" s="128" t="str">
        <f>IF(C77="","",VLOOKUP(C77,listaBolsa!$D$2:$W$1118,14,0))</f>
        <v/>
      </c>
      <c r="J77" s="129" t="e">
        <f t="shared" si="76"/>
        <v>#VALUE!</v>
      </c>
      <c r="K77" s="129" t="e">
        <f t="shared" si="77"/>
        <v>#VALUE!</v>
      </c>
      <c r="L77" s="129" t="str">
        <f t="shared" si="78"/>
        <v/>
      </c>
      <c r="M77" s="129" t="str">
        <f t="shared" si="79"/>
        <v/>
      </c>
      <c r="N77" s="90" t="str">
        <f>IF(C77="","",VLOOKUP(C77,listaBolsa!$D$2:$AZ$1276,23,0))</f>
        <v/>
      </c>
      <c r="O77" s="130" t="str">
        <f>IF(C77="","",VLOOKUP(C77,listaBolsa!$D$2:$AZ$1276,27,0))</f>
        <v/>
      </c>
      <c r="P77" s="131" t="e">
        <f t="shared" si="80"/>
        <v>#VALUE!</v>
      </c>
      <c r="Q77" s="131" t="e">
        <f t="shared" si="81"/>
        <v>#VALUE!</v>
      </c>
      <c r="R77" s="131" t="str">
        <f t="shared" si="82"/>
        <v/>
      </c>
      <c r="S77" s="131" t="str">
        <f t="shared" si="83"/>
        <v/>
      </c>
      <c r="T77" s="83" t="str">
        <f>IF(C77="","",VLOOKUP(C77,listaBolsa!$D$2:$BB$1276,36,0))</f>
        <v/>
      </c>
      <c r="U77" s="132" t="str">
        <f>IF(C77="","",VLOOKUP(C77,listaBolsa!$D$2:$BB$1276,40,0))</f>
        <v/>
      </c>
      <c r="V77" s="133" t="e">
        <f t="shared" si="84"/>
        <v>#VALUE!</v>
      </c>
      <c r="W77" s="133" t="e">
        <f t="shared" si="85"/>
        <v>#VALUE!</v>
      </c>
      <c r="X77" s="133" t="str">
        <f t="shared" si="86"/>
        <v/>
      </c>
      <c r="Y77" s="133" t="str">
        <f t="shared" si="87"/>
        <v/>
      </c>
      <c r="Z77" s="134" t="str">
        <f t="shared" si="88"/>
        <v/>
      </c>
      <c r="AA77" s="134" t="str">
        <f t="shared" si="89"/>
        <v/>
      </c>
      <c r="AB77" s="135" t="str">
        <f t="shared" si="90"/>
        <v/>
      </c>
      <c r="AC77" s="85" t="str">
        <f t="shared" si="91"/>
        <v/>
      </c>
      <c r="AD77" s="5"/>
      <c r="AF77" s="7" t="str">
        <f>IF(C77="","",VLOOKUP(C77,listaBolsa!$D$2:$BB$276,51,0))</f>
        <v/>
      </c>
      <c r="BG77" s="7">
        <v>67</v>
      </c>
      <c r="CA77" s="7" t="e">
        <f>VLOOKUP(C77,listaBolsa!$D$2:$BA$1248,1,0)</f>
        <v>#N/A</v>
      </c>
      <c r="CB77" s="7" t="e">
        <f>VLOOKUP(C77,listaBolsa!$D$2:$BA$1248,2,0)</f>
        <v>#N/A</v>
      </c>
      <c r="CC77" s="7" t="e">
        <f>VLOOKUP(C77,listaBolsa!$D$2:$BA$1248,10,0)</f>
        <v>#N/A</v>
      </c>
      <c r="CD77" s="7" t="e">
        <f>VLOOKUP(C77,listaBolsa!$D$2:$BA$1248,14,0)</f>
        <v>#N/A</v>
      </c>
      <c r="CE77" s="7" t="e">
        <f>VLOOKUP(C77,listaBolsa!$D$2:$BA$1248,23,0)</f>
        <v>#N/A</v>
      </c>
      <c r="CF77" s="7" t="e">
        <f>VLOOKUP(C77,listaBolsa!$D$2:$BA$1248,29,0)</f>
        <v>#N/A</v>
      </c>
      <c r="CG77" s="7" t="e">
        <f>VLOOKUP(C77,listaBolsa!$D$2:$BA$1248,36,0)</f>
        <v>#N/A</v>
      </c>
      <c r="CH77" s="7" t="e">
        <f>VLOOKUP(C77,listaBolsa!$D$2:$BA$1248,40,0)</f>
        <v>#N/A</v>
      </c>
      <c r="CI77" s="7" t="e">
        <f>VLOOKUP(C77,listaBolsa!$D$2:$BA$1248,48,0)</f>
        <v>#N/A</v>
      </c>
      <c r="CJ77" s="7" t="e">
        <f t="shared" si="66"/>
        <v>#N/A</v>
      </c>
      <c r="CK77" s="7" t="e">
        <f t="shared" si="67"/>
        <v>#N/A</v>
      </c>
      <c r="CL77" s="7" t="e">
        <f t="shared" si="68"/>
        <v>#N/A</v>
      </c>
      <c r="CM77" s="7" t="e">
        <f t="shared" si="69"/>
        <v>#N/A</v>
      </c>
      <c r="CN77" s="7" t="e">
        <f t="shared" si="70"/>
        <v>#N/A</v>
      </c>
      <c r="CO77" s="7" t="e">
        <f t="shared" si="71"/>
        <v>#N/A</v>
      </c>
      <c r="CP77" s="7" t="e">
        <f t="shared" si="72"/>
        <v>#N/A</v>
      </c>
      <c r="CQ77" s="7" t="e">
        <f t="shared" si="73"/>
        <v>#N/A</v>
      </c>
      <c r="CR77" s="7" t="e">
        <f t="shared" si="74"/>
        <v>#N/A</v>
      </c>
    </row>
    <row r="78" spans="1:96" s="7" customFormat="1" ht="21" hidden="1" x14ac:dyDescent="0.25">
      <c r="A78" s="75" t="str">
        <f t="shared" si="75"/>
        <v/>
      </c>
      <c r="B78" s="91"/>
      <c r="C78" s="82"/>
      <c r="D78" s="75" t="str">
        <f>IF(C78="","",VLOOKUP(C78,listaBolsa!$D$2:$H$1118,2,0))</f>
        <v/>
      </c>
      <c r="E78" s="91" t="str">
        <f>IF(C78="","",VLOOKUP(C78,listaBolsa!$D$2:$H$1118,3,0))</f>
        <v/>
      </c>
      <c r="F78" s="92"/>
      <c r="G78" s="86" t="str">
        <f>IF(C78="","",VLOOKUP(C78,listaBolsa!$D$2:$H$1118,5,0))</f>
        <v/>
      </c>
      <c r="H78" s="89" t="str">
        <f>IF(C78="","",VLOOKUP(C78,listaBolsa!$D$2:$W$1118,10,0))</f>
        <v/>
      </c>
      <c r="I78" s="128" t="str">
        <f>IF(C78="","",VLOOKUP(C78,listaBolsa!$D$2:$W$1118,14,0))</f>
        <v/>
      </c>
      <c r="J78" s="129" t="e">
        <f t="shared" si="76"/>
        <v>#VALUE!</v>
      </c>
      <c r="K78" s="129" t="e">
        <f t="shared" si="77"/>
        <v>#VALUE!</v>
      </c>
      <c r="L78" s="129" t="str">
        <f t="shared" si="78"/>
        <v/>
      </c>
      <c r="M78" s="129" t="str">
        <f t="shared" si="79"/>
        <v/>
      </c>
      <c r="N78" s="90" t="str">
        <f>IF(C78="","",VLOOKUP(C78,listaBolsa!$D$2:$AZ$1276,23,0))</f>
        <v/>
      </c>
      <c r="O78" s="130" t="str">
        <f>IF(C78="","",VLOOKUP(C78,listaBolsa!$D$2:$AZ$1276,27,0))</f>
        <v/>
      </c>
      <c r="P78" s="131" t="e">
        <f t="shared" si="80"/>
        <v>#VALUE!</v>
      </c>
      <c r="Q78" s="131" t="e">
        <f t="shared" si="81"/>
        <v>#VALUE!</v>
      </c>
      <c r="R78" s="131" t="str">
        <f t="shared" si="82"/>
        <v/>
      </c>
      <c r="S78" s="131" t="str">
        <f t="shared" si="83"/>
        <v/>
      </c>
      <c r="T78" s="83" t="str">
        <f>IF(C78="","",VLOOKUP(C78,listaBolsa!$D$2:$BB$1276,36,0))</f>
        <v/>
      </c>
      <c r="U78" s="132" t="str">
        <f>IF(C78="","",VLOOKUP(C78,listaBolsa!$D$2:$BB$1276,40,0))</f>
        <v/>
      </c>
      <c r="V78" s="133" t="e">
        <f t="shared" si="84"/>
        <v>#VALUE!</v>
      </c>
      <c r="W78" s="133" t="e">
        <f t="shared" si="85"/>
        <v>#VALUE!</v>
      </c>
      <c r="X78" s="133" t="str">
        <f t="shared" si="86"/>
        <v/>
      </c>
      <c r="Y78" s="133" t="str">
        <f t="shared" si="87"/>
        <v/>
      </c>
      <c r="Z78" s="134" t="str">
        <f t="shared" si="88"/>
        <v/>
      </c>
      <c r="AA78" s="134" t="str">
        <f t="shared" si="89"/>
        <v/>
      </c>
      <c r="AB78" s="135" t="str">
        <f t="shared" si="90"/>
        <v/>
      </c>
      <c r="AC78" s="85" t="str">
        <f t="shared" si="91"/>
        <v/>
      </c>
      <c r="AD78" s="5"/>
      <c r="AF78" s="7" t="str">
        <f>IF(C78="","",VLOOKUP(C78,listaBolsa!$D$2:$BB$276,51,0))</f>
        <v/>
      </c>
      <c r="BG78" s="7">
        <v>68</v>
      </c>
      <c r="CA78" s="7" t="e">
        <f>VLOOKUP(C78,listaBolsa!$D$2:$BA$1248,1,0)</f>
        <v>#N/A</v>
      </c>
      <c r="CB78" s="7" t="e">
        <f>VLOOKUP(C78,listaBolsa!$D$2:$BA$1248,2,0)</f>
        <v>#N/A</v>
      </c>
      <c r="CC78" s="7" t="e">
        <f>VLOOKUP(C78,listaBolsa!$D$2:$BA$1248,10,0)</f>
        <v>#N/A</v>
      </c>
      <c r="CD78" s="7" t="e">
        <f>VLOOKUP(C78,listaBolsa!$D$2:$BA$1248,14,0)</f>
        <v>#N/A</v>
      </c>
      <c r="CE78" s="7" t="e">
        <f>VLOOKUP(C78,listaBolsa!$D$2:$BA$1248,23,0)</f>
        <v>#N/A</v>
      </c>
      <c r="CF78" s="7" t="e">
        <f>VLOOKUP(C78,listaBolsa!$D$2:$BA$1248,29,0)</f>
        <v>#N/A</v>
      </c>
      <c r="CG78" s="7" t="e">
        <f>VLOOKUP(C78,listaBolsa!$D$2:$BA$1248,36,0)</f>
        <v>#N/A</v>
      </c>
      <c r="CH78" s="7" t="e">
        <f>VLOOKUP(C78,listaBolsa!$D$2:$BA$1248,40,0)</f>
        <v>#N/A</v>
      </c>
      <c r="CI78" s="7" t="e">
        <f>VLOOKUP(C78,listaBolsa!$D$2:$BA$1248,48,0)</f>
        <v>#N/A</v>
      </c>
      <c r="CJ78" s="7" t="e">
        <f t="shared" si="66"/>
        <v>#N/A</v>
      </c>
      <c r="CK78" s="7" t="e">
        <f t="shared" si="67"/>
        <v>#N/A</v>
      </c>
      <c r="CL78" s="7" t="e">
        <f t="shared" si="68"/>
        <v>#N/A</v>
      </c>
      <c r="CM78" s="7" t="e">
        <f t="shared" si="69"/>
        <v>#N/A</v>
      </c>
      <c r="CN78" s="7" t="e">
        <f t="shared" si="70"/>
        <v>#N/A</v>
      </c>
      <c r="CO78" s="7" t="e">
        <f t="shared" si="71"/>
        <v>#N/A</v>
      </c>
      <c r="CP78" s="7" t="e">
        <f t="shared" si="72"/>
        <v>#N/A</v>
      </c>
      <c r="CQ78" s="7" t="e">
        <f t="shared" si="73"/>
        <v>#N/A</v>
      </c>
      <c r="CR78" s="7" t="e">
        <f t="shared" si="74"/>
        <v>#N/A</v>
      </c>
    </row>
    <row r="79" spans="1:96" s="7" customFormat="1" ht="21" hidden="1" x14ac:dyDescent="0.25">
      <c r="A79" s="75" t="str">
        <f t="shared" si="75"/>
        <v/>
      </c>
      <c r="B79" s="91"/>
      <c r="C79" s="82"/>
      <c r="D79" s="75" t="str">
        <f>IF(C79="","",VLOOKUP(C79,listaBolsa!$D$2:$H$1118,2,0))</f>
        <v/>
      </c>
      <c r="E79" s="91" t="str">
        <f>IF(C79="","",VLOOKUP(C79,listaBolsa!$D$2:$H$1118,3,0))</f>
        <v/>
      </c>
      <c r="F79" s="92"/>
      <c r="G79" s="86" t="str">
        <f>IF(C79="","",VLOOKUP(C79,listaBolsa!$D$2:$H$1118,5,0))</f>
        <v/>
      </c>
      <c r="H79" s="89" t="str">
        <f>IF(C79="","",VLOOKUP(C79,listaBolsa!$D$2:$W$1118,10,0))</f>
        <v/>
      </c>
      <c r="I79" s="128" t="str">
        <f>IF(C79="","",VLOOKUP(C79,listaBolsa!$D$2:$W$1118,14,0))</f>
        <v/>
      </c>
      <c r="J79" s="129" t="e">
        <f t="shared" si="76"/>
        <v>#VALUE!</v>
      </c>
      <c r="K79" s="129" t="e">
        <f t="shared" si="77"/>
        <v>#VALUE!</v>
      </c>
      <c r="L79" s="129" t="str">
        <f t="shared" si="78"/>
        <v/>
      </c>
      <c r="M79" s="129" t="str">
        <f t="shared" si="79"/>
        <v/>
      </c>
      <c r="N79" s="90" t="str">
        <f>IF(C79="","",VLOOKUP(C79,listaBolsa!$D$2:$AZ$1276,23,0))</f>
        <v/>
      </c>
      <c r="O79" s="130" t="str">
        <f>IF(C79="","",VLOOKUP(C79,listaBolsa!$D$2:$AZ$1276,27,0))</f>
        <v/>
      </c>
      <c r="P79" s="131" t="e">
        <f t="shared" si="80"/>
        <v>#VALUE!</v>
      </c>
      <c r="Q79" s="131" t="e">
        <f t="shared" si="81"/>
        <v>#VALUE!</v>
      </c>
      <c r="R79" s="131" t="str">
        <f t="shared" si="82"/>
        <v/>
      </c>
      <c r="S79" s="131" t="str">
        <f t="shared" si="83"/>
        <v/>
      </c>
      <c r="T79" s="83" t="str">
        <f>IF(C79="","",VLOOKUP(C79,listaBolsa!$D$2:$BB$1276,36,0))</f>
        <v/>
      </c>
      <c r="U79" s="132" t="str">
        <f>IF(C79="","",VLOOKUP(C79,listaBolsa!$D$2:$BB$1276,40,0))</f>
        <v/>
      </c>
      <c r="V79" s="133" t="e">
        <f t="shared" si="84"/>
        <v>#VALUE!</v>
      </c>
      <c r="W79" s="133" t="e">
        <f t="shared" si="85"/>
        <v>#VALUE!</v>
      </c>
      <c r="X79" s="133" t="str">
        <f t="shared" si="86"/>
        <v/>
      </c>
      <c r="Y79" s="133" t="str">
        <f t="shared" si="87"/>
        <v/>
      </c>
      <c r="Z79" s="134" t="str">
        <f t="shared" si="88"/>
        <v/>
      </c>
      <c r="AA79" s="134" t="str">
        <f t="shared" si="89"/>
        <v/>
      </c>
      <c r="AB79" s="135" t="str">
        <f t="shared" si="90"/>
        <v/>
      </c>
      <c r="AC79" s="85" t="str">
        <f t="shared" si="91"/>
        <v/>
      </c>
      <c r="AD79" s="5"/>
      <c r="AF79" s="7" t="str">
        <f>IF(C79="","",VLOOKUP(C79,listaBolsa!$D$2:$BB$276,51,0))</f>
        <v/>
      </c>
      <c r="BG79" s="7">
        <v>69</v>
      </c>
      <c r="CA79" s="7" t="e">
        <f>VLOOKUP(C79,listaBolsa!$D$2:$BA$1248,1,0)</f>
        <v>#N/A</v>
      </c>
      <c r="CB79" s="7" t="e">
        <f>VLOOKUP(C79,listaBolsa!$D$2:$BA$1248,2,0)</f>
        <v>#N/A</v>
      </c>
      <c r="CC79" s="7" t="e">
        <f>VLOOKUP(C79,listaBolsa!$D$2:$BA$1248,10,0)</f>
        <v>#N/A</v>
      </c>
      <c r="CD79" s="7" t="e">
        <f>VLOOKUP(C79,listaBolsa!$D$2:$BA$1248,14,0)</f>
        <v>#N/A</v>
      </c>
      <c r="CE79" s="7" t="e">
        <f>VLOOKUP(C79,listaBolsa!$D$2:$BA$1248,23,0)</f>
        <v>#N/A</v>
      </c>
      <c r="CF79" s="7" t="e">
        <f>VLOOKUP(C79,listaBolsa!$D$2:$BA$1248,29,0)</f>
        <v>#N/A</v>
      </c>
      <c r="CG79" s="7" t="e">
        <f>VLOOKUP(C79,listaBolsa!$D$2:$BA$1248,36,0)</f>
        <v>#N/A</v>
      </c>
      <c r="CH79" s="7" t="e">
        <f>VLOOKUP(C79,listaBolsa!$D$2:$BA$1248,40,0)</f>
        <v>#N/A</v>
      </c>
      <c r="CI79" s="7" t="e">
        <f>VLOOKUP(C79,listaBolsa!$D$2:$BA$1248,48,0)</f>
        <v>#N/A</v>
      </c>
      <c r="CJ79" s="7" t="e">
        <f t="shared" si="66"/>
        <v>#N/A</v>
      </c>
      <c r="CK79" s="7" t="e">
        <f t="shared" si="67"/>
        <v>#N/A</v>
      </c>
      <c r="CL79" s="7" t="e">
        <f t="shared" si="68"/>
        <v>#N/A</v>
      </c>
      <c r="CM79" s="7" t="e">
        <f t="shared" si="69"/>
        <v>#N/A</v>
      </c>
      <c r="CN79" s="7" t="e">
        <f t="shared" si="70"/>
        <v>#N/A</v>
      </c>
      <c r="CO79" s="7" t="e">
        <f t="shared" si="71"/>
        <v>#N/A</v>
      </c>
      <c r="CP79" s="7" t="e">
        <f t="shared" si="72"/>
        <v>#N/A</v>
      </c>
      <c r="CQ79" s="7" t="e">
        <f t="shared" si="73"/>
        <v>#N/A</v>
      </c>
      <c r="CR79" s="7" t="e">
        <f t="shared" si="74"/>
        <v>#N/A</v>
      </c>
    </row>
    <row r="80" spans="1:96" s="7" customFormat="1" ht="21" hidden="1" x14ac:dyDescent="0.25">
      <c r="A80" s="75" t="str">
        <f t="shared" si="75"/>
        <v/>
      </c>
      <c r="B80" s="91"/>
      <c r="C80" s="82"/>
      <c r="D80" s="75" t="str">
        <f>IF(C80="","",VLOOKUP(C80,listaBolsa!$D$2:$H$1118,2,0))</f>
        <v/>
      </c>
      <c r="E80" s="91" t="str">
        <f>IF(C80="","",VLOOKUP(C80,listaBolsa!$D$2:$H$1118,3,0))</f>
        <v/>
      </c>
      <c r="F80" s="92"/>
      <c r="G80" s="86" t="str">
        <f>IF(C80="","",VLOOKUP(C80,listaBolsa!$D$2:$H$1118,5,0))</f>
        <v/>
      </c>
      <c r="H80" s="89" t="str">
        <f>IF(C80="","",VLOOKUP(C80,listaBolsa!$D$2:$W$1118,10,0))</f>
        <v/>
      </c>
      <c r="I80" s="128" t="str">
        <f>IF(C80="","",VLOOKUP(C80,listaBolsa!$D$2:$W$1118,14,0))</f>
        <v/>
      </c>
      <c r="J80" s="129" t="e">
        <f t="shared" si="76"/>
        <v>#VALUE!</v>
      </c>
      <c r="K80" s="129" t="e">
        <f t="shared" si="77"/>
        <v>#VALUE!</v>
      </c>
      <c r="L80" s="129" t="str">
        <f t="shared" si="78"/>
        <v/>
      </c>
      <c r="M80" s="129" t="str">
        <f t="shared" si="79"/>
        <v/>
      </c>
      <c r="N80" s="90" t="str">
        <f>IF(C80="","",VLOOKUP(C80,listaBolsa!$D$2:$AZ$1276,23,0))</f>
        <v/>
      </c>
      <c r="O80" s="130" t="str">
        <f>IF(C80="","",VLOOKUP(C80,listaBolsa!$D$2:$AZ$1276,27,0))</f>
        <v/>
      </c>
      <c r="P80" s="131" t="e">
        <f t="shared" si="80"/>
        <v>#VALUE!</v>
      </c>
      <c r="Q80" s="131" t="e">
        <f t="shared" si="81"/>
        <v>#VALUE!</v>
      </c>
      <c r="R80" s="131" t="str">
        <f t="shared" si="82"/>
        <v/>
      </c>
      <c r="S80" s="131" t="str">
        <f t="shared" si="83"/>
        <v/>
      </c>
      <c r="T80" s="83" t="str">
        <f>IF(C80="","",VLOOKUP(C80,listaBolsa!$D$2:$BB$1276,36,0))</f>
        <v/>
      </c>
      <c r="U80" s="132" t="str">
        <f>IF(C80="","",VLOOKUP(C80,listaBolsa!$D$2:$BB$1276,40,0))</f>
        <v/>
      </c>
      <c r="V80" s="133" t="e">
        <f t="shared" si="84"/>
        <v>#VALUE!</v>
      </c>
      <c r="W80" s="133" t="e">
        <f t="shared" si="85"/>
        <v>#VALUE!</v>
      </c>
      <c r="X80" s="133" t="str">
        <f t="shared" si="86"/>
        <v/>
      </c>
      <c r="Y80" s="133" t="str">
        <f t="shared" si="87"/>
        <v/>
      </c>
      <c r="Z80" s="134" t="str">
        <f t="shared" si="88"/>
        <v/>
      </c>
      <c r="AA80" s="134" t="str">
        <f t="shared" si="89"/>
        <v/>
      </c>
      <c r="AB80" s="135" t="str">
        <f t="shared" si="90"/>
        <v/>
      </c>
      <c r="AC80" s="85" t="str">
        <f t="shared" si="91"/>
        <v/>
      </c>
      <c r="AD80" s="5"/>
      <c r="AF80" s="7" t="str">
        <f>IF(C80="","",VLOOKUP(C80,listaBolsa!$D$2:$BB$276,51,0))</f>
        <v/>
      </c>
      <c r="BG80" s="7">
        <v>70</v>
      </c>
      <c r="CA80" s="7" t="e">
        <f>VLOOKUP(C80,listaBolsa!$D$2:$BA$1248,1,0)</f>
        <v>#N/A</v>
      </c>
      <c r="CB80" s="7" t="e">
        <f>VLOOKUP(C80,listaBolsa!$D$2:$BA$1248,2,0)</f>
        <v>#N/A</v>
      </c>
      <c r="CC80" s="7" t="e">
        <f>VLOOKUP(C80,listaBolsa!$D$2:$BA$1248,10,0)</f>
        <v>#N/A</v>
      </c>
      <c r="CD80" s="7" t="e">
        <f>VLOOKUP(C80,listaBolsa!$D$2:$BA$1248,14,0)</f>
        <v>#N/A</v>
      </c>
      <c r="CE80" s="7" t="e">
        <f>VLOOKUP(C80,listaBolsa!$D$2:$BA$1248,23,0)</f>
        <v>#N/A</v>
      </c>
      <c r="CF80" s="7" t="e">
        <f>VLOOKUP(C80,listaBolsa!$D$2:$BA$1248,29,0)</f>
        <v>#N/A</v>
      </c>
      <c r="CG80" s="7" t="e">
        <f>VLOOKUP(C80,listaBolsa!$D$2:$BA$1248,36,0)</f>
        <v>#N/A</v>
      </c>
      <c r="CH80" s="7" t="e">
        <f>VLOOKUP(C80,listaBolsa!$D$2:$BA$1248,40,0)</f>
        <v>#N/A</v>
      </c>
      <c r="CI80" s="7" t="e">
        <f>VLOOKUP(C80,listaBolsa!$D$2:$BA$1248,48,0)</f>
        <v>#N/A</v>
      </c>
      <c r="CJ80" s="7" t="e">
        <f t="shared" si="66"/>
        <v>#N/A</v>
      </c>
      <c r="CK80" s="7" t="e">
        <f t="shared" si="67"/>
        <v>#N/A</v>
      </c>
      <c r="CL80" s="7" t="e">
        <f t="shared" si="68"/>
        <v>#N/A</v>
      </c>
      <c r="CM80" s="7" t="e">
        <f t="shared" si="69"/>
        <v>#N/A</v>
      </c>
      <c r="CN80" s="7" t="e">
        <f t="shared" si="70"/>
        <v>#N/A</v>
      </c>
      <c r="CO80" s="7" t="e">
        <f t="shared" si="71"/>
        <v>#N/A</v>
      </c>
      <c r="CP80" s="7" t="e">
        <f t="shared" si="72"/>
        <v>#N/A</v>
      </c>
      <c r="CQ80" s="7" t="e">
        <f t="shared" si="73"/>
        <v>#N/A</v>
      </c>
      <c r="CR80" s="7" t="e">
        <f t="shared" si="74"/>
        <v>#N/A</v>
      </c>
    </row>
    <row r="81" spans="1:96" s="7" customFormat="1" ht="21" hidden="1" x14ac:dyDescent="0.25">
      <c r="A81" s="75" t="str">
        <f t="shared" si="75"/>
        <v/>
      </c>
      <c r="B81" s="91"/>
      <c r="C81" s="82"/>
      <c r="D81" s="75" t="str">
        <f>IF(C81="","",VLOOKUP(C81,listaBolsa!$D$2:$H$1118,2,0))</f>
        <v/>
      </c>
      <c r="E81" s="91" t="str">
        <f>IF(C81="","",VLOOKUP(C81,listaBolsa!$D$2:$H$1118,3,0))</f>
        <v/>
      </c>
      <c r="F81" s="92"/>
      <c r="G81" s="86" t="str">
        <f>IF(C81="","",VLOOKUP(C81,listaBolsa!$D$2:$H$1118,5,0))</f>
        <v/>
      </c>
      <c r="H81" s="89" t="str">
        <f>IF(C81="","",VLOOKUP(C81,listaBolsa!$D$2:$W$1118,10,0))</f>
        <v/>
      </c>
      <c r="I81" s="128" t="str">
        <f>IF(C81="","",VLOOKUP(C81,listaBolsa!$D$2:$W$1118,14,0))</f>
        <v/>
      </c>
      <c r="J81" s="129" t="e">
        <f t="shared" si="76"/>
        <v>#VALUE!</v>
      </c>
      <c r="K81" s="129" t="e">
        <f t="shared" si="77"/>
        <v>#VALUE!</v>
      </c>
      <c r="L81" s="129" t="str">
        <f t="shared" si="78"/>
        <v/>
      </c>
      <c r="M81" s="129" t="str">
        <f t="shared" si="79"/>
        <v/>
      </c>
      <c r="N81" s="90" t="str">
        <f>IF(C81="","",VLOOKUP(C81,listaBolsa!$D$2:$AZ$1276,23,0))</f>
        <v/>
      </c>
      <c r="O81" s="130" t="str">
        <f>IF(C81="","",VLOOKUP(C81,listaBolsa!$D$2:$AZ$1276,27,0))</f>
        <v/>
      </c>
      <c r="P81" s="131" t="e">
        <f t="shared" si="80"/>
        <v>#VALUE!</v>
      </c>
      <c r="Q81" s="131" t="e">
        <f t="shared" si="81"/>
        <v>#VALUE!</v>
      </c>
      <c r="R81" s="131" t="str">
        <f t="shared" si="82"/>
        <v/>
      </c>
      <c r="S81" s="131" t="str">
        <f t="shared" si="83"/>
        <v/>
      </c>
      <c r="T81" s="83" t="str">
        <f>IF(C81="","",VLOOKUP(C81,listaBolsa!$D$2:$BB$1276,36,0))</f>
        <v/>
      </c>
      <c r="U81" s="132" t="str">
        <f>IF(C81="","",VLOOKUP(C81,listaBolsa!$D$2:$BB$1276,40,0))</f>
        <v/>
      </c>
      <c r="V81" s="133" t="e">
        <f t="shared" si="84"/>
        <v>#VALUE!</v>
      </c>
      <c r="W81" s="133" t="e">
        <f t="shared" si="85"/>
        <v>#VALUE!</v>
      </c>
      <c r="X81" s="133" t="str">
        <f t="shared" si="86"/>
        <v/>
      </c>
      <c r="Y81" s="133" t="str">
        <f t="shared" si="87"/>
        <v/>
      </c>
      <c r="Z81" s="134" t="str">
        <f t="shared" si="88"/>
        <v/>
      </c>
      <c r="AA81" s="134" t="str">
        <f t="shared" si="89"/>
        <v/>
      </c>
      <c r="AB81" s="135" t="str">
        <f t="shared" si="90"/>
        <v/>
      </c>
      <c r="AC81" s="85" t="str">
        <f t="shared" si="91"/>
        <v/>
      </c>
      <c r="AD81" s="5"/>
      <c r="AF81" s="7" t="str">
        <f>IF(C81="","",VLOOKUP(C81,listaBolsa!$D$2:$BB$276,51,0))</f>
        <v/>
      </c>
      <c r="BG81" s="7">
        <v>71</v>
      </c>
      <c r="CA81" s="7" t="e">
        <f>VLOOKUP(C81,listaBolsa!$D$2:$BA$1248,1,0)</f>
        <v>#N/A</v>
      </c>
      <c r="CB81" s="7" t="e">
        <f>VLOOKUP(C81,listaBolsa!$D$2:$BA$1248,2,0)</f>
        <v>#N/A</v>
      </c>
      <c r="CC81" s="7" t="e">
        <f>VLOOKUP(C81,listaBolsa!$D$2:$BA$1248,10,0)</f>
        <v>#N/A</v>
      </c>
      <c r="CD81" s="7" t="e">
        <f>VLOOKUP(C81,listaBolsa!$D$2:$BA$1248,14,0)</f>
        <v>#N/A</v>
      </c>
      <c r="CE81" s="7" t="e">
        <f>VLOOKUP(C81,listaBolsa!$D$2:$BA$1248,23,0)</f>
        <v>#N/A</v>
      </c>
      <c r="CF81" s="7" t="e">
        <f>VLOOKUP(C81,listaBolsa!$D$2:$BA$1248,29,0)</f>
        <v>#N/A</v>
      </c>
      <c r="CG81" s="7" t="e">
        <f>VLOOKUP(C81,listaBolsa!$D$2:$BA$1248,36,0)</f>
        <v>#N/A</v>
      </c>
      <c r="CH81" s="7" t="e">
        <f>VLOOKUP(C81,listaBolsa!$D$2:$BA$1248,40,0)</f>
        <v>#N/A</v>
      </c>
      <c r="CI81" s="7" t="e">
        <f>VLOOKUP(C81,listaBolsa!$D$2:$BA$1248,48,0)</f>
        <v>#N/A</v>
      </c>
      <c r="CJ81" s="7" t="e">
        <f t="shared" si="66"/>
        <v>#N/A</v>
      </c>
      <c r="CK81" s="7" t="e">
        <f t="shared" si="67"/>
        <v>#N/A</v>
      </c>
      <c r="CL81" s="7" t="e">
        <f t="shared" si="68"/>
        <v>#N/A</v>
      </c>
      <c r="CM81" s="7" t="e">
        <f t="shared" si="69"/>
        <v>#N/A</v>
      </c>
      <c r="CN81" s="7" t="e">
        <f t="shared" si="70"/>
        <v>#N/A</v>
      </c>
      <c r="CO81" s="7" t="e">
        <f t="shared" si="71"/>
        <v>#N/A</v>
      </c>
      <c r="CP81" s="7" t="e">
        <f t="shared" si="72"/>
        <v>#N/A</v>
      </c>
      <c r="CQ81" s="7" t="e">
        <f t="shared" si="73"/>
        <v>#N/A</v>
      </c>
      <c r="CR81" s="7" t="e">
        <f t="shared" si="74"/>
        <v>#N/A</v>
      </c>
    </row>
    <row r="82" spans="1:96" s="7" customFormat="1" ht="21" hidden="1" x14ac:dyDescent="0.25">
      <c r="A82" s="75" t="str">
        <f t="shared" si="75"/>
        <v/>
      </c>
      <c r="B82" s="91"/>
      <c r="C82" s="82"/>
      <c r="D82" s="75" t="str">
        <f>IF(C82="","",VLOOKUP(C82,listaBolsa!$D$2:$H$1118,2,0))</f>
        <v/>
      </c>
      <c r="E82" s="91" t="str">
        <f>IF(C82="","",VLOOKUP(C82,listaBolsa!$D$2:$H$1118,3,0))</f>
        <v/>
      </c>
      <c r="F82" s="92"/>
      <c r="G82" s="86" t="str">
        <f>IF(C82="","",VLOOKUP(C82,listaBolsa!$D$2:$H$1118,5,0))</f>
        <v/>
      </c>
      <c r="H82" s="89" t="str">
        <f>IF(C82="","",VLOOKUP(C82,listaBolsa!$D$2:$W$1118,10,0))</f>
        <v/>
      </c>
      <c r="I82" s="128" t="str">
        <f>IF(C82="","",VLOOKUP(C82,listaBolsa!$D$2:$W$1118,14,0))</f>
        <v/>
      </c>
      <c r="J82" s="129" t="e">
        <f t="shared" si="76"/>
        <v>#VALUE!</v>
      </c>
      <c r="K82" s="129" t="e">
        <f t="shared" si="77"/>
        <v>#VALUE!</v>
      </c>
      <c r="L82" s="129" t="str">
        <f t="shared" si="78"/>
        <v/>
      </c>
      <c r="M82" s="129" t="str">
        <f t="shared" si="79"/>
        <v/>
      </c>
      <c r="N82" s="90" t="str">
        <f>IF(C82="","",VLOOKUP(C82,listaBolsa!$D$2:$AZ$1276,23,0))</f>
        <v/>
      </c>
      <c r="O82" s="130" t="str">
        <f>IF(C82="","",VLOOKUP(C82,listaBolsa!$D$2:$AZ$1276,27,0))</f>
        <v/>
      </c>
      <c r="P82" s="131" t="e">
        <f t="shared" si="80"/>
        <v>#VALUE!</v>
      </c>
      <c r="Q82" s="131" t="e">
        <f t="shared" si="81"/>
        <v>#VALUE!</v>
      </c>
      <c r="R82" s="131" t="str">
        <f t="shared" si="82"/>
        <v/>
      </c>
      <c r="S82" s="131" t="str">
        <f t="shared" si="83"/>
        <v/>
      </c>
      <c r="T82" s="83" t="str">
        <f>IF(C82="","",VLOOKUP(C82,listaBolsa!$D$2:$BB$1276,36,0))</f>
        <v/>
      </c>
      <c r="U82" s="132" t="str">
        <f>IF(C82="","",VLOOKUP(C82,listaBolsa!$D$2:$BB$1276,40,0))</f>
        <v/>
      </c>
      <c r="V82" s="133" t="e">
        <f t="shared" si="84"/>
        <v>#VALUE!</v>
      </c>
      <c r="W82" s="133" t="e">
        <f t="shared" si="85"/>
        <v>#VALUE!</v>
      </c>
      <c r="X82" s="133" t="str">
        <f t="shared" si="86"/>
        <v/>
      </c>
      <c r="Y82" s="133" t="str">
        <f t="shared" si="87"/>
        <v/>
      </c>
      <c r="Z82" s="134" t="str">
        <f t="shared" si="88"/>
        <v/>
      </c>
      <c r="AA82" s="134" t="str">
        <f t="shared" si="89"/>
        <v/>
      </c>
      <c r="AB82" s="135" t="str">
        <f t="shared" si="90"/>
        <v/>
      </c>
      <c r="AC82" s="85" t="str">
        <f t="shared" si="91"/>
        <v/>
      </c>
      <c r="AD82" s="5"/>
      <c r="AF82" s="7" t="str">
        <f>IF(C82="","",VLOOKUP(C82,listaBolsa!$D$2:$BB$276,51,0))</f>
        <v/>
      </c>
      <c r="BG82" s="7">
        <v>72</v>
      </c>
      <c r="CA82" s="7" t="e">
        <f>VLOOKUP(C82,listaBolsa!$D$2:$BA$1248,1,0)</f>
        <v>#N/A</v>
      </c>
      <c r="CB82" s="7" t="e">
        <f>VLOOKUP(C82,listaBolsa!$D$2:$BA$1248,2,0)</f>
        <v>#N/A</v>
      </c>
      <c r="CC82" s="7" t="e">
        <f>VLOOKUP(C82,listaBolsa!$D$2:$BA$1248,10,0)</f>
        <v>#N/A</v>
      </c>
      <c r="CD82" s="7" t="e">
        <f>VLOOKUP(C82,listaBolsa!$D$2:$BA$1248,14,0)</f>
        <v>#N/A</v>
      </c>
      <c r="CE82" s="7" t="e">
        <f>VLOOKUP(C82,listaBolsa!$D$2:$BA$1248,23,0)</f>
        <v>#N/A</v>
      </c>
      <c r="CF82" s="7" t="e">
        <f>VLOOKUP(C82,listaBolsa!$D$2:$BA$1248,29,0)</f>
        <v>#N/A</v>
      </c>
      <c r="CG82" s="7" t="e">
        <f>VLOOKUP(C82,listaBolsa!$D$2:$BA$1248,36,0)</f>
        <v>#N/A</v>
      </c>
      <c r="CH82" s="7" t="e">
        <f>VLOOKUP(C82,listaBolsa!$D$2:$BA$1248,40,0)</f>
        <v>#N/A</v>
      </c>
      <c r="CI82" s="7" t="e">
        <f>VLOOKUP(C82,listaBolsa!$D$2:$BA$1248,48,0)</f>
        <v>#N/A</v>
      </c>
      <c r="CJ82" s="7" t="e">
        <f t="shared" si="66"/>
        <v>#N/A</v>
      </c>
      <c r="CK82" s="7" t="e">
        <f t="shared" si="67"/>
        <v>#N/A</v>
      </c>
      <c r="CL82" s="7" t="e">
        <f t="shared" si="68"/>
        <v>#N/A</v>
      </c>
      <c r="CM82" s="7" t="e">
        <f t="shared" si="69"/>
        <v>#N/A</v>
      </c>
      <c r="CN82" s="7" t="e">
        <f t="shared" si="70"/>
        <v>#N/A</v>
      </c>
      <c r="CO82" s="7" t="e">
        <f t="shared" si="71"/>
        <v>#N/A</v>
      </c>
      <c r="CP82" s="7" t="e">
        <f t="shared" si="72"/>
        <v>#N/A</v>
      </c>
      <c r="CQ82" s="7" t="e">
        <f t="shared" si="73"/>
        <v>#N/A</v>
      </c>
      <c r="CR82" s="7" t="e">
        <f t="shared" si="74"/>
        <v>#N/A</v>
      </c>
    </row>
    <row r="83" spans="1:96" s="7" customFormat="1" ht="21" hidden="1" x14ac:dyDescent="0.25">
      <c r="A83" s="75" t="str">
        <f t="shared" si="75"/>
        <v/>
      </c>
      <c r="B83" s="91"/>
      <c r="C83" s="82"/>
      <c r="D83" s="75" t="str">
        <f>IF(C83="","",VLOOKUP(C83,listaBolsa!$D$2:$H$1118,2,0))</f>
        <v/>
      </c>
      <c r="E83" s="91" t="str">
        <f>IF(C83="","",VLOOKUP(C83,listaBolsa!$D$2:$H$1118,3,0))</f>
        <v/>
      </c>
      <c r="F83" s="92"/>
      <c r="G83" s="86" t="str">
        <f>IF(C83="","",VLOOKUP(C83,listaBolsa!$D$2:$H$1118,5,0))</f>
        <v/>
      </c>
      <c r="H83" s="89" t="str">
        <f>IF(C83="","",VLOOKUP(C83,listaBolsa!$D$2:$W$1118,10,0))</f>
        <v/>
      </c>
      <c r="I83" s="128" t="str">
        <f>IF(C83="","",VLOOKUP(C83,listaBolsa!$D$2:$W$1118,14,0))</f>
        <v/>
      </c>
      <c r="J83" s="129" t="e">
        <f t="shared" si="76"/>
        <v>#VALUE!</v>
      </c>
      <c r="K83" s="129" t="e">
        <f t="shared" si="77"/>
        <v>#VALUE!</v>
      </c>
      <c r="L83" s="129" t="str">
        <f t="shared" si="78"/>
        <v/>
      </c>
      <c r="M83" s="129" t="str">
        <f t="shared" si="79"/>
        <v/>
      </c>
      <c r="N83" s="90" t="str">
        <f>IF(C83="","",VLOOKUP(C83,listaBolsa!$D$2:$AZ$1276,23,0))</f>
        <v/>
      </c>
      <c r="O83" s="130" t="str">
        <f>IF(C83="","",VLOOKUP(C83,listaBolsa!$D$2:$AZ$1276,27,0))</f>
        <v/>
      </c>
      <c r="P83" s="131" t="e">
        <f t="shared" si="80"/>
        <v>#VALUE!</v>
      </c>
      <c r="Q83" s="131" t="e">
        <f t="shared" si="81"/>
        <v>#VALUE!</v>
      </c>
      <c r="R83" s="131" t="str">
        <f t="shared" si="82"/>
        <v/>
      </c>
      <c r="S83" s="131" t="str">
        <f t="shared" si="83"/>
        <v/>
      </c>
      <c r="T83" s="83" t="str">
        <f>IF(C83="","",VLOOKUP(C83,listaBolsa!$D$2:$BB$1276,36,0))</f>
        <v/>
      </c>
      <c r="U83" s="132" t="str">
        <f>IF(C83="","",VLOOKUP(C83,listaBolsa!$D$2:$BB$1276,40,0))</f>
        <v/>
      </c>
      <c r="V83" s="133" t="e">
        <f t="shared" si="84"/>
        <v>#VALUE!</v>
      </c>
      <c r="W83" s="133" t="e">
        <f t="shared" si="85"/>
        <v>#VALUE!</v>
      </c>
      <c r="X83" s="133" t="str">
        <f t="shared" si="86"/>
        <v/>
      </c>
      <c r="Y83" s="133" t="str">
        <f t="shared" si="87"/>
        <v/>
      </c>
      <c r="Z83" s="134" t="str">
        <f t="shared" si="88"/>
        <v/>
      </c>
      <c r="AA83" s="134" t="str">
        <f t="shared" si="89"/>
        <v/>
      </c>
      <c r="AB83" s="135" t="str">
        <f t="shared" si="90"/>
        <v/>
      </c>
      <c r="AC83" s="85" t="str">
        <f t="shared" si="91"/>
        <v/>
      </c>
      <c r="AD83" s="5"/>
      <c r="AF83" s="7" t="str">
        <f>IF(C83="","",VLOOKUP(C83,listaBolsa!$D$2:$BB$276,51,0))</f>
        <v/>
      </c>
      <c r="BG83" s="7">
        <v>73</v>
      </c>
      <c r="CA83" s="7" t="e">
        <f>VLOOKUP(C83,listaBolsa!$D$2:$BA$1248,1,0)</f>
        <v>#N/A</v>
      </c>
      <c r="CB83" s="7" t="e">
        <f>VLOOKUP(C83,listaBolsa!$D$2:$BA$1248,2,0)</f>
        <v>#N/A</v>
      </c>
      <c r="CC83" s="7" t="e">
        <f>VLOOKUP(C83,listaBolsa!$D$2:$BA$1248,10,0)</f>
        <v>#N/A</v>
      </c>
      <c r="CD83" s="7" t="e">
        <f>VLOOKUP(C83,listaBolsa!$D$2:$BA$1248,14,0)</f>
        <v>#N/A</v>
      </c>
      <c r="CE83" s="7" t="e">
        <f>VLOOKUP(C83,listaBolsa!$D$2:$BA$1248,23,0)</f>
        <v>#N/A</v>
      </c>
      <c r="CF83" s="7" t="e">
        <f>VLOOKUP(C83,listaBolsa!$D$2:$BA$1248,29,0)</f>
        <v>#N/A</v>
      </c>
      <c r="CG83" s="7" t="e">
        <f>VLOOKUP(C83,listaBolsa!$D$2:$BA$1248,36,0)</f>
        <v>#N/A</v>
      </c>
      <c r="CH83" s="7" t="e">
        <f>VLOOKUP(C83,listaBolsa!$D$2:$BA$1248,40,0)</f>
        <v>#N/A</v>
      </c>
      <c r="CI83" s="7" t="e">
        <f>VLOOKUP(C83,listaBolsa!$D$2:$BA$1248,48,0)</f>
        <v>#N/A</v>
      </c>
      <c r="CJ83" s="7" t="e">
        <f t="shared" si="66"/>
        <v>#N/A</v>
      </c>
      <c r="CK83" s="7" t="e">
        <f t="shared" si="67"/>
        <v>#N/A</v>
      </c>
      <c r="CL83" s="7" t="e">
        <f t="shared" si="68"/>
        <v>#N/A</v>
      </c>
      <c r="CM83" s="7" t="e">
        <f t="shared" si="69"/>
        <v>#N/A</v>
      </c>
      <c r="CN83" s="7" t="e">
        <f t="shared" si="70"/>
        <v>#N/A</v>
      </c>
      <c r="CO83" s="7" t="e">
        <f t="shared" si="71"/>
        <v>#N/A</v>
      </c>
      <c r="CP83" s="7" t="e">
        <f t="shared" si="72"/>
        <v>#N/A</v>
      </c>
      <c r="CQ83" s="7" t="e">
        <f t="shared" si="73"/>
        <v>#N/A</v>
      </c>
      <c r="CR83" s="7" t="e">
        <f t="shared" si="74"/>
        <v>#N/A</v>
      </c>
    </row>
    <row r="84" spans="1:96" s="7" customFormat="1" ht="21" hidden="1" x14ac:dyDescent="0.25">
      <c r="A84" s="75" t="str">
        <f t="shared" si="75"/>
        <v/>
      </c>
      <c r="B84" s="91"/>
      <c r="C84" s="82"/>
      <c r="D84" s="75" t="str">
        <f>IF(C84="","",VLOOKUP(C84,listaBolsa!$D$2:$H$1118,2,0))</f>
        <v/>
      </c>
      <c r="E84" s="91" t="str">
        <f>IF(C84="","",VLOOKUP(C84,listaBolsa!$D$2:$H$1118,3,0))</f>
        <v/>
      </c>
      <c r="F84" s="92"/>
      <c r="G84" s="86" t="str">
        <f>IF(C84="","",VLOOKUP(C84,listaBolsa!$D$2:$H$1118,5,0))</f>
        <v/>
      </c>
      <c r="H84" s="89" t="str">
        <f>IF(C84="","",VLOOKUP(C84,listaBolsa!$D$2:$W$1118,10,0))</f>
        <v/>
      </c>
      <c r="I84" s="128" t="str">
        <f>IF(C84="","",VLOOKUP(C84,listaBolsa!$D$2:$W$1118,14,0))</f>
        <v/>
      </c>
      <c r="J84" s="129" t="e">
        <f t="shared" si="76"/>
        <v>#VALUE!</v>
      </c>
      <c r="K84" s="129" t="e">
        <f t="shared" si="77"/>
        <v>#VALUE!</v>
      </c>
      <c r="L84" s="129" t="str">
        <f t="shared" si="78"/>
        <v/>
      </c>
      <c r="M84" s="129" t="str">
        <f t="shared" si="79"/>
        <v/>
      </c>
      <c r="N84" s="90" t="str">
        <f>IF(C84="","",VLOOKUP(C84,listaBolsa!$D$2:$AZ$1276,23,0))</f>
        <v/>
      </c>
      <c r="O84" s="130" t="str">
        <f>IF(C84="","",VLOOKUP(C84,listaBolsa!$D$2:$AZ$1276,27,0))</f>
        <v/>
      </c>
      <c r="P84" s="131" t="e">
        <f t="shared" si="80"/>
        <v>#VALUE!</v>
      </c>
      <c r="Q84" s="131" t="e">
        <f t="shared" si="81"/>
        <v>#VALUE!</v>
      </c>
      <c r="R84" s="131" t="str">
        <f t="shared" si="82"/>
        <v/>
      </c>
      <c r="S84" s="131" t="str">
        <f t="shared" si="83"/>
        <v/>
      </c>
      <c r="T84" s="83" t="str">
        <f>IF(C84="","",VLOOKUP(C84,listaBolsa!$D$2:$BB$1276,36,0))</f>
        <v/>
      </c>
      <c r="U84" s="132" t="str">
        <f>IF(C84="","",VLOOKUP(C84,listaBolsa!$D$2:$BB$1276,40,0))</f>
        <v/>
      </c>
      <c r="V84" s="133" t="e">
        <f t="shared" si="84"/>
        <v>#VALUE!</v>
      </c>
      <c r="W84" s="133" t="e">
        <f t="shared" si="85"/>
        <v>#VALUE!</v>
      </c>
      <c r="X84" s="133" t="str">
        <f t="shared" si="86"/>
        <v/>
      </c>
      <c r="Y84" s="133" t="str">
        <f t="shared" si="87"/>
        <v/>
      </c>
      <c r="Z84" s="134" t="str">
        <f t="shared" si="88"/>
        <v/>
      </c>
      <c r="AA84" s="134" t="str">
        <f t="shared" si="89"/>
        <v/>
      </c>
      <c r="AB84" s="135" t="str">
        <f t="shared" si="90"/>
        <v/>
      </c>
      <c r="AC84" s="85" t="str">
        <f t="shared" si="91"/>
        <v/>
      </c>
      <c r="AD84" s="5"/>
      <c r="AF84" s="7" t="str">
        <f>IF(C84="","",VLOOKUP(C84,listaBolsa!$D$2:$BB$276,51,0))</f>
        <v/>
      </c>
      <c r="BG84" s="7">
        <v>74</v>
      </c>
      <c r="CA84" s="7" t="e">
        <f>VLOOKUP(C84,listaBolsa!$D$2:$BA$1248,1,0)</f>
        <v>#N/A</v>
      </c>
      <c r="CB84" s="7" t="e">
        <f>VLOOKUP(C84,listaBolsa!$D$2:$BA$1248,2,0)</f>
        <v>#N/A</v>
      </c>
      <c r="CC84" s="7" t="e">
        <f>VLOOKUP(C84,listaBolsa!$D$2:$BA$1248,10,0)</f>
        <v>#N/A</v>
      </c>
      <c r="CD84" s="7" t="e">
        <f>VLOOKUP(C84,listaBolsa!$D$2:$BA$1248,14,0)</f>
        <v>#N/A</v>
      </c>
      <c r="CE84" s="7" t="e">
        <f>VLOOKUP(C84,listaBolsa!$D$2:$BA$1248,23,0)</f>
        <v>#N/A</v>
      </c>
      <c r="CF84" s="7" t="e">
        <f>VLOOKUP(C84,listaBolsa!$D$2:$BA$1248,29,0)</f>
        <v>#N/A</v>
      </c>
      <c r="CG84" s="7" t="e">
        <f>VLOOKUP(C84,listaBolsa!$D$2:$BA$1248,36,0)</f>
        <v>#N/A</v>
      </c>
      <c r="CH84" s="7" t="e">
        <f>VLOOKUP(C84,listaBolsa!$D$2:$BA$1248,40,0)</f>
        <v>#N/A</v>
      </c>
      <c r="CI84" s="7" t="e">
        <f>VLOOKUP(C84,listaBolsa!$D$2:$BA$1248,48,0)</f>
        <v>#N/A</v>
      </c>
      <c r="CJ84" s="7" t="e">
        <f t="shared" si="66"/>
        <v>#N/A</v>
      </c>
      <c r="CK84" s="7" t="e">
        <f t="shared" si="67"/>
        <v>#N/A</v>
      </c>
      <c r="CL84" s="7" t="e">
        <f t="shared" si="68"/>
        <v>#N/A</v>
      </c>
      <c r="CM84" s="7" t="e">
        <f t="shared" si="69"/>
        <v>#N/A</v>
      </c>
      <c r="CN84" s="7" t="e">
        <f t="shared" si="70"/>
        <v>#N/A</v>
      </c>
      <c r="CO84" s="7" t="e">
        <f t="shared" si="71"/>
        <v>#N/A</v>
      </c>
      <c r="CP84" s="7" t="e">
        <f t="shared" si="72"/>
        <v>#N/A</v>
      </c>
      <c r="CQ84" s="7" t="e">
        <f t="shared" si="73"/>
        <v>#N/A</v>
      </c>
      <c r="CR84" s="7" t="e">
        <f t="shared" si="74"/>
        <v>#N/A</v>
      </c>
    </row>
    <row r="85" spans="1:96" s="7" customFormat="1" ht="21" hidden="1" x14ac:dyDescent="0.25">
      <c r="A85" s="75" t="str">
        <f t="shared" si="75"/>
        <v/>
      </c>
      <c r="B85" s="91"/>
      <c r="C85" s="82"/>
      <c r="D85" s="75" t="str">
        <f>IF(C85="","",VLOOKUP(C85,listaBolsa!$D$2:$H$1118,2,0))</f>
        <v/>
      </c>
      <c r="E85" s="91" t="str">
        <f>IF(C85="","",VLOOKUP(C85,listaBolsa!$D$2:$H$1118,3,0))</f>
        <v/>
      </c>
      <c r="F85" s="92"/>
      <c r="G85" s="86" t="str">
        <f>IF(C85="","",VLOOKUP(C85,listaBolsa!$D$2:$H$1118,5,0))</f>
        <v/>
      </c>
      <c r="H85" s="89" t="str">
        <f>IF(C85="","",VLOOKUP(C85,listaBolsa!$D$2:$W$1118,10,0))</f>
        <v/>
      </c>
      <c r="I85" s="128" t="str">
        <f>IF(C85="","",VLOOKUP(C85,listaBolsa!$D$2:$W$1118,14,0))</f>
        <v/>
      </c>
      <c r="J85" s="129" t="e">
        <f t="shared" si="76"/>
        <v>#VALUE!</v>
      </c>
      <c r="K85" s="129" t="e">
        <f t="shared" si="77"/>
        <v>#VALUE!</v>
      </c>
      <c r="L85" s="129" t="str">
        <f t="shared" si="78"/>
        <v/>
      </c>
      <c r="M85" s="129" t="str">
        <f t="shared" si="79"/>
        <v/>
      </c>
      <c r="N85" s="90" t="str">
        <f>IF(C85="","",VLOOKUP(C85,listaBolsa!$D$2:$AZ$1276,23,0))</f>
        <v/>
      </c>
      <c r="O85" s="130" t="str">
        <f>IF(C85="","",VLOOKUP(C85,listaBolsa!$D$2:$AZ$1276,27,0))</f>
        <v/>
      </c>
      <c r="P85" s="131" t="e">
        <f t="shared" si="80"/>
        <v>#VALUE!</v>
      </c>
      <c r="Q85" s="131" t="e">
        <f t="shared" si="81"/>
        <v>#VALUE!</v>
      </c>
      <c r="R85" s="131" t="str">
        <f t="shared" si="82"/>
        <v/>
      </c>
      <c r="S85" s="131" t="str">
        <f t="shared" si="83"/>
        <v/>
      </c>
      <c r="T85" s="83" t="str">
        <f>IF(C85="","",VLOOKUP(C85,listaBolsa!$D$2:$BB$1276,36,0))</f>
        <v/>
      </c>
      <c r="U85" s="132" t="str">
        <f>IF(C85="","",VLOOKUP(C85,listaBolsa!$D$2:$BB$1276,40,0))</f>
        <v/>
      </c>
      <c r="V85" s="133" t="e">
        <f t="shared" si="84"/>
        <v>#VALUE!</v>
      </c>
      <c r="W85" s="133" t="e">
        <f t="shared" si="85"/>
        <v>#VALUE!</v>
      </c>
      <c r="X85" s="133" t="str">
        <f t="shared" si="86"/>
        <v/>
      </c>
      <c r="Y85" s="133" t="str">
        <f t="shared" si="87"/>
        <v/>
      </c>
      <c r="Z85" s="134" t="str">
        <f t="shared" si="88"/>
        <v/>
      </c>
      <c r="AA85" s="134" t="str">
        <f t="shared" si="89"/>
        <v/>
      </c>
      <c r="AB85" s="135" t="str">
        <f t="shared" si="90"/>
        <v/>
      </c>
      <c r="AC85" s="85" t="str">
        <f t="shared" si="91"/>
        <v/>
      </c>
      <c r="AD85" s="5"/>
      <c r="AF85" s="7" t="str">
        <f>IF(C85="","",VLOOKUP(C85,listaBolsa!$D$2:$BB$276,51,0))</f>
        <v/>
      </c>
      <c r="BG85" s="7">
        <v>75</v>
      </c>
      <c r="CA85" s="7" t="e">
        <f>VLOOKUP(C85,listaBolsa!$D$2:$BA$1248,1,0)</f>
        <v>#N/A</v>
      </c>
      <c r="CB85" s="7" t="e">
        <f>VLOOKUP(C85,listaBolsa!$D$2:$BA$1248,2,0)</f>
        <v>#N/A</v>
      </c>
      <c r="CC85" s="7" t="e">
        <f>VLOOKUP(C85,listaBolsa!$D$2:$BA$1248,10,0)</f>
        <v>#N/A</v>
      </c>
      <c r="CD85" s="7" t="e">
        <f>VLOOKUP(C85,listaBolsa!$D$2:$BA$1248,14,0)</f>
        <v>#N/A</v>
      </c>
      <c r="CE85" s="7" t="e">
        <f>VLOOKUP(C85,listaBolsa!$D$2:$BA$1248,23,0)</f>
        <v>#N/A</v>
      </c>
      <c r="CF85" s="7" t="e">
        <f>VLOOKUP(C85,listaBolsa!$D$2:$BA$1248,29,0)</f>
        <v>#N/A</v>
      </c>
      <c r="CG85" s="7" t="e">
        <f>VLOOKUP(C85,listaBolsa!$D$2:$BA$1248,36,0)</f>
        <v>#N/A</v>
      </c>
      <c r="CH85" s="7" t="e">
        <f>VLOOKUP(C85,listaBolsa!$D$2:$BA$1248,40,0)</f>
        <v>#N/A</v>
      </c>
      <c r="CI85" s="7" t="e">
        <f>VLOOKUP(C85,listaBolsa!$D$2:$BA$1248,48,0)</f>
        <v>#N/A</v>
      </c>
      <c r="CJ85" s="7" t="e">
        <f t="shared" si="66"/>
        <v>#N/A</v>
      </c>
      <c r="CK85" s="7" t="e">
        <f t="shared" si="67"/>
        <v>#N/A</v>
      </c>
      <c r="CL85" s="7" t="e">
        <f t="shared" si="68"/>
        <v>#N/A</v>
      </c>
      <c r="CM85" s="7" t="e">
        <f t="shared" si="69"/>
        <v>#N/A</v>
      </c>
      <c r="CN85" s="7" t="e">
        <f t="shared" si="70"/>
        <v>#N/A</v>
      </c>
      <c r="CO85" s="7" t="e">
        <f t="shared" si="71"/>
        <v>#N/A</v>
      </c>
      <c r="CP85" s="7" t="e">
        <f t="shared" si="72"/>
        <v>#N/A</v>
      </c>
      <c r="CQ85" s="7" t="e">
        <f t="shared" si="73"/>
        <v>#N/A</v>
      </c>
      <c r="CR85" s="7" t="e">
        <f t="shared" si="74"/>
        <v>#N/A</v>
      </c>
    </row>
    <row r="86" spans="1:96" s="7" customFormat="1" ht="21" hidden="1" x14ac:dyDescent="0.25">
      <c r="A86" s="75" t="str">
        <f t="shared" si="75"/>
        <v/>
      </c>
      <c r="B86" s="91"/>
      <c r="C86" s="82"/>
      <c r="D86" s="75" t="str">
        <f>IF(C86="","",VLOOKUP(C86,listaBolsa!$D$2:$H$1118,2,0))</f>
        <v/>
      </c>
      <c r="E86" s="91" t="str">
        <f>IF(C86="","",VLOOKUP(C86,listaBolsa!$D$2:$H$1118,3,0))</f>
        <v/>
      </c>
      <c r="F86" s="92"/>
      <c r="G86" s="86" t="str">
        <f>IF(C86="","",VLOOKUP(C86,listaBolsa!$D$2:$H$1118,5,0))</f>
        <v/>
      </c>
      <c r="H86" s="89" t="str">
        <f>IF(C86="","",VLOOKUP(C86,listaBolsa!$D$2:$W$1118,10,0))</f>
        <v/>
      </c>
      <c r="I86" s="128" t="str">
        <f>IF(C86="","",VLOOKUP(C86,listaBolsa!$D$2:$W$1118,14,0))</f>
        <v/>
      </c>
      <c r="J86" s="129" t="e">
        <f t="shared" si="76"/>
        <v>#VALUE!</v>
      </c>
      <c r="K86" s="129" t="e">
        <f t="shared" si="77"/>
        <v>#VALUE!</v>
      </c>
      <c r="L86" s="129" t="str">
        <f t="shared" si="78"/>
        <v/>
      </c>
      <c r="M86" s="129" t="str">
        <f t="shared" si="79"/>
        <v/>
      </c>
      <c r="N86" s="90" t="str">
        <f>IF(C86="","",VLOOKUP(C86,listaBolsa!$D$2:$AZ$1276,23,0))</f>
        <v/>
      </c>
      <c r="O86" s="130" t="str">
        <f>IF(C86="","",VLOOKUP(C86,listaBolsa!$D$2:$AZ$1276,27,0))</f>
        <v/>
      </c>
      <c r="P86" s="131" t="e">
        <f t="shared" si="80"/>
        <v>#VALUE!</v>
      </c>
      <c r="Q86" s="131" t="e">
        <f t="shared" si="81"/>
        <v>#VALUE!</v>
      </c>
      <c r="R86" s="131" t="str">
        <f t="shared" si="82"/>
        <v/>
      </c>
      <c r="S86" s="131" t="str">
        <f t="shared" si="83"/>
        <v/>
      </c>
      <c r="T86" s="83" t="str">
        <f>IF(C86="","",VLOOKUP(C86,listaBolsa!$D$2:$BB$1276,36,0))</f>
        <v/>
      </c>
      <c r="U86" s="132" t="str">
        <f>IF(C86="","",VLOOKUP(C86,listaBolsa!$D$2:$BB$1276,40,0))</f>
        <v/>
      </c>
      <c r="V86" s="133" t="e">
        <f t="shared" si="84"/>
        <v>#VALUE!</v>
      </c>
      <c r="W86" s="133" t="e">
        <f t="shared" si="85"/>
        <v>#VALUE!</v>
      </c>
      <c r="X86" s="133" t="str">
        <f t="shared" si="86"/>
        <v/>
      </c>
      <c r="Y86" s="133" t="str">
        <f t="shared" si="87"/>
        <v/>
      </c>
      <c r="Z86" s="134" t="str">
        <f t="shared" si="88"/>
        <v/>
      </c>
      <c r="AA86" s="134" t="str">
        <f t="shared" si="89"/>
        <v/>
      </c>
      <c r="AB86" s="135" t="str">
        <f t="shared" si="90"/>
        <v/>
      </c>
      <c r="AC86" s="85" t="str">
        <f t="shared" si="91"/>
        <v/>
      </c>
      <c r="AD86" s="5"/>
      <c r="AF86" s="7" t="str">
        <f>IF(C86="","",VLOOKUP(C86,listaBolsa!$D$2:$BB$276,51,0))</f>
        <v/>
      </c>
      <c r="BG86" s="7">
        <v>76</v>
      </c>
      <c r="CA86" s="7" t="e">
        <f>VLOOKUP(C86,listaBolsa!$D$2:$BA$1248,1,0)</f>
        <v>#N/A</v>
      </c>
      <c r="CB86" s="7" t="e">
        <f>VLOOKUP(C86,listaBolsa!$D$2:$BA$1248,2,0)</f>
        <v>#N/A</v>
      </c>
      <c r="CC86" s="7" t="e">
        <f>VLOOKUP(C86,listaBolsa!$D$2:$BA$1248,10,0)</f>
        <v>#N/A</v>
      </c>
      <c r="CD86" s="7" t="e">
        <f>VLOOKUP(C86,listaBolsa!$D$2:$BA$1248,14,0)</f>
        <v>#N/A</v>
      </c>
      <c r="CE86" s="7" t="e">
        <f>VLOOKUP(C86,listaBolsa!$D$2:$BA$1248,23,0)</f>
        <v>#N/A</v>
      </c>
      <c r="CF86" s="7" t="e">
        <f>VLOOKUP(C86,listaBolsa!$D$2:$BA$1248,29,0)</f>
        <v>#N/A</v>
      </c>
      <c r="CG86" s="7" t="e">
        <f>VLOOKUP(C86,listaBolsa!$D$2:$BA$1248,36,0)</f>
        <v>#N/A</v>
      </c>
      <c r="CH86" s="7" t="e">
        <f>VLOOKUP(C86,listaBolsa!$D$2:$BA$1248,40,0)</f>
        <v>#N/A</v>
      </c>
      <c r="CI86" s="7" t="e">
        <f>VLOOKUP(C86,listaBolsa!$D$2:$BA$1248,48,0)</f>
        <v>#N/A</v>
      </c>
      <c r="CJ86" s="7" t="e">
        <f t="shared" si="66"/>
        <v>#N/A</v>
      </c>
      <c r="CK86" s="7" t="e">
        <f t="shared" si="67"/>
        <v>#N/A</v>
      </c>
      <c r="CL86" s="7" t="e">
        <f t="shared" si="68"/>
        <v>#N/A</v>
      </c>
      <c r="CM86" s="7" t="e">
        <f t="shared" si="69"/>
        <v>#N/A</v>
      </c>
      <c r="CN86" s="7" t="e">
        <f t="shared" si="70"/>
        <v>#N/A</v>
      </c>
      <c r="CO86" s="7" t="e">
        <f t="shared" si="71"/>
        <v>#N/A</v>
      </c>
      <c r="CP86" s="7" t="e">
        <f t="shared" si="72"/>
        <v>#N/A</v>
      </c>
      <c r="CQ86" s="7" t="e">
        <f t="shared" si="73"/>
        <v>#N/A</v>
      </c>
      <c r="CR86" s="7" t="e">
        <f t="shared" si="74"/>
        <v>#N/A</v>
      </c>
    </row>
    <row r="87" spans="1:96" s="7" customFormat="1" ht="21" hidden="1" x14ac:dyDescent="0.25">
      <c r="A87" s="75" t="str">
        <f t="shared" si="75"/>
        <v/>
      </c>
      <c r="B87" s="91"/>
      <c r="C87" s="82"/>
      <c r="D87" s="75" t="str">
        <f>IF(C87="","",VLOOKUP(C87,listaBolsa!$D$2:$H$1118,2,0))</f>
        <v/>
      </c>
      <c r="E87" s="91" t="str">
        <f>IF(C87="","",VLOOKUP(C87,listaBolsa!$D$2:$H$1118,3,0))</f>
        <v/>
      </c>
      <c r="F87" s="92"/>
      <c r="G87" s="86" t="str">
        <f>IF(C87="","",VLOOKUP(C87,listaBolsa!$D$2:$H$1118,5,0))</f>
        <v/>
      </c>
      <c r="H87" s="89" t="str">
        <f>IF(C87="","",VLOOKUP(C87,listaBolsa!$D$2:$W$1118,10,0))</f>
        <v/>
      </c>
      <c r="I87" s="128" t="str">
        <f>IF(C87="","",VLOOKUP(C87,listaBolsa!$D$2:$W$1118,14,0))</f>
        <v/>
      </c>
      <c r="J87" s="129" t="e">
        <f t="shared" si="76"/>
        <v>#VALUE!</v>
      </c>
      <c r="K87" s="129" t="e">
        <f t="shared" si="77"/>
        <v>#VALUE!</v>
      </c>
      <c r="L87" s="129" t="str">
        <f t="shared" si="78"/>
        <v/>
      </c>
      <c r="M87" s="129" t="str">
        <f t="shared" si="79"/>
        <v/>
      </c>
      <c r="N87" s="90" t="str">
        <f>IF(C87="","",VLOOKUP(C87,listaBolsa!$D$2:$AZ$1276,23,0))</f>
        <v/>
      </c>
      <c r="O87" s="130" t="str">
        <f>IF(C87="","",VLOOKUP(C87,listaBolsa!$D$2:$AZ$1276,27,0))</f>
        <v/>
      </c>
      <c r="P87" s="131" t="e">
        <f t="shared" si="80"/>
        <v>#VALUE!</v>
      </c>
      <c r="Q87" s="131" t="e">
        <f t="shared" si="81"/>
        <v>#VALUE!</v>
      </c>
      <c r="R87" s="131" t="str">
        <f t="shared" si="82"/>
        <v/>
      </c>
      <c r="S87" s="131" t="str">
        <f t="shared" si="83"/>
        <v/>
      </c>
      <c r="T87" s="83" t="str">
        <f>IF(C87="","",VLOOKUP(C87,listaBolsa!$D$2:$BB$1276,36,0))</f>
        <v/>
      </c>
      <c r="U87" s="132" t="str">
        <f>IF(C87="","",VLOOKUP(C87,listaBolsa!$D$2:$BB$1276,40,0))</f>
        <v/>
      </c>
      <c r="V87" s="133" t="e">
        <f t="shared" si="84"/>
        <v>#VALUE!</v>
      </c>
      <c r="W87" s="133" t="e">
        <f t="shared" si="85"/>
        <v>#VALUE!</v>
      </c>
      <c r="X87" s="133" t="str">
        <f t="shared" si="86"/>
        <v/>
      </c>
      <c r="Y87" s="133" t="str">
        <f t="shared" si="87"/>
        <v/>
      </c>
      <c r="Z87" s="134" t="str">
        <f t="shared" si="88"/>
        <v/>
      </c>
      <c r="AA87" s="134" t="str">
        <f t="shared" si="89"/>
        <v/>
      </c>
      <c r="AB87" s="135" t="str">
        <f t="shared" si="90"/>
        <v/>
      </c>
      <c r="AC87" s="85" t="str">
        <f t="shared" si="91"/>
        <v/>
      </c>
      <c r="AD87" s="5"/>
      <c r="AF87" s="7" t="str">
        <f>IF(C87="","",VLOOKUP(C87,listaBolsa!$D$2:$BB$276,51,0))</f>
        <v/>
      </c>
      <c r="BG87" s="7">
        <v>77</v>
      </c>
      <c r="CA87" s="7" t="e">
        <f>VLOOKUP(C87,listaBolsa!$D$2:$BA$1248,1,0)</f>
        <v>#N/A</v>
      </c>
      <c r="CB87" s="7" t="e">
        <f>VLOOKUP(C87,listaBolsa!$D$2:$BA$1248,2,0)</f>
        <v>#N/A</v>
      </c>
      <c r="CC87" s="7" t="e">
        <f>VLOOKUP(C87,listaBolsa!$D$2:$BA$1248,10,0)</f>
        <v>#N/A</v>
      </c>
      <c r="CD87" s="7" t="e">
        <f>VLOOKUP(C87,listaBolsa!$D$2:$BA$1248,14,0)</f>
        <v>#N/A</v>
      </c>
      <c r="CE87" s="7" t="e">
        <f>VLOOKUP(C87,listaBolsa!$D$2:$BA$1248,23,0)</f>
        <v>#N/A</v>
      </c>
      <c r="CF87" s="7" t="e">
        <f>VLOOKUP(C87,listaBolsa!$D$2:$BA$1248,29,0)</f>
        <v>#N/A</v>
      </c>
      <c r="CG87" s="7" t="e">
        <f>VLOOKUP(C87,listaBolsa!$D$2:$BA$1248,36,0)</f>
        <v>#N/A</v>
      </c>
      <c r="CH87" s="7" t="e">
        <f>VLOOKUP(C87,listaBolsa!$D$2:$BA$1248,40,0)</f>
        <v>#N/A</v>
      </c>
      <c r="CI87" s="7" t="e">
        <f>VLOOKUP(C87,listaBolsa!$D$2:$BA$1248,48,0)</f>
        <v>#N/A</v>
      </c>
      <c r="CJ87" s="7" t="e">
        <f t="shared" si="66"/>
        <v>#N/A</v>
      </c>
      <c r="CK87" s="7" t="e">
        <f t="shared" si="67"/>
        <v>#N/A</v>
      </c>
      <c r="CL87" s="7" t="e">
        <f t="shared" si="68"/>
        <v>#N/A</v>
      </c>
      <c r="CM87" s="7" t="e">
        <f t="shared" si="69"/>
        <v>#N/A</v>
      </c>
      <c r="CN87" s="7" t="e">
        <f t="shared" si="70"/>
        <v>#N/A</v>
      </c>
      <c r="CO87" s="7" t="e">
        <f t="shared" si="71"/>
        <v>#N/A</v>
      </c>
      <c r="CP87" s="7" t="e">
        <f t="shared" si="72"/>
        <v>#N/A</v>
      </c>
      <c r="CQ87" s="7" t="e">
        <f t="shared" si="73"/>
        <v>#N/A</v>
      </c>
      <c r="CR87" s="7" t="e">
        <f t="shared" si="74"/>
        <v>#N/A</v>
      </c>
    </row>
    <row r="88" spans="1:96" s="7" customFormat="1" ht="21" hidden="1" x14ac:dyDescent="0.25">
      <c r="A88" s="75" t="str">
        <f t="shared" si="75"/>
        <v/>
      </c>
      <c r="B88" s="91"/>
      <c r="C88" s="82"/>
      <c r="D88" s="75" t="str">
        <f>IF(C88="","",VLOOKUP(C88,listaBolsa!$D$2:$H$1118,2,0))</f>
        <v/>
      </c>
      <c r="E88" s="91" t="str">
        <f>IF(C88="","",VLOOKUP(C88,listaBolsa!$D$2:$H$1118,3,0))</f>
        <v/>
      </c>
      <c r="F88" s="92"/>
      <c r="G88" s="86" t="str">
        <f>IF(C88="","",VLOOKUP(C88,listaBolsa!$D$2:$H$1118,5,0))</f>
        <v/>
      </c>
      <c r="H88" s="89" t="str">
        <f>IF(C88="","",VLOOKUP(C88,listaBolsa!$D$2:$W$1118,10,0))</f>
        <v/>
      </c>
      <c r="I88" s="128" t="str">
        <f>IF(C88="","",VLOOKUP(C88,listaBolsa!$D$2:$W$1118,14,0))</f>
        <v/>
      </c>
      <c r="J88" s="129" t="e">
        <f t="shared" si="76"/>
        <v>#VALUE!</v>
      </c>
      <c r="K88" s="129" t="e">
        <f t="shared" si="77"/>
        <v>#VALUE!</v>
      </c>
      <c r="L88" s="129" t="str">
        <f t="shared" si="78"/>
        <v/>
      </c>
      <c r="M88" s="129" t="str">
        <f t="shared" si="79"/>
        <v/>
      </c>
      <c r="N88" s="90" t="str">
        <f>IF(C88="","",VLOOKUP(C88,listaBolsa!$D$2:$AZ$1276,23,0))</f>
        <v/>
      </c>
      <c r="O88" s="130" t="str">
        <f>IF(C88="","",VLOOKUP(C88,listaBolsa!$D$2:$AZ$1276,27,0))</f>
        <v/>
      </c>
      <c r="P88" s="131" t="e">
        <f t="shared" si="80"/>
        <v>#VALUE!</v>
      </c>
      <c r="Q88" s="131" t="e">
        <f t="shared" si="81"/>
        <v>#VALUE!</v>
      </c>
      <c r="R88" s="131" t="str">
        <f t="shared" si="82"/>
        <v/>
      </c>
      <c r="S88" s="131" t="str">
        <f t="shared" si="83"/>
        <v/>
      </c>
      <c r="T88" s="83" t="str">
        <f>IF(C88="","",VLOOKUP(C88,listaBolsa!$D$2:$BB$1276,36,0))</f>
        <v/>
      </c>
      <c r="U88" s="132" t="str">
        <f>IF(C88="","",VLOOKUP(C88,listaBolsa!$D$2:$BB$1276,40,0))</f>
        <v/>
      </c>
      <c r="V88" s="133" t="e">
        <f t="shared" si="84"/>
        <v>#VALUE!</v>
      </c>
      <c r="W88" s="133" t="e">
        <f t="shared" si="85"/>
        <v>#VALUE!</v>
      </c>
      <c r="X88" s="133" t="str">
        <f t="shared" si="86"/>
        <v/>
      </c>
      <c r="Y88" s="133" t="str">
        <f t="shared" si="87"/>
        <v/>
      </c>
      <c r="Z88" s="134" t="str">
        <f t="shared" si="88"/>
        <v/>
      </c>
      <c r="AA88" s="134" t="str">
        <f t="shared" si="89"/>
        <v/>
      </c>
      <c r="AB88" s="135" t="str">
        <f t="shared" si="90"/>
        <v/>
      </c>
      <c r="AC88" s="85" t="str">
        <f t="shared" si="91"/>
        <v/>
      </c>
      <c r="AD88" s="5"/>
      <c r="AF88" s="7" t="str">
        <f>IF(C88="","",VLOOKUP(C88,listaBolsa!$D$2:$BB$276,51,0))</f>
        <v/>
      </c>
      <c r="BG88" s="7">
        <v>78</v>
      </c>
      <c r="CA88" s="7" t="e">
        <f>VLOOKUP(C88,listaBolsa!$D$2:$BA$1248,1,0)</f>
        <v>#N/A</v>
      </c>
      <c r="CB88" s="7" t="e">
        <f>VLOOKUP(C88,listaBolsa!$D$2:$BA$1248,2,0)</f>
        <v>#N/A</v>
      </c>
      <c r="CC88" s="7" t="e">
        <f>VLOOKUP(C88,listaBolsa!$D$2:$BA$1248,10,0)</f>
        <v>#N/A</v>
      </c>
      <c r="CD88" s="7" t="e">
        <f>VLOOKUP(C88,listaBolsa!$D$2:$BA$1248,14,0)</f>
        <v>#N/A</v>
      </c>
      <c r="CE88" s="7" t="e">
        <f>VLOOKUP(C88,listaBolsa!$D$2:$BA$1248,23,0)</f>
        <v>#N/A</v>
      </c>
      <c r="CF88" s="7" t="e">
        <f>VLOOKUP(C88,listaBolsa!$D$2:$BA$1248,29,0)</f>
        <v>#N/A</v>
      </c>
      <c r="CG88" s="7" t="e">
        <f>VLOOKUP(C88,listaBolsa!$D$2:$BA$1248,36,0)</f>
        <v>#N/A</v>
      </c>
      <c r="CH88" s="7" t="e">
        <f>VLOOKUP(C88,listaBolsa!$D$2:$BA$1248,40,0)</f>
        <v>#N/A</v>
      </c>
      <c r="CI88" s="7" t="e">
        <f>VLOOKUP(C88,listaBolsa!$D$2:$BA$1248,48,0)</f>
        <v>#N/A</v>
      </c>
      <c r="CJ88" s="7" t="e">
        <f t="shared" si="66"/>
        <v>#N/A</v>
      </c>
      <c r="CK88" s="7" t="e">
        <f t="shared" si="67"/>
        <v>#N/A</v>
      </c>
      <c r="CL88" s="7" t="e">
        <f t="shared" si="68"/>
        <v>#N/A</v>
      </c>
      <c r="CM88" s="7" t="e">
        <f t="shared" si="69"/>
        <v>#N/A</v>
      </c>
      <c r="CN88" s="7" t="e">
        <f t="shared" si="70"/>
        <v>#N/A</v>
      </c>
      <c r="CO88" s="7" t="e">
        <f t="shared" si="71"/>
        <v>#N/A</v>
      </c>
      <c r="CP88" s="7" t="e">
        <f t="shared" si="72"/>
        <v>#N/A</v>
      </c>
      <c r="CQ88" s="7" t="e">
        <f t="shared" si="73"/>
        <v>#N/A</v>
      </c>
      <c r="CR88" s="7" t="e">
        <f t="shared" si="74"/>
        <v>#N/A</v>
      </c>
    </row>
    <row r="89" spans="1:96" s="7" customFormat="1" ht="21" hidden="1" x14ac:dyDescent="0.25">
      <c r="A89" s="75" t="str">
        <f t="shared" si="75"/>
        <v/>
      </c>
      <c r="B89" s="91"/>
      <c r="C89" s="82"/>
      <c r="D89" s="75" t="str">
        <f>IF(C89="","",VLOOKUP(C89,listaBolsa!$D$2:$H$1118,2,0))</f>
        <v/>
      </c>
      <c r="E89" s="91" t="str">
        <f>IF(C89="","",VLOOKUP(C89,listaBolsa!$D$2:$H$1118,3,0))</f>
        <v/>
      </c>
      <c r="F89" s="92"/>
      <c r="G89" s="86" t="str">
        <f>IF(C89="","",VLOOKUP(C89,listaBolsa!$D$2:$H$1118,5,0))</f>
        <v/>
      </c>
      <c r="H89" s="89" t="str">
        <f>IF(C89="","",VLOOKUP(C89,listaBolsa!$D$2:$W$1118,10,0))</f>
        <v/>
      </c>
      <c r="I89" s="128" t="str">
        <f>IF(C89="","",VLOOKUP(C89,listaBolsa!$D$2:$W$1118,14,0))</f>
        <v/>
      </c>
      <c r="J89" s="129" t="e">
        <f t="shared" si="76"/>
        <v>#VALUE!</v>
      </c>
      <c r="K89" s="129" t="e">
        <f t="shared" si="77"/>
        <v>#VALUE!</v>
      </c>
      <c r="L89" s="129" t="str">
        <f t="shared" si="78"/>
        <v/>
      </c>
      <c r="M89" s="129" t="str">
        <f t="shared" si="79"/>
        <v/>
      </c>
      <c r="N89" s="90" t="str">
        <f>IF(C89="","",VLOOKUP(C89,listaBolsa!$D$2:$AZ$1276,23,0))</f>
        <v/>
      </c>
      <c r="O89" s="130" t="str">
        <f>IF(C89="","",VLOOKUP(C89,listaBolsa!$D$2:$AZ$1276,27,0))</f>
        <v/>
      </c>
      <c r="P89" s="131" t="e">
        <f t="shared" si="80"/>
        <v>#VALUE!</v>
      </c>
      <c r="Q89" s="131" t="e">
        <f t="shared" si="81"/>
        <v>#VALUE!</v>
      </c>
      <c r="R89" s="131" t="str">
        <f t="shared" si="82"/>
        <v/>
      </c>
      <c r="S89" s="131" t="str">
        <f t="shared" si="83"/>
        <v/>
      </c>
      <c r="T89" s="83" t="str">
        <f>IF(C89="","",VLOOKUP(C89,listaBolsa!$D$2:$BB$1276,36,0))</f>
        <v/>
      </c>
      <c r="U89" s="132" t="str">
        <f>IF(C89="","",VLOOKUP(C89,listaBolsa!$D$2:$BB$1276,40,0))</f>
        <v/>
      </c>
      <c r="V89" s="133" t="e">
        <f t="shared" si="84"/>
        <v>#VALUE!</v>
      </c>
      <c r="W89" s="133" t="e">
        <f t="shared" si="85"/>
        <v>#VALUE!</v>
      </c>
      <c r="X89" s="133" t="str">
        <f t="shared" si="86"/>
        <v/>
      </c>
      <c r="Y89" s="133" t="str">
        <f t="shared" si="87"/>
        <v/>
      </c>
      <c r="Z89" s="134" t="str">
        <f t="shared" si="88"/>
        <v/>
      </c>
      <c r="AA89" s="134" t="str">
        <f t="shared" si="89"/>
        <v/>
      </c>
      <c r="AB89" s="135" t="str">
        <f t="shared" si="90"/>
        <v/>
      </c>
      <c r="AC89" s="85" t="str">
        <f t="shared" si="91"/>
        <v/>
      </c>
      <c r="AD89" s="5"/>
      <c r="AF89" s="7" t="str">
        <f>IF(C89="","",VLOOKUP(C89,listaBolsa!$D$2:$BB$276,51,0))</f>
        <v/>
      </c>
      <c r="BG89" s="7">
        <v>79</v>
      </c>
      <c r="CA89" s="7" t="e">
        <f>VLOOKUP(C89,listaBolsa!$D$2:$BA$1248,1,0)</f>
        <v>#N/A</v>
      </c>
      <c r="CB89" s="7" t="e">
        <f>VLOOKUP(C89,listaBolsa!$D$2:$BA$1248,2,0)</f>
        <v>#N/A</v>
      </c>
      <c r="CC89" s="7" t="e">
        <f>VLOOKUP(C89,listaBolsa!$D$2:$BA$1248,10,0)</f>
        <v>#N/A</v>
      </c>
      <c r="CD89" s="7" t="e">
        <f>VLOOKUP(C89,listaBolsa!$D$2:$BA$1248,14,0)</f>
        <v>#N/A</v>
      </c>
      <c r="CE89" s="7" t="e">
        <f>VLOOKUP(C89,listaBolsa!$D$2:$BA$1248,23,0)</f>
        <v>#N/A</v>
      </c>
      <c r="CF89" s="7" t="e">
        <f>VLOOKUP(C89,listaBolsa!$D$2:$BA$1248,29,0)</f>
        <v>#N/A</v>
      </c>
      <c r="CG89" s="7" t="e">
        <f>VLOOKUP(C89,listaBolsa!$D$2:$BA$1248,36,0)</f>
        <v>#N/A</v>
      </c>
      <c r="CH89" s="7" t="e">
        <f>VLOOKUP(C89,listaBolsa!$D$2:$BA$1248,40,0)</f>
        <v>#N/A</v>
      </c>
      <c r="CI89" s="7" t="e">
        <f>VLOOKUP(C89,listaBolsa!$D$2:$BA$1248,48,0)</f>
        <v>#N/A</v>
      </c>
      <c r="CJ89" s="7" t="e">
        <f t="shared" si="66"/>
        <v>#N/A</v>
      </c>
      <c r="CK89" s="7" t="e">
        <f t="shared" si="67"/>
        <v>#N/A</v>
      </c>
      <c r="CL89" s="7" t="e">
        <f t="shared" si="68"/>
        <v>#N/A</v>
      </c>
      <c r="CM89" s="7" t="e">
        <f t="shared" si="69"/>
        <v>#N/A</v>
      </c>
      <c r="CN89" s="7" t="e">
        <f t="shared" si="70"/>
        <v>#N/A</v>
      </c>
      <c r="CO89" s="7" t="e">
        <f t="shared" si="71"/>
        <v>#N/A</v>
      </c>
      <c r="CP89" s="7" t="e">
        <f t="shared" si="72"/>
        <v>#N/A</v>
      </c>
      <c r="CQ89" s="7" t="e">
        <f t="shared" si="73"/>
        <v>#N/A</v>
      </c>
      <c r="CR89" s="7" t="e">
        <f t="shared" si="74"/>
        <v>#N/A</v>
      </c>
    </row>
    <row r="90" spans="1:96" s="7" customFormat="1" ht="21" hidden="1" x14ac:dyDescent="0.25">
      <c r="A90" s="75" t="str">
        <f t="shared" si="75"/>
        <v/>
      </c>
      <c r="B90" s="91"/>
      <c r="C90" s="82"/>
      <c r="D90" s="75" t="str">
        <f>IF(C90="","",VLOOKUP(C90,listaBolsa!$D$2:$H$1118,2,0))</f>
        <v/>
      </c>
      <c r="E90" s="91" t="str">
        <f>IF(C90="","",VLOOKUP(C90,listaBolsa!$D$2:$H$1118,3,0))</f>
        <v/>
      </c>
      <c r="F90" s="92"/>
      <c r="G90" s="86" t="str">
        <f>IF(C90="","",VLOOKUP(C90,listaBolsa!$D$2:$H$1118,5,0))</f>
        <v/>
      </c>
      <c r="H90" s="89" t="str">
        <f>IF(C90="","",VLOOKUP(C90,listaBolsa!$D$2:$W$1118,10,0))</f>
        <v/>
      </c>
      <c r="I90" s="128" t="str">
        <f>IF(C90="","",VLOOKUP(C90,listaBolsa!$D$2:$W$1118,14,0))</f>
        <v/>
      </c>
      <c r="J90" s="129" t="e">
        <f t="shared" si="76"/>
        <v>#VALUE!</v>
      </c>
      <c r="K90" s="129" t="e">
        <f t="shared" si="77"/>
        <v>#VALUE!</v>
      </c>
      <c r="L90" s="129" t="str">
        <f t="shared" si="78"/>
        <v/>
      </c>
      <c r="M90" s="129" t="str">
        <f t="shared" si="79"/>
        <v/>
      </c>
      <c r="N90" s="90" t="str">
        <f>IF(C90="","",VLOOKUP(C90,listaBolsa!$D$2:$AZ$1276,23,0))</f>
        <v/>
      </c>
      <c r="O90" s="130" t="str">
        <f>IF(C90="","",VLOOKUP(C90,listaBolsa!$D$2:$AZ$1276,27,0))</f>
        <v/>
      </c>
      <c r="P90" s="131" t="e">
        <f t="shared" si="80"/>
        <v>#VALUE!</v>
      </c>
      <c r="Q90" s="131" t="e">
        <f t="shared" si="81"/>
        <v>#VALUE!</v>
      </c>
      <c r="R90" s="131" t="str">
        <f t="shared" si="82"/>
        <v/>
      </c>
      <c r="S90" s="131" t="str">
        <f t="shared" si="83"/>
        <v/>
      </c>
      <c r="T90" s="83" t="str">
        <f>IF(C90="","",VLOOKUP(C90,listaBolsa!$D$2:$BB$1276,36,0))</f>
        <v/>
      </c>
      <c r="U90" s="132" t="str">
        <f>IF(C90="","",VLOOKUP(C90,listaBolsa!$D$2:$BB$1276,40,0))</f>
        <v/>
      </c>
      <c r="V90" s="133" t="e">
        <f t="shared" si="84"/>
        <v>#VALUE!</v>
      </c>
      <c r="W90" s="133" t="e">
        <f t="shared" si="85"/>
        <v>#VALUE!</v>
      </c>
      <c r="X90" s="133" t="str">
        <f t="shared" si="86"/>
        <v/>
      </c>
      <c r="Y90" s="133" t="str">
        <f t="shared" si="87"/>
        <v/>
      </c>
      <c r="Z90" s="134" t="str">
        <f t="shared" si="88"/>
        <v/>
      </c>
      <c r="AA90" s="134" t="str">
        <f t="shared" si="89"/>
        <v/>
      </c>
      <c r="AB90" s="135" t="str">
        <f t="shared" si="90"/>
        <v/>
      </c>
      <c r="AC90" s="85" t="str">
        <f t="shared" si="91"/>
        <v/>
      </c>
      <c r="AD90" s="5"/>
      <c r="AF90" s="7" t="str">
        <f>IF(C90="","",VLOOKUP(C90,listaBolsa!$D$2:$BB$276,51,0))</f>
        <v/>
      </c>
      <c r="BG90" s="7">
        <v>80</v>
      </c>
      <c r="CA90" s="7" t="e">
        <f>VLOOKUP(C90,listaBolsa!$D$2:$BA$1248,1,0)</f>
        <v>#N/A</v>
      </c>
      <c r="CB90" s="7" t="e">
        <f>VLOOKUP(C90,listaBolsa!$D$2:$BA$1248,2,0)</f>
        <v>#N/A</v>
      </c>
      <c r="CC90" s="7" t="e">
        <f>VLOOKUP(C90,listaBolsa!$D$2:$BA$1248,10,0)</f>
        <v>#N/A</v>
      </c>
      <c r="CD90" s="7" t="e">
        <f>VLOOKUP(C90,listaBolsa!$D$2:$BA$1248,14,0)</f>
        <v>#N/A</v>
      </c>
      <c r="CE90" s="7" t="e">
        <f>VLOOKUP(C90,listaBolsa!$D$2:$BA$1248,23,0)</f>
        <v>#N/A</v>
      </c>
      <c r="CF90" s="7" t="e">
        <f>VLOOKUP(C90,listaBolsa!$D$2:$BA$1248,29,0)</f>
        <v>#N/A</v>
      </c>
      <c r="CG90" s="7" t="e">
        <f>VLOOKUP(C90,listaBolsa!$D$2:$BA$1248,36,0)</f>
        <v>#N/A</v>
      </c>
      <c r="CH90" s="7" t="e">
        <f>VLOOKUP(C90,listaBolsa!$D$2:$BA$1248,40,0)</f>
        <v>#N/A</v>
      </c>
      <c r="CI90" s="7" t="e">
        <f>VLOOKUP(C90,listaBolsa!$D$2:$BA$1248,48,0)</f>
        <v>#N/A</v>
      </c>
      <c r="CJ90" s="7" t="e">
        <f t="shared" si="66"/>
        <v>#N/A</v>
      </c>
      <c r="CK90" s="7" t="e">
        <f t="shared" si="67"/>
        <v>#N/A</v>
      </c>
      <c r="CL90" s="7" t="e">
        <f t="shared" si="68"/>
        <v>#N/A</v>
      </c>
      <c r="CM90" s="7" t="e">
        <f t="shared" si="69"/>
        <v>#N/A</v>
      </c>
      <c r="CN90" s="7" t="e">
        <f t="shared" si="70"/>
        <v>#N/A</v>
      </c>
      <c r="CO90" s="7" t="e">
        <f t="shared" si="71"/>
        <v>#N/A</v>
      </c>
      <c r="CP90" s="7" t="e">
        <f t="shared" si="72"/>
        <v>#N/A</v>
      </c>
      <c r="CQ90" s="7" t="e">
        <f t="shared" si="73"/>
        <v>#N/A</v>
      </c>
      <c r="CR90" s="7" t="e">
        <f t="shared" si="74"/>
        <v>#N/A</v>
      </c>
    </row>
    <row r="91" spans="1:96" s="7" customFormat="1" ht="21" hidden="1" x14ac:dyDescent="0.25">
      <c r="A91" s="75" t="str">
        <f t="shared" si="75"/>
        <v/>
      </c>
      <c r="B91" s="91"/>
      <c r="C91" s="82"/>
      <c r="D91" s="75" t="str">
        <f>IF(C91="","",VLOOKUP(C91,listaBolsa!$D$2:$H$1118,2,0))</f>
        <v/>
      </c>
      <c r="E91" s="91" t="str">
        <f>IF(C91="","",VLOOKUP(C91,listaBolsa!$D$2:$H$1118,3,0))</f>
        <v/>
      </c>
      <c r="F91" s="92"/>
      <c r="G91" s="86" t="str">
        <f>IF(C91="","",VLOOKUP(C91,listaBolsa!$D$2:$H$1118,5,0))</f>
        <v/>
      </c>
      <c r="H91" s="89" t="str">
        <f>IF(C91="","",VLOOKUP(C91,listaBolsa!$D$2:$W$1118,10,0))</f>
        <v/>
      </c>
      <c r="I91" s="128" t="str">
        <f>IF(C91="","",VLOOKUP(C91,listaBolsa!$D$2:$W$1118,14,0))</f>
        <v/>
      </c>
      <c r="J91" s="129" t="e">
        <f t="shared" si="76"/>
        <v>#VALUE!</v>
      </c>
      <c r="K91" s="129" t="e">
        <f t="shared" si="77"/>
        <v>#VALUE!</v>
      </c>
      <c r="L91" s="129" t="str">
        <f t="shared" si="78"/>
        <v/>
      </c>
      <c r="M91" s="129" t="str">
        <f t="shared" si="79"/>
        <v/>
      </c>
      <c r="N91" s="90" t="str">
        <f>IF(C91="","",VLOOKUP(C91,listaBolsa!$D$2:$AZ$1276,23,0))</f>
        <v/>
      </c>
      <c r="O91" s="130" t="str">
        <f>IF(C91="","",VLOOKUP(C91,listaBolsa!$D$2:$AZ$1276,27,0))</f>
        <v/>
      </c>
      <c r="P91" s="131" t="e">
        <f t="shared" si="80"/>
        <v>#VALUE!</v>
      </c>
      <c r="Q91" s="131" t="e">
        <f t="shared" si="81"/>
        <v>#VALUE!</v>
      </c>
      <c r="R91" s="131" t="str">
        <f t="shared" si="82"/>
        <v/>
      </c>
      <c r="S91" s="131" t="str">
        <f t="shared" si="83"/>
        <v/>
      </c>
      <c r="T91" s="83" t="str">
        <f>IF(C91="","",VLOOKUP(C91,listaBolsa!$D$2:$BB$1276,36,0))</f>
        <v/>
      </c>
      <c r="U91" s="132" t="str">
        <f>IF(C91="","",VLOOKUP(C91,listaBolsa!$D$2:$BB$1276,40,0))</f>
        <v/>
      </c>
      <c r="V91" s="133" t="e">
        <f t="shared" si="84"/>
        <v>#VALUE!</v>
      </c>
      <c r="W91" s="133" t="e">
        <f t="shared" si="85"/>
        <v>#VALUE!</v>
      </c>
      <c r="X91" s="133" t="str">
        <f t="shared" si="86"/>
        <v/>
      </c>
      <c r="Y91" s="133" t="str">
        <f t="shared" si="87"/>
        <v/>
      </c>
      <c r="Z91" s="134" t="str">
        <f t="shared" si="88"/>
        <v/>
      </c>
      <c r="AA91" s="134" t="str">
        <f t="shared" si="89"/>
        <v/>
      </c>
      <c r="AB91" s="135" t="str">
        <f t="shared" si="90"/>
        <v/>
      </c>
      <c r="AC91" s="85" t="str">
        <f t="shared" si="91"/>
        <v/>
      </c>
      <c r="AD91" s="5"/>
      <c r="AF91" s="7" t="str">
        <f>IF(C91="","",VLOOKUP(C91,listaBolsa!$D$2:$BB$276,51,0))</f>
        <v/>
      </c>
      <c r="BG91" s="7">
        <v>81</v>
      </c>
      <c r="CA91" s="7" t="e">
        <f>VLOOKUP(C91,listaBolsa!$D$2:$BA$1248,1,0)</f>
        <v>#N/A</v>
      </c>
      <c r="CB91" s="7" t="e">
        <f>VLOOKUP(C91,listaBolsa!$D$2:$BA$1248,2,0)</f>
        <v>#N/A</v>
      </c>
      <c r="CC91" s="7" t="e">
        <f>VLOOKUP(C91,listaBolsa!$D$2:$BA$1248,10,0)</f>
        <v>#N/A</v>
      </c>
      <c r="CD91" s="7" t="e">
        <f>VLOOKUP(C91,listaBolsa!$D$2:$BA$1248,14,0)</f>
        <v>#N/A</v>
      </c>
      <c r="CE91" s="7" t="e">
        <f>VLOOKUP(C91,listaBolsa!$D$2:$BA$1248,23,0)</f>
        <v>#N/A</v>
      </c>
      <c r="CF91" s="7" t="e">
        <f>VLOOKUP(C91,listaBolsa!$D$2:$BA$1248,29,0)</f>
        <v>#N/A</v>
      </c>
      <c r="CG91" s="7" t="e">
        <f>VLOOKUP(C91,listaBolsa!$D$2:$BA$1248,36,0)</f>
        <v>#N/A</v>
      </c>
      <c r="CH91" s="7" t="e">
        <f>VLOOKUP(C91,listaBolsa!$D$2:$BA$1248,40,0)</f>
        <v>#N/A</v>
      </c>
      <c r="CI91" s="7" t="e">
        <f>VLOOKUP(C91,listaBolsa!$D$2:$BA$1248,48,0)</f>
        <v>#N/A</v>
      </c>
      <c r="CJ91" s="7" t="e">
        <f t="shared" si="66"/>
        <v>#N/A</v>
      </c>
      <c r="CK91" s="7" t="e">
        <f t="shared" si="67"/>
        <v>#N/A</v>
      </c>
      <c r="CL91" s="7" t="e">
        <f t="shared" si="68"/>
        <v>#N/A</v>
      </c>
      <c r="CM91" s="7" t="e">
        <f t="shared" si="69"/>
        <v>#N/A</v>
      </c>
      <c r="CN91" s="7" t="e">
        <f t="shared" si="70"/>
        <v>#N/A</v>
      </c>
      <c r="CO91" s="7" t="e">
        <f t="shared" si="71"/>
        <v>#N/A</v>
      </c>
      <c r="CP91" s="7" t="e">
        <f t="shared" si="72"/>
        <v>#N/A</v>
      </c>
      <c r="CQ91" s="7" t="e">
        <f t="shared" si="73"/>
        <v>#N/A</v>
      </c>
      <c r="CR91" s="7" t="e">
        <f t="shared" si="74"/>
        <v>#N/A</v>
      </c>
    </row>
    <row r="92" spans="1:96" s="7" customFormat="1" ht="21" hidden="1" x14ac:dyDescent="0.25">
      <c r="A92" s="75" t="str">
        <f t="shared" si="75"/>
        <v/>
      </c>
      <c r="B92" s="91"/>
      <c r="C92" s="82"/>
      <c r="D92" s="75" t="str">
        <f>IF(C92="","",VLOOKUP(C92,listaBolsa!$D$2:$H$1118,2,0))</f>
        <v/>
      </c>
      <c r="E92" s="91" t="str">
        <f>IF(C92="","",VLOOKUP(C92,listaBolsa!$D$2:$H$1118,3,0))</f>
        <v/>
      </c>
      <c r="F92" s="92"/>
      <c r="G92" s="86" t="str">
        <f>IF(C92="","",VLOOKUP(C92,listaBolsa!$D$2:$H$1118,5,0))</f>
        <v/>
      </c>
      <c r="H92" s="89" t="str">
        <f>IF(C92="","",VLOOKUP(C92,listaBolsa!$D$2:$W$1118,10,0))</f>
        <v/>
      </c>
      <c r="I92" s="128" t="str">
        <f>IF(C92="","",VLOOKUP(C92,listaBolsa!$D$2:$W$1118,14,0))</f>
        <v/>
      </c>
      <c r="J92" s="129" t="e">
        <f t="shared" si="76"/>
        <v>#VALUE!</v>
      </c>
      <c r="K92" s="129" t="e">
        <f t="shared" si="77"/>
        <v>#VALUE!</v>
      </c>
      <c r="L92" s="129" t="str">
        <f t="shared" si="78"/>
        <v/>
      </c>
      <c r="M92" s="129" t="str">
        <f t="shared" si="79"/>
        <v/>
      </c>
      <c r="N92" s="90" t="str">
        <f>IF(C92="","",VLOOKUP(C92,listaBolsa!$D$2:$AZ$1276,23,0))</f>
        <v/>
      </c>
      <c r="O92" s="130" t="str">
        <f>IF(C92="","",VLOOKUP(C92,listaBolsa!$D$2:$AZ$1276,27,0))</f>
        <v/>
      </c>
      <c r="P92" s="131" t="e">
        <f t="shared" si="80"/>
        <v>#VALUE!</v>
      </c>
      <c r="Q92" s="131" t="e">
        <f t="shared" si="81"/>
        <v>#VALUE!</v>
      </c>
      <c r="R92" s="131" t="str">
        <f t="shared" si="82"/>
        <v/>
      </c>
      <c r="S92" s="131" t="str">
        <f t="shared" si="83"/>
        <v/>
      </c>
      <c r="T92" s="83" t="str">
        <f>IF(C92="","",VLOOKUP(C92,listaBolsa!$D$2:$BB$1276,36,0))</f>
        <v/>
      </c>
      <c r="U92" s="132" t="str">
        <f>IF(C92="","",VLOOKUP(C92,listaBolsa!$D$2:$BB$1276,40,0))</f>
        <v/>
      </c>
      <c r="V92" s="133" t="e">
        <f t="shared" si="84"/>
        <v>#VALUE!</v>
      </c>
      <c r="W92" s="133" t="e">
        <f t="shared" si="85"/>
        <v>#VALUE!</v>
      </c>
      <c r="X92" s="133" t="str">
        <f t="shared" si="86"/>
        <v/>
      </c>
      <c r="Y92" s="133" t="str">
        <f t="shared" si="87"/>
        <v/>
      </c>
      <c r="Z92" s="134" t="str">
        <f t="shared" si="88"/>
        <v/>
      </c>
      <c r="AA92" s="134" t="str">
        <f t="shared" si="89"/>
        <v/>
      </c>
      <c r="AB92" s="135" t="str">
        <f t="shared" si="90"/>
        <v/>
      </c>
      <c r="AC92" s="85" t="str">
        <f t="shared" si="91"/>
        <v/>
      </c>
      <c r="AD92" s="5"/>
      <c r="AF92" s="7" t="str">
        <f>IF(C92="","",VLOOKUP(C92,listaBolsa!$D$2:$BB$276,51,0))</f>
        <v/>
      </c>
      <c r="BG92" s="7">
        <v>82</v>
      </c>
      <c r="CA92" s="7" t="e">
        <f>VLOOKUP(C92,listaBolsa!$D$2:$BA$1248,1,0)</f>
        <v>#N/A</v>
      </c>
      <c r="CB92" s="7" t="e">
        <f>VLOOKUP(C92,listaBolsa!$D$2:$BA$1248,2,0)</f>
        <v>#N/A</v>
      </c>
      <c r="CC92" s="7" t="e">
        <f>VLOOKUP(C92,listaBolsa!$D$2:$BA$1248,10,0)</f>
        <v>#N/A</v>
      </c>
      <c r="CD92" s="7" t="e">
        <f>VLOOKUP(C92,listaBolsa!$D$2:$BA$1248,14,0)</f>
        <v>#N/A</v>
      </c>
      <c r="CE92" s="7" t="e">
        <f>VLOOKUP(C92,listaBolsa!$D$2:$BA$1248,23,0)</f>
        <v>#N/A</v>
      </c>
      <c r="CF92" s="7" t="e">
        <f>VLOOKUP(C92,listaBolsa!$D$2:$BA$1248,29,0)</f>
        <v>#N/A</v>
      </c>
      <c r="CG92" s="7" t="e">
        <f>VLOOKUP(C92,listaBolsa!$D$2:$BA$1248,36,0)</f>
        <v>#N/A</v>
      </c>
      <c r="CH92" s="7" t="e">
        <f>VLOOKUP(C92,listaBolsa!$D$2:$BA$1248,40,0)</f>
        <v>#N/A</v>
      </c>
      <c r="CI92" s="7" t="e">
        <f>VLOOKUP(C92,listaBolsa!$D$2:$BA$1248,48,0)</f>
        <v>#N/A</v>
      </c>
      <c r="CJ92" s="7" t="e">
        <f t="shared" si="66"/>
        <v>#N/A</v>
      </c>
      <c r="CK92" s="7" t="e">
        <f t="shared" si="67"/>
        <v>#N/A</v>
      </c>
      <c r="CL92" s="7" t="e">
        <f t="shared" si="68"/>
        <v>#N/A</v>
      </c>
      <c r="CM92" s="7" t="e">
        <f t="shared" si="69"/>
        <v>#N/A</v>
      </c>
      <c r="CN92" s="7" t="e">
        <f t="shared" si="70"/>
        <v>#N/A</v>
      </c>
      <c r="CO92" s="7" t="e">
        <f t="shared" si="71"/>
        <v>#N/A</v>
      </c>
      <c r="CP92" s="7" t="e">
        <f t="shared" si="72"/>
        <v>#N/A</v>
      </c>
      <c r="CQ92" s="7" t="e">
        <f t="shared" si="73"/>
        <v>#N/A</v>
      </c>
      <c r="CR92" s="7" t="e">
        <f t="shared" si="74"/>
        <v>#N/A</v>
      </c>
    </row>
    <row r="93" spans="1:96" s="7" customFormat="1" ht="21" hidden="1" x14ac:dyDescent="0.25">
      <c r="A93" s="75" t="str">
        <f t="shared" si="75"/>
        <v/>
      </c>
      <c r="B93" s="91"/>
      <c r="C93" s="82"/>
      <c r="D93" s="75" t="str">
        <f>IF(C93="","",VLOOKUP(C93,listaBolsa!$D$2:$H$1118,2,0))</f>
        <v/>
      </c>
      <c r="E93" s="91" t="str">
        <f>IF(C93="","",VLOOKUP(C93,listaBolsa!$D$2:$H$1118,3,0))</f>
        <v/>
      </c>
      <c r="F93" s="92"/>
      <c r="G93" s="86" t="str">
        <f>IF(C93="","",VLOOKUP(C93,listaBolsa!$D$2:$H$1118,5,0))</f>
        <v/>
      </c>
      <c r="H93" s="89" t="str">
        <f>IF(C93="","",VLOOKUP(C93,listaBolsa!$D$2:$W$1118,10,0))</f>
        <v/>
      </c>
      <c r="I93" s="128" t="str">
        <f>IF(C93="","",VLOOKUP(C93,listaBolsa!$D$2:$W$1118,14,0))</f>
        <v/>
      </c>
      <c r="J93" s="129" t="e">
        <f t="shared" si="76"/>
        <v>#VALUE!</v>
      </c>
      <c r="K93" s="129" t="e">
        <f t="shared" si="77"/>
        <v>#VALUE!</v>
      </c>
      <c r="L93" s="129" t="str">
        <f t="shared" si="78"/>
        <v/>
      </c>
      <c r="M93" s="129" t="str">
        <f t="shared" si="79"/>
        <v/>
      </c>
      <c r="N93" s="90" t="str">
        <f>IF(C93="","",VLOOKUP(C93,listaBolsa!$D$2:$AZ$1276,23,0))</f>
        <v/>
      </c>
      <c r="O93" s="130" t="str">
        <f>IF(C93="","",VLOOKUP(C93,listaBolsa!$D$2:$AZ$1276,27,0))</f>
        <v/>
      </c>
      <c r="P93" s="131" t="e">
        <f t="shared" si="80"/>
        <v>#VALUE!</v>
      </c>
      <c r="Q93" s="131" t="e">
        <f t="shared" si="81"/>
        <v>#VALUE!</v>
      </c>
      <c r="R93" s="131" t="str">
        <f t="shared" si="82"/>
        <v/>
      </c>
      <c r="S93" s="131" t="str">
        <f t="shared" si="83"/>
        <v/>
      </c>
      <c r="T93" s="83" t="str">
        <f>IF(C93="","",VLOOKUP(C93,listaBolsa!$D$2:$BB$1276,36,0))</f>
        <v/>
      </c>
      <c r="U93" s="132" t="str">
        <f>IF(C93="","",VLOOKUP(C93,listaBolsa!$D$2:$BB$1276,40,0))</f>
        <v/>
      </c>
      <c r="V93" s="133" t="e">
        <f t="shared" si="84"/>
        <v>#VALUE!</v>
      </c>
      <c r="W93" s="133" t="e">
        <f t="shared" si="85"/>
        <v>#VALUE!</v>
      </c>
      <c r="X93" s="133" t="str">
        <f t="shared" si="86"/>
        <v/>
      </c>
      <c r="Y93" s="133" t="str">
        <f t="shared" si="87"/>
        <v/>
      </c>
      <c r="Z93" s="134" t="str">
        <f t="shared" si="88"/>
        <v/>
      </c>
      <c r="AA93" s="134" t="str">
        <f t="shared" si="89"/>
        <v/>
      </c>
      <c r="AB93" s="135" t="str">
        <f t="shared" si="90"/>
        <v/>
      </c>
      <c r="AC93" s="85" t="str">
        <f t="shared" si="91"/>
        <v/>
      </c>
      <c r="AD93" s="5"/>
      <c r="AF93" s="7" t="str">
        <f>IF(C93="","",VLOOKUP(C93,listaBolsa!$D$2:$BB$276,51,0))</f>
        <v/>
      </c>
      <c r="BG93" s="7">
        <v>83</v>
      </c>
      <c r="CA93" s="7" t="e">
        <f>VLOOKUP(C93,listaBolsa!$D$2:$BA$1248,1,0)</f>
        <v>#N/A</v>
      </c>
      <c r="CB93" s="7" t="e">
        <f>VLOOKUP(C93,listaBolsa!$D$2:$BA$1248,2,0)</f>
        <v>#N/A</v>
      </c>
      <c r="CC93" s="7" t="e">
        <f>VLOOKUP(C93,listaBolsa!$D$2:$BA$1248,10,0)</f>
        <v>#N/A</v>
      </c>
      <c r="CD93" s="7" t="e">
        <f>VLOOKUP(C93,listaBolsa!$D$2:$BA$1248,14,0)</f>
        <v>#N/A</v>
      </c>
      <c r="CE93" s="7" t="e">
        <f>VLOOKUP(C93,listaBolsa!$D$2:$BA$1248,23,0)</f>
        <v>#N/A</v>
      </c>
      <c r="CF93" s="7" t="e">
        <f>VLOOKUP(C93,listaBolsa!$D$2:$BA$1248,29,0)</f>
        <v>#N/A</v>
      </c>
      <c r="CG93" s="7" t="e">
        <f>VLOOKUP(C93,listaBolsa!$D$2:$BA$1248,36,0)</f>
        <v>#N/A</v>
      </c>
      <c r="CH93" s="7" t="e">
        <f>VLOOKUP(C93,listaBolsa!$D$2:$BA$1248,40,0)</f>
        <v>#N/A</v>
      </c>
      <c r="CI93" s="7" t="e">
        <f>VLOOKUP(C93,listaBolsa!$D$2:$BA$1248,48,0)</f>
        <v>#N/A</v>
      </c>
      <c r="CJ93" s="7" t="e">
        <f t="shared" si="66"/>
        <v>#N/A</v>
      </c>
      <c r="CK93" s="7" t="e">
        <f t="shared" si="67"/>
        <v>#N/A</v>
      </c>
      <c r="CL93" s="7" t="e">
        <f t="shared" si="68"/>
        <v>#N/A</v>
      </c>
      <c r="CM93" s="7" t="e">
        <f t="shared" si="69"/>
        <v>#N/A</v>
      </c>
      <c r="CN93" s="7" t="e">
        <f t="shared" si="70"/>
        <v>#N/A</v>
      </c>
      <c r="CO93" s="7" t="e">
        <f t="shared" si="71"/>
        <v>#N/A</v>
      </c>
      <c r="CP93" s="7" t="e">
        <f t="shared" si="72"/>
        <v>#N/A</v>
      </c>
      <c r="CQ93" s="7" t="e">
        <f t="shared" si="73"/>
        <v>#N/A</v>
      </c>
      <c r="CR93" s="7" t="e">
        <f t="shared" si="74"/>
        <v>#N/A</v>
      </c>
    </row>
    <row r="94" spans="1:96" s="7" customFormat="1" ht="21" hidden="1" x14ac:dyDescent="0.25">
      <c r="A94" s="75" t="str">
        <f t="shared" si="75"/>
        <v/>
      </c>
      <c r="B94" s="91"/>
      <c r="C94" s="82"/>
      <c r="D94" s="75" t="str">
        <f>IF(C94="","",VLOOKUP(C94,listaBolsa!$D$2:$H$1118,2,0))</f>
        <v/>
      </c>
      <c r="E94" s="91" t="str">
        <f>IF(C94="","",VLOOKUP(C94,listaBolsa!$D$2:$H$1118,3,0))</f>
        <v/>
      </c>
      <c r="F94" s="92"/>
      <c r="G94" s="86" t="str">
        <f>IF(C94="","",VLOOKUP(C94,listaBolsa!$D$2:$H$1118,5,0))</f>
        <v/>
      </c>
      <c r="H94" s="89" t="str">
        <f>IF(C94="","",VLOOKUP(C94,listaBolsa!$D$2:$W$1118,10,0))</f>
        <v/>
      </c>
      <c r="I94" s="128" t="str">
        <f>IF(C94="","",VLOOKUP(C94,listaBolsa!$D$2:$W$1118,14,0))</f>
        <v/>
      </c>
      <c r="J94" s="129" t="e">
        <f t="shared" si="76"/>
        <v>#VALUE!</v>
      </c>
      <c r="K94" s="129" t="e">
        <f t="shared" si="77"/>
        <v>#VALUE!</v>
      </c>
      <c r="L94" s="129" t="str">
        <f t="shared" si="78"/>
        <v/>
      </c>
      <c r="M94" s="129" t="str">
        <f t="shared" si="79"/>
        <v/>
      </c>
      <c r="N94" s="90" t="str">
        <f>IF(C94="","",VLOOKUP(C94,listaBolsa!$D$2:$AZ$1276,23,0))</f>
        <v/>
      </c>
      <c r="O94" s="130" t="str">
        <f>IF(C94="","",VLOOKUP(C94,listaBolsa!$D$2:$AZ$1276,27,0))</f>
        <v/>
      </c>
      <c r="P94" s="131" t="e">
        <f t="shared" si="80"/>
        <v>#VALUE!</v>
      </c>
      <c r="Q94" s="131" t="e">
        <f t="shared" si="81"/>
        <v>#VALUE!</v>
      </c>
      <c r="R94" s="131" t="str">
        <f t="shared" si="82"/>
        <v/>
      </c>
      <c r="S94" s="131" t="str">
        <f t="shared" si="83"/>
        <v/>
      </c>
      <c r="T94" s="83" t="str">
        <f>IF(C94="","",VLOOKUP(C94,listaBolsa!$D$2:$BB$1276,36,0))</f>
        <v/>
      </c>
      <c r="U94" s="132" t="str">
        <f>IF(C94="","",VLOOKUP(C94,listaBolsa!$D$2:$BB$1276,40,0))</f>
        <v/>
      </c>
      <c r="V94" s="133" t="e">
        <f t="shared" si="84"/>
        <v>#VALUE!</v>
      </c>
      <c r="W94" s="133" t="e">
        <f t="shared" si="85"/>
        <v>#VALUE!</v>
      </c>
      <c r="X94" s="133" t="str">
        <f t="shared" si="86"/>
        <v/>
      </c>
      <c r="Y94" s="133" t="str">
        <f t="shared" si="87"/>
        <v/>
      </c>
      <c r="Z94" s="134" t="str">
        <f t="shared" si="88"/>
        <v/>
      </c>
      <c r="AA94" s="134" t="str">
        <f t="shared" si="89"/>
        <v/>
      </c>
      <c r="AB94" s="135" t="str">
        <f t="shared" si="90"/>
        <v/>
      </c>
      <c r="AC94" s="85" t="str">
        <f t="shared" si="91"/>
        <v/>
      </c>
      <c r="AD94" s="5"/>
      <c r="AF94" s="7" t="str">
        <f>IF(C94="","",VLOOKUP(C94,listaBolsa!$D$2:$BB$276,51,0))</f>
        <v/>
      </c>
      <c r="BG94" s="7">
        <v>84</v>
      </c>
      <c r="CA94" s="7" t="e">
        <f>VLOOKUP(C94,listaBolsa!$D$2:$BA$1248,1,0)</f>
        <v>#N/A</v>
      </c>
      <c r="CB94" s="7" t="e">
        <f>VLOOKUP(C94,listaBolsa!$D$2:$BA$1248,2,0)</f>
        <v>#N/A</v>
      </c>
      <c r="CC94" s="7" t="e">
        <f>VLOOKUP(C94,listaBolsa!$D$2:$BA$1248,10,0)</f>
        <v>#N/A</v>
      </c>
      <c r="CD94" s="7" t="e">
        <f>VLOOKUP(C94,listaBolsa!$D$2:$BA$1248,14,0)</f>
        <v>#N/A</v>
      </c>
      <c r="CE94" s="7" t="e">
        <f>VLOOKUP(C94,listaBolsa!$D$2:$BA$1248,23,0)</f>
        <v>#N/A</v>
      </c>
      <c r="CF94" s="7" t="e">
        <f>VLOOKUP(C94,listaBolsa!$D$2:$BA$1248,29,0)</f>
        <v>#N/A</v>
      </c>
      <c r="CG94" s="7" t="e">
        <f>VLOOKUP(C94,listaBolsa!$D$2:$BA$1248,36,0)</f>
        <v>#N/A</v>
      </c>
      <c r="CH94" s="7" t="e">
        <f>VLOOKUP(C94,listaBolsa!$D$2:$BA$1248,40,0)</f>
        <v>#N/A</v>
      </c>
      <c r="CI94" s="7" t="e">
        <f>VLOOKUP(C94,listaBolsa!$D$2:$BA$1248,48,0)</f>
        <v>#N/A</v>
      </c>
      <c r="CJ94" s="7" t="e">
        <f t="shared" si="66"/>
        <v>#N/A</v>
      </c>
      <c r="CK94" s="7" t="e">
        <f t="shared" si="67"/>
        <v>#N/A</v>
      </c>
      <c r="CL94" s="7" t="e">
        <f t="shared" si="68"/>
        <v>#N/A</v>
      </c>
      <c r="CM94" s="7" t="e">
        <f t="shared" si="69"/>
        <v>#N/A</v>
      </c>
      <c r="CN94" s="7" t="e">
        <f t="shared" si="70"/>
        <v>#N/A</v>
      </c>
      <c r="CO94" s="7" t="e">
        <f t="shared" si="71"/>
        <v>#N/A</v>
      </c>
      <c r="CP94" s="7" t="e">
        <f t="shared" si="72"/>
        <v>#N/A</v>
      </c>
      <c r="CQ94" s="7" t="e">
        <f t="shared" si="73"/>
        <v>#N/A</v>
      </c>
      <c r="CR94" s="7" t="e">
        <f t="shared" si="74"/>
        <v>#N/A</v>
      </c>
    </row>
    <row r="95" spans="1:96" s="7" customFormat="1" ht="21" hidden="1" x14ac:dyDescent="0.25">
      <c r="A95" s="75" t="str">
        <f t="shared" si="75"/>
        <v/>
      </c>
      <c r="B95" s="91"/>
      <c r="C95" s="82"/>
      <c r="D95" s="75" t="str">
        <f>IF(C95="","",VLOOKUP(C95,listaBolsa!$D$2:$H$1118,2,0))</f>
        <v/>
      </c>
      <c r="E95" s="91" t="str">
        <f>IF(C95="","",VLOOKUP(C95,listaBolsa!$D$2:$H$1118,3,0))</f>
        <v/>
      </c>
      <c r="F95" s="92"/>
      <c r="G95" s="86" t="str">
        <f>IF(C95="","",VLOOKUP(C95,listaBolsa!$D$2:$H$1118,5,0))</f>
        <v/>
      </c>
      <c r="H95" s="89" t="str">
        <f>IF(C95="","",VLOOKUP(C95,listaBolsa!$D$2:$W$1118,10,0))</f>
        <v/>
      </c>
      <c r="I95" s="128" t="str">
        <f>IF(C95="","",VLOOKUP(C95,listaBolsa!$D$2:$W$1118,14,0))</f>
        <v/>
      </c>
      <c r="J95" s="129" t="e">
        <f t="shared" si="76"/>
        <v>#VALUE!</v>
      </c>
      <c r="K95" s="129" t="e">
        <f t="shared" si="77"/>
        <v>#VALUE!</v>
      </c>
      <c r="L95" s="129" t="str">
        <f t="shared" si="78"/>
        <v/>
      </c>
      <c r="M95" s="129" t="str">
        <f t="shared" si="79"/>
        <v/>
      </c>
      <c r="N95" s="90" t="str">
        <f>IF(C95="","",VLOOKUP(C95,listaBolsa!$D$2:$AZ$1276,23,0))</f>
        <v/>
      </c>
      <c r="O95" s="130" t="str">
        <f>IF(C95="","",VLOOKUP(C95,listaBolsa!$D$2:$AZ$1276,27,0))</f>
        <v/>
      </c>
      <c r="P95" s="131" t="e">
        <f t="shared" si="80"/>
        <v>#VALUE!</v>
      </c>
      <c r="Q95" s="131" t="e">
        <f t="shared" si="81"/>
        <v>#VALUE!</v>
      </c>
      <c r="R95" s="131" t="str">
        <f t="shared" si="82"/>
        <v/>
      </c>
      <c r="S95" s="131" t="str">
        <f t="shared" si="83"/>
        <v/>
      </c>
      <c r="T95" s="83" t="str">
        <f>IF(C95="","",VLOOKUP(C95,listaBolsa!$D$2:$BB$1276,36,0))</f>
        <v/>
      </c>
      <c r="U95" s="132" t="str">
        <f>IF(C95="","",VLOOKUP(C95,listaBolsa!$D$2:$BB$1276,40,0))</f>
        <v/>
      </c>
      <c r="V95" s="133" t="e">
        <f t="shared" si="84"/>
        <v>#VALUE!</v>
      </c>
      <c r="W95" s="133" t="e">
        <f t="shared" si="85"/>
        <v>#VALUE!</v>
      </c>
      <c r="X95" s="133" t="str">
        <f t="shared" si="86"/>
        <v/>
      </c>
      <c r="Y95" s="133" t="str">
        <f t="shared" si="87"/>
        <v/>
      </c>
      <c r="Z95" s="134" t="str">
        <f t="shared" si="88"/>
        <v/>
      </c>
      <c r="AA95" s="134" t="str">
        <f t="shared" si="89"/>
        <v/>
      </c>
      <c r="AB95" s="135" t="str">
        <f t="shared" si="90"/>
        <v/>
      </c>
      <c r="AC95" s="85" t="str">
        <f t="shared" si="91"/>
        <v/>
      </c>
      <c r="AD95" s="5"/>
      <c r="AF95" s="7" t="str">
        <f>IF(C95="","",VLOOKUP(C95,listaBolsa!$D$2:$BB$276,51,0))</f>
        <v/>
      </c>
      <c r="BG95" s="7">
        <v>85</v>
      </c>
      <c r="CA95" s="7" t="e">
        <f>VLOOKUP(C95,listaBolsa!$D$2:$BA$1248,1,0)</f>
        <v>#N/A</v>
      </c>
      <c r="CB95" s="7" t="e">
        <f>VLOOKUP(C95,listaBolsa!$D$2:$BA$1248,2,0)</f>
        <v>#N/A</v>
      </c>
      <c r="CC95" s="7" t="e">
        <f>VLOOKUP(C95,listaBolsa!$D$2:$BA$1248,10,0)</f>
        <v>#N/A</v>
      </c>
      <c r="CD95" s="7" t="e">
        <f>VLOOKUP(C95,listaBolsa!$D$2:$BA$1248,14,0)</f>
        <v>#N/A</v>
      </c>
      <c r="CE95" s="7" t="e">
        <f>VLOOKUP(C95,listaBolsa!$D$2:$BA$1248,23,0)</f>
        <v>#N/A</v>
      </c>
      <c r="CF95" s="7" t="e">
        <f>VLOOKUP(C95,listaBolsa!$D$2:$BA$1248,29,0)</f>
        <v>#N/A</v>
      </c>
      <c r="CG95" s="7" t="e">
        <f>VLOOKUP(C95,listaBolsa!$D$2:$BA$1248,36,0)</f>
        <v>#N/A</v>
      </c>
      <c r="CH95" s="7" t="e">
        <f>VLOOKUP(C95,listaBolsa!$D$2:$BA$1248,40,0)</f>
        <v>#N/A</v>
      </c>
      <c r="CI95" s="7" t="e">
        <f>VLOOKUP(C95,listaBolsa!$D$2:$BA$1248,48,0)</f>
        <v>#N/A</v>
      </c>
      <c r="CJ95" s="7" t="e">
        <f t="shared" si="66"/>
        <v>#N/A</v>
      </c>
      <c r="CK95" s="7" t="e">
        <f t="shared" si="67"/>
        <v>#N/A</v>
      </c>
      <c r="CL95" s="7" t="e">
        <f t="shared" si="68"/>
        <v>#N/A</v>
      </c>
      <c r="CM95" s="7" t="e">
        <f t="shared" si="69"/>
        <v>#N/A</v>
      </c>
      <c r="CN95" s="7" t="e">
        <f t="shared" si="70"/>
        <v>#N/A</v>
      </c>
      <c r="CO95" s="7" t="e">
        <f t="shared" si="71"/>
        <v>#N/A</v>
      </c>
      <c r="CP95" s="7" t="e">
        <f t="shared" si="72"/>
        <v>#N/A</v>
      </c>
      <c r="CQ95" s="7" t="e">
        <f t="shared" si="73"/>
        <v>#N/A</v>
      </c>
      <c r="CR95" s="7" t="e">
        <f t="shared" si="74"/>
        <v>#N/A</v>
      </c>
    </row>
    <row r="96" spans="1:96" s="7" customFormat="1" ht="21" hidden="1" x14ac:dyDescent="0.25">
      <c r="A96" s="75" t="str">
        <f t="shared" si="75"/>
        <v/>
      </c>
      <c r="B96" s="91"/>
      <c r="C96" s="82"/>
      <c r="D96" s="75" t="str">
        <f>IF(C96="","",VLOOKUP(C96,listaBolsa!$D$2:$H$1118,2,0))</f>
        <v/>
      </c>
      <c r="E96" s="91" t="str">
        <f>IF(C96="","",VLOOKUP(C96,listaBolsa!$D$2:$H$1118,3,0))</f>
        <v/>
      </c>
      <c r="F96" s="92"/>
      <c r="G96" s="86" t="str">
        <f>IF(C96="","",VLOOKUP(C96,listaBolsa!$D$2:$H$1118,5,0))</f>
        <v/>
      </c>
      <c r="H96" s="89" t="str">
        <f>IF(C96="","",VLOOKUP(C96,listaBolsa!$D$2:$W$1118,10,0))</f>
        <v/>
      </c>
      <c r="I96" s="128" t="str">
        <f>IF(C96="","",VLOOKUP(C96,listaBolsa!$D$2:$W$1118,14,0))</f>
        <v/>
      </c>
      <c r="J96" s="129" t="e">
        <f t="shared" si="76"/>
        <v>#VALUE!</v>
      </c>
      <c r="K96" s="129" t="e">
        <f t="shared" si="77"/>
        <v>#VALUE!</v>
      </c>
      <c r="L96" s="129" t="str">
        <f t="shared" si="78"/>
        <v/>
      </c>
      <c r="M96" s="129" t="str">
        <f t="shared" si="79"/>
        <v/>
      </c>
      <c r="N96" s="90" t="str">
        <f>IF(C96="","",VLOOKUP(C96,listaBolsa!$D$2:$AZ$1276,23,0))</f>
        <v/>
      </c>
      <c r="O96" s="130" t="str">
        <f>IF(C96="","",VLOOKUP(C96,listaBolsa!$D$2:$AZ$1276,27,0))</f>
        <v/>
      </c>
      <c r="P96" s="131" t="e">
        <f t="shared" si="80"/>
        <v>#VALUE!</v>
      </c>
      <c r="Q96" s="131" t="e">
        <f t="shared" si="81"/>
        <v>#VALUE!</v>
      </c>
      <c r="R96" s="131" t="str">
        <f t="shared" si="82"/>
        <v/>
      </c>
      <c r="S96" s="131" t="str">
        <f t="shared" si="83"/>
        <v/>
      </c>
      <c r="T96" s="83" t="str">
        <f>IF(C96="","",VLOOKUP(C96,listaBolsa!$D$2:$BB$1276,36,0))</f>
        <v/>
      </c>
      <c r="U96" s="132" t="str">
        <f>IF(C96="","",VLOOKUP(C96,listaBolsa!$D$2:$BB$1276,40,0))</f>
        <v/>
      </c>
      <c r="V96" s="133" t="e">
        <f t="shared" si="84"/>
        <v>#VALUE!</v>
      </c>
      <c r="W96" s="133" t="e">
        <f t="shared" si="85"/>
        <v>#VALUE!</v>
      </c>
      <c r="X96" s="133" t="str">
        <f t="shared" si="86"/>
        <v/>
      </c>
      <c r="Y96" s="133" t="str">
        <f t="shared" si="87"/>
        <v/>
      </c>
      <c r="Z96" s="134" t="str">
        <f t="shared" si="88"/>
        <v/>
      </c>
      <c r="AA96" s="134" t="str">
        <f t="shared" si="89"/>
        <v/>
      </c>
      <c r="AB96" s="135" t="str">
        <f t="shared" si="90"/>
        <v/>
      </c>
      <c r="AC96" s="85" t="str">
        <f t="shared" si="91"/>
        <v/>
      </c>
      <c r="AD96" s="5"/>
      <c r="AF96" s="7" t="str">
        <f>IF(C96="","",VLOOKUP(C96,listaBolsa!$D$2:$BB$276,51,0))</f>
        <v/>
      </c>
      <c r="BG96" s="7">
        <v>86</v>
      </c>
      <c r="CA96" s="7" t="e">
        <f>VLOOKUP(C96,listaBolsa!$D$2:$BA$1248,1,0)</f>
        <v>#N/A</v>
      </c>
      <c r="CB96" s="7" t="e">
        <f>VLOOKUP(C96,listaBolsa!$D$2:$BA$1248,2,0)</f>
        <v>#N/A</v>
      </c>
      <c r="CC96" s="7" t="e">
        <f>VLOOKUP(C96,listaBolsa!$D$2:$BA$1248,10,0)</f>
        <v>#N/A</v>
      </c>
      <c r="CD96" s="7" t="e">
        <f>VLOOKUP(C96,listaBolsa!$D$2:$BA$1248,14,0)</f>
        <v>#N/A</v>
      </c>
      <c r="CE96" s="7" t="e">
        <f>VLOOKUP(C96,listaBolsa!$D$2:$BA$1248,23,0)</f>
        <v>#N/A</v>
      </c>
      <c r="CF96" s="7" t="e">
        <f>VLOOKUP(C96,listaBolsa!$D$2:$BA$1248,29,0)</f>
        <v>#N/A</v>
      </c>
      <c r="CG96" s="7" t="e">
        <f>VLOOKUP(C96,listaBolsa!$D$2:$BA$1248,36,0)</f>
        <v>#N/A</v>
      </c>
      <c r="CH96" s="7" t="e">
        <f>VLOOKUP(C96,listaBolsa!$D$2:$BA$1248,40,0)</f>
        <v>#N/A</v>
      </c>
      <c r="CI96" s="7" t="e">
        <f>VLOOKUP(C96,listaBolsa!$D$2:$BA$1248,48,0)</f>
        <v>#N/A</v>
      </c>
      <c r="CJ96" s="7" t="e">
        <f t="shared" si="66"/>
        <v>#N/A</v>
      </c>
      <c r="CK96" s="7" t="e">
        <f t="shared" si="67"/>
        <v>#N/A</v>
      </c>
      <c r="CL96" s="7" t="e">
        <f t="shared" si="68"/>
        <v>#N/A</v>
      </c>
      <c r="CM96" s="7" t="e">
        <f t="shared" si="69"/>
        <v>#N/A</v>
      </c>
      <c r="CN96" s="7" t="e">
        <f t="shared" si="70"/>
        <v>#N/A</v>
      </c>
      <c r="CO96" s="7" t="e">
        <f t="shared" si="71"/>
        <v>#N/A</v>
      </c>
      <c r="CP96" s="7" t="e">
        <f t="shared" si="72"/>
        <v>#N/A</v>
      </c>
      <c r="CQ96" s="7" t="e">
        <f t="shared" si="73"/>
        <v>#N/A</v>
      </c>
      <c r="CR96" s="7" t="e">
        <f t="shared" si="74"/>
        <v>#N/A</v>
      </c>
    </row>
    <row r="97" spans="1:96" s="7" customFormat="1" ht="21" hidden="1" x14ac:dyDescent="0.25">
      <c r="A97" s="75" t="str">
        <f t="shared" si="75"/>
        <v/>
      </c>
      <c r="B97" s="91"/>
      <c r="C97" s="82"/>
      <c r="D97" s="75" t="str">
        <f>IF(C97="","",VLOOKUP(C97,listaBolsa!$D$2:$H$1118,2,0))</f>
        <v/>
      </c>
      <c r="E97" s="91" t="str">
        <f>IF(C97="","",VLOOKUP(C97,listaBolsa!$D$2:$H$1118,3,0))</f>
        <v/>
      </c>
      <c r="F97" s="92"/>
      <c r="G97" s="86" t="str">
        <f>IF(C97="","",VLOOKUP(C97,listaBolsa!$D$2:$H$1118,5,0))</f>
        <v/>
      </c>
      <c r="H97" s="89" t="str">
        <f>IF(C97="","",VLOOKUP(C97,listaBolsa!$D$2:$W$1118,10,0))</f>
        <v/>
      </c>
      <c r="I97" s="128" t="str">
        <f>IF(C97="","",VLOOKUP(C97,listaBolsa!$D$2:$W$1118,14,0))</f>
        <v/>
      </c>
      <c r="J97" s="129" t="e">
        <f t="shared" si="76"/>
        <v>#VALUE!</v>
      </c>
      <c r="K97" s="129" t="e">
        <f t="shared" si="77"/>
        <v>#VALUE!</v>
      </c>
      <c r="L97" s="129" t="str">
        <f t="shared" si="78"/>
        <v/>
      </c>
      <c r="M97" s="129" t="str">
        <f t="shared" si="79"/>
        <v/>
      </c>
      <c r="N97" s="90" t="str">
        <f>IF(C97="","",VLOOKUP(C97,listaBolsa!$D$2:$AZ$1276,23,0))</f>
        <v/>
      </c>
      <c r="O97" s="130" t="str">
        <f>IF(C97="","",VLOOKUP(C97,listaBolsa!$D$2:$AZ$1276,27,0))</f>
        <v/>
      </c>
      <c r="P97" s="131" t="e">
        <f t="shared" si="80"/>
        <v>#VALUE!</v>
      </c>
      <c r="Q97" s="131" t="e">
        <f t="shared" si="81"/>
        <v>#VALUE!</v>
      </c>
      <c r="R97" s="131" t="str">
        <f t="shared" si="82"/>
        <v/>
      </c>
      <c r="S97" s="131" t="str">
        <f t="shared" si="83"/>
        <v/>
      </c>
      <c r="T97" s="83" t="str">
        <f>IF(C97="","",VLOOKUP(C97,listaBolsa!$D$2:$BB$1276,36,0))</f>
        <v/>
      </c>
      <c r="U97" s="132" t="str">
        <f>IF(C97="","",VLOOKUP(C97,listaBolsa!$D$2:$BB$1276,40,0))</f>
        <v/>
      </c>
      <c r="V97" s="133" t="e">
        <f t="shared" si="84"/>
        <v>#VALUE!</v>
      </c>
      <c r="W97" s="133" t="e">
        <f t="shared" si="85"/>
        <v>#VALUE!</v>
      </c>
      <c r="X97" s="133" t="str">
        <f t="shared" si="86"/>
        <v/>
      </c>
      <c r="Y97" s="133" t="str">
        <f t="shared" si="87"/>
        <v/>
      </c>
      <c r="Z97" s="134" t="str">
        <f t="shared" si="88"/>
        <v/>
      </c>
      <c r="AA97" s="134" t="str">
        <f t="shared" si="89"/>
        <v/>
      </c>
      <c r="AB97" s="135" t="str">
        <f t="shared" si="90"/>
        <v/>
      </c>
      <c r="AC97" s="85" t="str">
        <f t="shared" si="91"/>
        <v/>
      </c>
      <c r="AD97" s="5"/>
      <c r="AF97" s="7" t="str">
        <f>IF(C97="","",VLOOKUP(C97,listaBolsa!$D$2:$BB$276,51,0))</f>
        <v/>
      </c>
      <c r="BG97" s="7">
        <v>87</v>
      </c>
      <c r="CA97" s="7" t="e">
        <f>VLOOKUP(C97,listaBolsa!$D$2:$BA$1248,1,0)</f>
        <v>#N/A</v>
      </c>
      <c r="CB97" s="7" t="e">
        <f>VLOOKUP(C97,listaBolsa!$D$2:$BA$1248,2,0)</f>
        <v>#N/A</v>
      </c>
      <c r="CC97" s="7" t="e">
        <f>VLOOKUP(C97,listaBolsa!$D$2:$BA$1248,10,0)</f>
        <v>#N/A</v>
      </c>
      <c r="CD97" s="7" t="e">
        <f>VLOOKUP(C97,listaBolsa!$D$2:$BA$1248,14,0)</f>
        <v>#N/A</v>
      </c>
      <c r="CE97" s="7" t="e">
        <f>VLOOKUP(C97,listaBolsa!$D$2:$BA$1248,23,0)</f>
        <v>#N/A</v>
      </c>
      <c r="CF97" s="7" t="e">
        <f>VLOOKUP(C97,listaBolsa!$D$2:$BA$1248,29,0)</f>
        <v>#N/A</v>
      </c>
      <c r="CG97" s="7" t="e">
        <f>VLOOKUP(C97,listaBolsa!$D$2:$BA$1248,36,0)</f>
        <v>#N/A</v>
      </c>
      <c r="CH97" s="7" t="e">
        <f>VLOOKUP(C97,listaBolsa!$D$2:$BA$1248,40,0)</f>
        <v>#N/A</v>
      </c>
      <c r="CI97" s="7" t="e">
        <f>VLOOKUP(C97,listaBolsa!$D$2:$BA$1248,48,0)</f>
        <v>#N/A</v>
      </c>
      <c r="CJ97" s="7" t="e">
        <f t="shared" si="66"/>
        <v>#N/A</v>
      </c>
      <c r="CK97" s="7" t="e">
        <f t="shared" si="67"/>
        <v>#N/A</v>
      </c>
      <c r="CL97" s="7" t="e">
        <f t="shared" si="68"/>
        <v>#N/A</v>
      </c>
      <c r="CM97" s="7" t="e">
        <f t="shared" si="69"/>
        <v>#N/A</v>
      </c>
      <c r="CN97" s="7" t="e">
        <f t="shared" si="70"/>
        <v>#N/A</v>
      </c>
      <c r="CO97" s="7" t="e">
        <f t="shared" si="71"/>
        <v>#N/A</v>
      </c>
      <c r="CP97" s="7" t="e">
        <f t="shared" si="72"/>
        <v>#N/A</v>
      </c>
      <c r="CQ97" s="7" t="e">
        <f t="shared" si="73"/>
        <v>#N/A</v>
      </c>
      <c r="CR97" s="7" t="e">
        <f t="shared" si="74"/>
        <v>#N/A</v>
      </c>
    </row>
    <row r="98" spans="1:96" s="7" customFormat="1" ht="21" hidden="1" x14ac:dyDescent="0.25">
      <c r="A98" s="75" t="str">
        <f t="shared" si="75"/>
        <v/>
      </c>
      <c r="B98" s="91"/>
      <c r="C98" s="82"/>
      <c r="D98" s="75" t="str">
        <f>IF(C98="","",VLOOKUP(C98,listaBolsa!$D$2:$H$1118,2,0))</f>
        <v/>
      </c>
      <c r="E98" s="91" t="str">
        <f>IF(C98="","",VLOOKUP(C98,listaBolsa!$D$2:$H$1118,3,0))</f>
        <v/>
      </c>
      <c r="F98" s="92"/>
      <c r="G98" s="86" t="str">
        <f>IF(C98="","",VLOOKUP(C98,listaBolsa!$D$2:$H$1118,5,0))</f>
        <v/>
      </c>
      <c r="H98" s="89" t="str">
        <f>IF(C98="","",VLOOKUP(C98,listaBolsa!$D$2:$W$1118,10,0))</f>
        <v/>
      </c>
      <c r="I98" s="128" t="str">
        <f>IF(C98="","",VLOOKUP(C98,listaBolsa!$D$2:$W$1118,14,0))</f>
        <v/>
      </c>
      <c r="J98" s="129" t="e">
        <f t="shared" si="76"/>
        <v>#VALUE!</v>
      </c>
      <c r="K98" s="129" t="e">
        <f t="shared" si="77"/>
        <v>#VALUE!</v>
      </c>
      <c r="L98" s="129" t="str">
        <f t="shared" si="78"/>
        <v/>
      </c>
      <c r="M98" s="129" t="str">
        <f t="shared" si="79"/>
        <v/>
      </c>
      <c r="N98" s="90" t="str">
        <f>IF(C98="","",VLOOKUP(C98,listaBolsa!$D$2:$AZ$1276,23,0))</f>
        <v/>
      </c>
      <c r="O98" s="130" t="str">
        <f>IF(C98="","",VLOOKUP(C98,listaBolsa!$D$2:$AZ$1276,27,0))</f>
        <v/>
      </c>
      <c r="P98" s="131" t="e">
        <f t="shared" si="80"/>
        <v>#VALUE!</v>
      </c>
      <c r="Q98" s="131" t="e">
        <f t="shared" si="81"/>
        <v>#VALUE!</v>
      </c>
      <c r="R98" s="131" t="str">
        <f t="shared" si="82"/>
        <v/>
      </c>
      <c r="S98" s="131" t="str">
        <f t="shared" si="83"/>
        <v/>
      </c>
      <c r="T98" s="83" t="str">
        <f>IF(C98="","",VLOOKUP(C98,listaBolsa!$D$2:$BB$1276,36,0))</f>
        <v/>
      </c>
      <c r="U98" s="132" t="str">
        <f>IF(C98="","",VLOOKUP(C98,listaBolsa!$D$2:$BB$1276,40,0))</f>
        <v/>
      </c>
      <c r="V98" s="133" t="e">
        <f t="shared" si="84"/>
        <v>#VALUE!</v>
      </c>
      <c r="W98" s="133" t="e">
        <f t="shared" si="85"/>
        <v>#VALUE!</v>
      </c>
      <c r="X98" s="133" t="str">
        <f t="shared" si="86"/>
        <v/>
      </c>
      <c r="Y98" s="133" t="str">
        <f t="shared" si="87"/>
        <v/>
      </c>
      <c r="Z98" s="134" t="str">
        <f t="shared" si="88"/>
        <v/>
      </c>
      <c r="AA98" s="134" t="str">
        <f t="shared" si="89"/>
        <v/>
      </c>
      <c r="AB98" s="135" t="str">
        <f t="shared" si="90"/>
        <v/>
      </c>
      <c r="AC98" s="85" t="str">
        <f t="shared" si="91"/>
        <v/>
      </c>
      <c r="AD98" s="5"/>
      <c r="AF98" s="7" t="str">
        <f>IF(C98="","",VLOOKUP(C98,listaBolsa!$D$2:$BB$276,51,0))</f>
        <v/>
      </c>
      <c r="BG98" s="7">
        <v>88</v>
      </c>
      <c r="CA98" s="7" t="e">
        <f>VLOOKUP(C98,listaBolsa!$D$2:$BA$1248,1,0)</f>
        <v>#N/A</v>
      </c>
      <c r="CB98" s="7" t="e">
        <f>VLOOKUP(C98,listaBolsa!$D$2:$BA$1248,2,0)</f>
        <v>#N/A</v>
      </c>
      <c r="CC98" s="7" t="e">
        <f>VLOOKUP(C98,listaBolsa!$D$2:$BA$1248,10,0)</f>
        <v>#N/A</v>
      </c>
      <c r="CD98" s="7" t="e">
        <f>VLOOKUP(C98,listaBolsa!$D$2:$BA$1248,14,0)</f>
        <v>#N/A</v>
      </c>
      <c r="CE98" s="7" t="e">
        <f>VLOOKUP(C98,listaBolsa!$D$2:$BA$1248,23,0)</f>
        <v>#N/A</v>
      </c>
      <c r="CF98" s="7" t="e">
        <f>VLOOKUP(C98,listaBolsa!$D$2:$BA$1248,29,0)</f>
        <v>#N/A</v>
      </c>
      <c r="CG98" s="7" t="e">
        <f>VLOOKUP(C98,listaBolsa!$D$2:$BA$1248,36,0)</f>
        <v>#N/A</v>
      </c>
      <c r="CH98" s="7" t="e">
        <f>VLOOKUP(C98,listaBolsa!$D$2:$BA$1248,40,0)</f>
        <v>#N/A</v>
      </c>
      <c r="CI98" s="7" t="e">
        <f>VLOOKUP(C98,listaBolsa!$D$2:$BA$1248,48,0)</f>
        <v>#N/A</v>
      </c>
      <c r="CJ98" s="7" t="e">
        <f t="shared" si="66"/>
        <v>#N/A</v>
      </c>
      <c r="CK98" s="7" t="e">
        <f t="shared" si="67"/>
        <v>#N/A</v>
      </c>
      <c r="CL98" s="7" t="e">
        <f t="shared" si="68"/>
        <v>#N/A</v>
      </c>
      <c r="CM98" s="7" t="e">
        <f t="shared" si="69"/>
        <v>#N/A</v>
      </c>
      <c r="CN98" s="7" t="e">
        <f t="shared" si="70"/>
        <v>#N/A</v>
      </c>
      <c r="CO98" s="7" t="e">
        <f t="shared" si="71"/>
        <v>#N/A</v>
      </c>
      <c r="CP98" s="7" t="e">
        <f t="shared" si="72"/>
        <v>#N/A</v>
      </c>
      <c r="CQ98" s="7" t="e">
        <f t="shared" si="73"/>
        <v>#N/A</v>
      </c>
      <c r="CR98" s="7" t="e">
        <f t="shared" si="74"/>
        <v>#N/A</v>
      </c>
    </row>
    <row r="99" spans="1:96" s="7" customFormat="1" ht="21" hidden="1" x14ac:dyDescent="0.25">
      <c r="A99" s="75" t="str">
        <f t="shared" si="75"/>
        <v/>
      </c>
      <c r="B99" s="91"/>
      <c r="C99" s="82"/>
      <c r="D99" s="75" t="str">
        <f>IF(C99="","",VLOOKUP(C99,listaBolsa!$D$2:$H$1118,2,0))</f>
        <v/>
      </c>
      <c r="E99" s="91" t="str">
        <f>IF(C99="","",VLOOKUP(C99,listaBolsa!$D$2:$H$1118,3,0))</f>
        <v/>
      </c>
      <c r="F99" s="92"/>
      <c r="G99" s="86" t="str">
        <f>IF(C99="","",VLOOKUP(C99,listaBolsa!$D$2:$H$1118,5,0))</f>
        <v/>
      </c>
      <c r="H99" s="89" t="str">
        <f>IF(C99="","",VLOOKUP(C99,listaBolsa!$D$2:$W$1118,10,0))</f>
        <v/>
      </c>
      <c r="I99" s="128" t="str">
        <f>IF(C99="","",VLOOKUP(C99,listaBolsa!$D$2:$W$1118,14,0))</f>
        <v/>
      </c>
      <c r="J99" s="129" t="e">
        <f t="shared" si="76"/>
        <v>#VALUE!</v>
      </c>
      <c r="K99" s="129" t="e">
        <f t="shared" si="77"/>
        <v>#VALUE!</v>
      </c>
      <c r="L99" s="129" t="str">
        <f t="shared" si="78"/>
        <v/>
      </c>
      <c r="M99" s="129" t="str">
        <f t="shared" si="79"/>
        <v/>
      </c>
      <c r="N99" s="90" t="str">
        <f>IF(C99="","",VLOOKUP(C99,listaBolsa!$D$2:$AZ$1276,23,0))</f>
        <v/>
      </c>
      <c r="O99" s="130" t="str">
        <f>IF(C99="","",VLOOKUP(C99,listaBolsa!$D$2:$AZ$1276,27,0))</f>
        <v/>
      </c>
      <c r="P99" s="131" t="e">
        <f t="shared" si="80"/>
        <v>#VALUE!</v>
      </c>
      <c r="Q99" s="131" t="e">
        <f t="shared" si="81"/>
        <v>#VALUE!</v>
      </c>
      <c r="R99" s="131" t="str">
        <f t="shared" si="82"/>
        <v/>
      </c>
      <c r="S99" s="131" t="str">
        <f t="shared" si="83"/>
        <v/>
      </c>
      <c r="T99" s="83" t="str">
        <f>IF(C99="","",VLOOKUP(C99,listaBolsa!$D$2:$BB$1276,36,0))</f>
        <v/>
      </c>
      <c r="U99" s="132" t="str">
        <f>IF(C99="","",VLOOKUP(C99,listaBolsa!$D$2:$BB$1276,40,0))</f>
        <v/>
      </c>
      <c r="V99" s="133" t="e">
        <f t="shared" si="84"/>
        <v>#VALUE!</v>
      </c>
      <c r="W99" s="133" t="e">
        <f t="shared" si="85"/>
        <v>#VALUE!</v>
      </c>
      <c r="X99" s="133" t="str">
        <f t="shared" si="86"/>
        <v/>
      </c>
      <c r="Y99" s="133" t="str">
        <f t="shared" si="87"/>
        <v/>
      </c>
      <c r="Z99" s="134" t="str">
        <f t="shared" si="88"/>
        <v/>
      </c>
      <c r="AA99" s="134" t="str">
        <f t="shared" si="89"/>
        <v/>
      </c>
      <c r="AB99" s="135" t="str">
        <f t="shared" si="90"/>
        <v/>
      </c>
      <c r="AC99" s="85" t="str">
        <f t="shared" si="91"/>
        <v/>
      </c>
      <c r="AD99" s="5"/>
      <c r="AF99" s="7" t="str">
        <f>IF(C99="","",VLOOKUP(C99,listaBolsa!$D$2:$BB$276,51,0))</f>
        <v/>
      </c>
      <c r="BG99" s="7">
        <v>89</v>
      </c>
      <c r="CA99" s="7" t="e">
        <f>VLOOKUP(C99,listaBolsa!$D$2:$BA$1248,1,0)</f>
        <v>#N/A</v>
      </c>
      <c r="CB99" s="7" t="e">
        <f>VLOOKUP(C99,listaBolsa!$D$2:$BA$1248,2,0)</f>
        <v>#N/A</v>
      </c>
      <c r="CC99" s="7" t="e">
        <f>VLOOKUP(C99,listaBolsa!$D$2:$BA$1248,10,0)</f>
        <v>#N/A</v>
      </c>
      <c r="CD99" s="7" t="e">
        <f>VLOOKUP(C99,listaBolsa!$D$2:$BA$1248,14,0)</f>
        <v>#N/A</v>
      </c>
      <c r="CE99" s="7" t="e">
        <f>VLOOKUP(C99,listaBolsa!$D$2:$BA$1248,23,0)</f>
        <v>#N/A</v>
      </c>
      <c r="CF99" s="7" t="e">
        <f>VLOOKUP(C99,listaBolsa!$D$2:$BA$1248,29,0)</f>
        <v>#N/A</v>
      </c>
      <c r="CG99" s="7" t="e">
        <f>VLOOKUP(C99,listaBolsa!$D$2:$BA$1248,36,0)</f>
        <v>#N/A</v>
      </c>
      <c r="CH99" s="7" t="e">
        <f>VLOOKUP(C99,listaBolsa!$D$2:$BA$1248,40,0)</f>
        <v>#N/A</v>
      </c>
      <c r="CI99" s="7" t="e">
        <f>VLOOKUP(C99,listaBolsa!$D$2:$BA$1248,48,0)</f>
        <v>#N/A</v>
      </c>
      <c r="CJ99" s="7" t="e">
        <f t="shared" si="66"/>
        <v>#N/A</v>
      </c>
      <c r="CK99" s="7" t="e">
        <f t="shared" si="67"/>
        <v>#N/A</v>
      </c>
      <c r="CL99" s="7" t="e">
        <f t="shared" si="68"/>
        <v>#N/A</v>
      </c>
      <c r="CM99" s="7" t="e">
        <f t="shared" si="69"/>
        <v>#N/A</v>
      </c>
      <c r="CN99" s="7" t="e">
        <f t="shared" si="70"/>
        <v>#N/A</v>
      </c>
      <c r="CO99" s="7" t="e">
        <f t="shared" si="71"/>
        <v>#N/A</v>
      </c>
      <c r="CP99" s="7" t="e">
        <f t="shared" si="72"/>
        <v>#N/A</v>
      </c>
      <c r="CQ99" s="7" t="e">
        <f t="shared" si="73"/>
        <v>#N/A</v>
      </c>
      <c r="CR99" s="7" t="e">
        <f t="shared" si="74"/>
        <v>#N/A</v>
      </c>
    </row>
    <row r="100" spans="1:96" s="7" customFormat="1" ht="21" hidden="1" x14ac:dyDescent="0.25">
      <c r="A100" s="75" t="str">
        <f t="shared" si="75"/>
        <v/>
      </c>
      <c r="B100" s="91"/>
      <c r="C100" s="82"/>
      <c r="D100" s="75" t="str">
        <f>IF(C100="","",VLOOKUP(C100,listaBolsa!$D$2:$H$1118,2,0))</f>
        <v/>
      </c>
      <c r="E100" s="91" t="str">
        <f>IF(C100="","",VLOOKUP(C100,listaBolsa!$D$2:$H$1118,3,0))</f>
        <v/>
      </c>
      <c r="F100" s="92"/>
      <c r="G100" s="86" t="str">
        <f>IF(C100="","",VLOOKUP(C100,listaBolsa!$D$2:$H$1118,5,0))</f>
        <v/>
      </c>
      <c r="H100" s="89" t="str">
        <f>IF(C100="","",VLOOKUP(C100,listaBolsa!$D$2:$W$1118,10,0))</f>
        <v/>
      </c>
      <c r="I100" s="128" t="str">
        <f>IF(C100="","",VLOOKUP(C100,listaBolsa!$D$2:$W$1118,14,0))</f>
        <v/>
      </c>
      <c r="J100" s="129" t="e">
        <f t="shared" si="76"/>
        <v>#VALUE!</v>
      </c>
      <c r="K100" s="129" t="e">
        <f t="shared" si="77"/>
        <v>#VALUE!</v>
      </c>
      <c r="L100" s="129" t="str">
        <f t="shared" si="78"/>
        <v/>
      </c>
      <c r="M100" s="129" t="str">
        <f t="shared" si="79"/>
        <v/>
      </c>
      <c r="N100" s="90" t="str">
        <f>IF(C100="","",VLOOKUP(C100,listaBolsa!$D$2:$AZ$1276,23,0))</f>
        <v/>
      </c>
      <c r="O100" s="130" t="str">
        <f>IF(C100="","",VLOOKUP(C100,listaBolsa!$D$2:$AZ$1276,27,0))</f>
        <v/>
      </c>
      <c r="P100" s="131" t="e">
        <f t="shared" si="80"/>
        <v>#VALUE!</v>
      </c>
      <c r="Q100" s="131" t="e">
        <f t="shared" si="81"/>
        <v>#VALUE!</v>
      </c>
      <c r="R100" s="131" t="str">
        <f t="shared" si="82"/>
        <v/>
      </c>
      <c r="S100" s="131" t="str">
        <f t="shared" si="83"/>
        <v/>
      </c>
      <c r="T100" s="83" t="str">
        <f>IF(C100="","",VLOOKUP(C100,listaBolsa!$D$2:$BB$1276,36,0))</f>
        <v/>
      </c>
      <c r="U100" s="132" t="str">
        <f>IF(C100="","",VLOOKUP(C100,listaBolsa!$D$2:$BB$1276,40,0))</f>
        <v/>
      </c>
      <c r="V100" s="133" t="e">
        <f t="shared" si="84"/>
        <v>#VALUE!</v>
      </c>
      <c r="W100" s="133" t="e">
        <f t="shared" si="85"/>
        <v>#VALUE!</v>
      </c>
      <c r="X100" s="133" t="str">
        <f t="shared" si="86"/>
        <v/>
      </c>
      <c r="Y100" s="133" t="str">
        <f t="shared" si="87"/>
        <v/>
      </c>
      <c r="Z100" s="134" t="str">
        <f t="shared" si="88"/>
        <v/>
      </c>
      <c r="AA100" s="134" t="str">
        <f t="shared" si="89"/>
        <v/>
      </c>
      <c r="AB100" s="135" t="str">
        <f t="shared" si="90"/>
        <v/>
      </c>
      <c r="AC100" s="85" t="str">
        <f t="shared" si="91"/>
        <v/>
      </c>
      <c r="AD100" s="5"/>
      <c r="AF100" s="7" t="str">
        <f>IF(C100="","",VLOOKUP(C100,listaBolsa!$D$2:$BB$276,51,0))</f>
        <v/>
      </c>
      <c r="BG100" s="7">
        <v>90</v>
      </c>
      <c r="CA100" s="7" t="e">
        <f>VLOOKUP(C100,listaBolsa!$D$2:$BA$1248,1,0)</f>
        <v>#N/A</v>
      </c>
      <c r="CB100" s="7" t="e">
        <f>VLOOKUP(C100,listaBolsa!$D$2:$BA$1248,2,0)</f>
        <v>#N/A</v>
      </c>
      <c r="CC100" s="7" t="e">
        <f>VLOOKUP(C100,listaBolsa!$D$2:$BA$1248,10,0)</f>
        <v>#N/A</v>
      </c>
      <c r="CD100" s="7" t="e">
        <f>VLOOKUP(C100,listaBolsa!$D$2:$BA$1248,14,0)</f>
        <v>#N/A</v>
      </c>
      <c r="CE100" s="7" t="e">
        <f>VLOOKUP(C100,listaBolsa!$D$2:$BA$1248,23,0)</f>
        <v>#N/A</v>
      </c>
      <c r="CF100" s="7" t="e">
        <f>VLOOKUP(C100,listaBolsa!$D$2:$BA$1248,29,0)</f>
        <v>#N/A</v>
      </c>
      <c r="CG100" s="7" t="e">
        <f>VLOOKUP(C100,listaBolsa!$D$2:$BA$1248,36,0)</f>
        <v>#N/A</v>
      </c>
      <c r="CH100" s="7" t="e">
        <f>VLOOKUP(C100,listaBolsa!$D$2:$BA$1248,40,0)</f>
        <v>#N/A</v>
      </c>
      <c r="CI100" s="7" t="e">
        <f>VLOOKUP(C100,listaBolsa!$D$2:$BA$1248,48,0)</f>
        <v>#N/A</v>
      </c>
      <c r="CJ100" s="7" t="e">
        <f t="shared" si="66"/>
        <v>#N/A</v>
      </c>
      <c r="CK100" s="7" t="e">
        <f t="shared" si="67"/>
        <v>#N/A</v>
      </c>
      <c r="CL100" s="7" t="e">
        <f t="shared" si="68"/>
        <v>#N/A</v>
      </c>
      <c r="CM100" s="7" t="e">
        <f t="shared" si="69"/>
        <v>#N/A</v>
      </c>
      <c r="CN100" s="7" t="e">
        <f t="shared" si="70"/>
        <v>#N/A</v>
      </c>
      <c r="CO100" s="7" t="e">
        <f t="shared" si="71"/>
        <v>#N/A</v>
      </c>
      <c r="CP100" s="7" t="e">
        <f t="shared" si="72"/>
        <v>#N/A</v>
      </c>
      <c r="CQ100" s="7" t="e">
        <f t="shared" si="73"/>
        <v>#N/A</v>
      </c>
      <c r="CR100" s="7" t="e">
        <f t="shared" si="74"/>
        <v>#N/A</v>
      </c>
    </row>
    <row r="101" spans="1:96" s="7" customFormat="1" ht="21" hidden="1" x14ac:dyDescent="0.25">
      <c r="A101" s="75" t="str">
        <f t="shared" si="75"/>
        <v/>
      </c>
      <c r="B101" s="91"/>
      <c r="C101" s="82"/>
      <c r="D101" s="75" t="str">
        <f>IF(C101="","",VLOOKUP(C101,listaBolsa!$D$2:$H$1118,2,0))</f>
        <v/>
      </c>
      <c r="E101" s="91" t="str">
        <f>IF(C101="","",VLOOKUP(C101,listaBolsa!$D$2:$H$1118,3,0))</f>
        <v/>
      </c>
      <c r="F101" s="92"/>
      <c r="G101" s="86" t="str">
        <f>IF(C101="","",VLOOKUP(C101,listaBolsa!$D$2:$H$1118,5,0))</f>
        <v/>
      </c>
      <c r="H101" s="89" t="str">
        <f>IF(C101="","",VLOOKUP(C101,listaBolsa!$D$2:$W$1118,10,0))</f>
        <v/>
      </c>
      <c r="I101" s="128" t="str">
        <f>IF(C101="","",VLOOKUP(C101,listaBolsa!$D$2:$W$1118,14,0))</f>
        <v/>
      </c>
      <c r="J101" s="129" t="e">
        <f t="shared" si="76"/>
        <v>#VALUE!</v>
      </c>
      <c r="K101" s="129" t="e">
        <f t="shared" si="77"/>
        <v>#VALUE!</v>
      </c>
      <c r="L101" s="129" t="str">
        <f t="shared" si="78"/>
        <v/>
      </c>
      <c r="M101" s="129" t="str">
        <f t="shared" si="79"/>
        <v/>
      </c>
      <c r="N101" s="90" t="str">
        <f>IF(C101="","",VLOOKUP(C101,listaBolsa!$D$2:$AZ$1276,23,0))</f>
        <v/>
      </c>
      <c r="O101" s="130" t="str">
        <f>IF(C101="","",VLOOKUP(C101,listaBolsa!$D$2:$AZ$1276,27,0))</f>
        <v/>
      </c>
      <c r="P101" s="131" t="e">
        <f t="shared" si="80"/>
        <v>#VALUE!</v>
      </c>
      <c r="Q101" s="131" t="e">
        <f t="shared" si="81"/>
        <v>#VALUE!</v>
      </c>
      <c r="R101" s="131" t="str">
        <f t="shared" si="82"/>
        <v/>
      </c>
      <c r="S101" s="131" t="str">
        <f t="shared" si="83"/>
        <v/>
      </c>
      <c r="T101" s="83" t="str">
        <f>IF(C101="","",VLOOKUP(C101,listaBolsa!$D$2:$BB$1276,36,0))</f>
        <v/>
      </c>
      <c r="U101" s="132" t="str">
        <f>IF(C101="","",VLOOKUP(C101,listaBolsa!$D$2:$BB$1276,40,0))</f>
        <v/>
      </c>
      <c r="V101" s="133" t="e">
        <f t="shared" si="84"/>
        <v>#VALUE!</v>
      </c>
      <c r="W101" s="133" t="e">
        <f t="shared" si="85"/>
        <v>#VALUE!</v>
      </c>
      <c r="X101" s="133" t="str">
        <f t="shared" si="86"/>
        <v/>
      </c>
      <c r="Y101" s="133" t="str">
        <f t="shared" si="87"/>
        <v/>
      </c>
      <c r="Z101" s="134" t="str">
        <f t="shared" si="88"/>
        <v/>
      </c>
      <c r="AA101" s="134" t="str">
        <f t="shared" si="89"/>
        <v/>
      </c>
      <c r="AB101" s="135" t="str">
        <f t="shared" si="90"/>
        <v/>
      </c>
      <c r="AC101" s="85" t="str">
        <f t="shared" si="91"/>
        <v/>
      </c>
      <c r="AD101" s="5"/>
      <c r="AF101" s="7" t="str">
        <f>IF(C101="","",VLOOKUP(C101,listaBolsa!$D$2:$BB$276,51,0))</f>
        <v/>
      </c>
      <c r="BG101" s="7">
        <v>91</v>
      </c>
      <c r="CA101" s="7" t="e">
        <f>VLOOKUP(C101,listaBolsa!$D$2:$BA$1248,1,0)</f>
        <v>#N/A</v>
      </c>
      <c r="CB101" s="7" t="e">
        <f>VLOOKUP(C101,listaBolsa!$D$2:$BA$1248,2,0)</f>
        <v>#N/A</v>
      </c>
      <c r="CC101" s="7" t="e">
        <f>VLOOKUP(C101,listaBolsa!$D$2:$BA$1248,10,0)</f>
        <v>#N/A</v>
      </c>
      <c r="CD101" s="7" t="e">
        <f>VLOOKUP(C101,listaBolsa!$D$2:$BA$1248,14,0)</f>
        <v>#N/A</v>
      </c>
      <c r="CE101" s="7" t="e">
        <f>VLOOKUP(C101,listaBolsa!$D$2:$BA$1248,23,0)</f>
        <v>#N/A</v>
      </c>
      <c r="CF101" s="7" t="e">
        <f>VLOOKUP(C101,listaBolsa!$D$2:$BA$1248,29,0)</f>
        <v>#N/A</v>
      </c>
      <c r="CG101" s="7" t="e">
        <f>VLOOKUP(C101,listaBolsa!$D$2:$BA$1248,36,0)</f>
        <v>#N/A</v>
      </c>
      <c r="CH101" s="7" t="e">
        <f>VLOOKUP(C101,listaBolsa!$D$2:$BA$1248,40,0)</f>
        <v>#N/A</v>
      </c>
      <c r="CI101" s="7" t="e">
        <f>VLOOKUP(C101,listaBolsa!$D$2:$BA$1248,48,0)</f>
        <v>#N/A</v>
      </c>
      <c r="CJ101" s="7" t="e">
        <f t="shared" si="66"/>
        <v>#N/A</v>
      </c>
      <c r="CK101" s="7" t="e">
        <f t="shared" si="67"/>
        <v>#N/A</v>
      </c>
      <c r="CL101" s="7" t="e">
        <f t="shared" si="68"/>
        <v>#N/A</v>
      </c>
      <c r="CM101" s="7" t="e">
        <f t="shared" si="69"/>
        <v>#N/A</v>
      </c>
      <c r="CN101" s="7" t="e">
        <f t="shared" si="70"/>
        <v>#N/A</v>
      </c>
      <c r="CO101" s="7" t="e">
        <f t="shared" si="71"/>
        <v>#N/A</v>
      </c>
      <c r="CP101" s="7" t="e">
        <f t="shared" si="72"/>
        <v>#N/A</v>
      </c>
      <c r="CQ101" s="7" t="e">
        <f t="shared" si="73"/>
        <v>#N/A</v>
      </c>
      <c r="CR101" s="7" t="e">
        <f t="shared" si="74"/>
        <v>#N/A</v>
      </c>
    </row>
    <row r="102" spans="1:96" s="7" customFormat="1" ht="21" hidden="1" x14ac:dyDescent="0.25">
      <c r="A102" s="75" t="str">
        <f t="shared" si="75"/>
        <v/>
      </c>
      <c r="B102" s="91"/>
      <c r="C102" s="82"/>
      <c r="D102" s="75" t="str">
        <f>IF(C102="","",VLOOKUP(C102,listaBolsa!$D$2:$H$1118,2,0))</f>
        <v/>
      </c>
      <c r="E102" s="91" t="str">
        <f>IF(C102="","",VLOOKUP(C102,listaBolsa!$D$2:$H$1118,3,0))</f>
        <v/>
      </c>
      <c r="F102" s="92"/>
      <c r="G102" s="86" t="str">
        <f>IF(C102="","",VLOOKUP(C102,listaBolsa!$D$2:$H$1118,5,0))</f>
        <v/>
      </c>
      <c r="H102" s="89" t="str">
        <f>IF(C102="","",VLOOKUP(C102,listaBolsa!$D$2:$W$1118,10,0))</f>
        <v/>
      </c>
      <c r="I102" s="128" t="str">
        <f>IF(C102="","",VLOOKUP(C102,listaBolsa!$D$2:$W$1118,14,0))</f>
        <v/>
      </c>
      <c r="J102" s="129" t="e">
        <f t="shared" si="76"/>
        <v>#VALUE!</v>
      </c>
      <c r="K102" s="129" t="e">
        <f t="shared" si="77"/>
        <v>#VALUE!</v>
      </c>
      <c r="L102" s="129" t="str">
        <f t="shared" si="78"/>
        <v/>
      </c>
      <c r="M102" s="129" t="str">
        <f t="shared" si="79"/>
        <v/>
      </c>
      <c r="N102" s="90" t="str">
        <f>IF(C102="","",VLOOKUP(C102,listaBolsa!$D$2:$AZ$1276,23,0))</f>
        <v/>
      </c>
      <c r="O102" s="130" t="str">
        <f>IF(C102="","",VLOOKUP(C102,listaBolsa!$D$2:$AZ$1276,27,0))</f>
        <v/>
      </c>
      <c r="P102" s="131" t="e">
        <f t="shared" si="80"/>
        <v>#VALUE!</v>
      </c>
      <c r="Q102" s="131" t="e">
        <f t="shared" si="81"/>
        <v>#VALUE!</v>
      </c>
      <c r="R102" s="131" t="str">
        <f t="shared" si="82"/>
        <v/>
      </c>
      <c r="S102" s="131" t="str">
        <f t="shared" si="83"/>
        <v/>
      </c>
      <c r="T102" s="83" t="str">
        <f>IF(C102="","",VLOOKUP(C102,listaBolsa!$D$2:$BB$1276,36,0))</f>
        <v/>
      </c>
      <c r="U102" s="132" t="str">
        <f>IF(C102="","",VLOOKUP(C102,listaBolsa!$D$2:$BB$1276,40,0))</f>
        <v/>
      </c>
      <c r="V102" s="133" t="e">
        <f t="shared" si="84"/>
        <v>#VALUE!</v>
      </c>
      <c r="W102" s="133" t="e">
        <f t="shared" si="85"/>
        <v>#VALUE!</v>
      </c>
      <c r="X102" s="133" t="str">
        <f t="shared" si="86"/>
        <v/>
      </c>
      <c r="Y102" s="133" t="str">
        <f t="shared" si="87"/>
        <v/>
      </c>
      <c r="Z102" s="134" t="str">
        <f t="shared" si="88"/>
        <v/>
      </c>
      <c r="AA102" s="134" t="str">
        <f t="shared" si="89"/>
        <v/>
      </c>
      <c r="AB102" s="135" t="str">
        <f t="shared" si="90"/>
        <v/>
      </c>
      <c r="AC102" s="85" t="str">
        <f t="shared" si="91"/>
        <v/>
      </c>
      <c r="AD102" s="5"/>
      <c r="AF102" s="7" t="str">
        <f>IF(C102="","",VLOOKUP(C102,listaBolsa!$D$2:$BB$276,51,0))</f>
        <v/>
      </c>
      <c r="BG102" s="7">
        <v>92</v>
      </c>
      <c r="CA102" s="7" t="e">
        <f>VLOOKUP(C102,listaBolsa!$D$2:$BA$1248,1,0)</f>
        <v>#N/A</v>
      </c>
      <c r="CB102" s="7" t="e">
        <f>VLOOKUP(C102,listaBolsa!$D$2:$BA$1248,2,0)</f>
        <v>#N/A</v>
      </c>
      <c r="CC102" s="7" t="e">
        <f>VLOOKUP(C102,listaBolsa!$D$2:$BA$1248,10,0)</f>
        <v>#N/A</v>
      </c>
      <c r="CD102" s="7" t="e">
        <f>VLOOKUP(C102,listaBolsa!$D$2:$BA$1248,14,0)</f>
        <v>#N/A</v>
      </c>
      <c r="CE102" s="7" t="e">
        <f>VLOOKUP(C102,listaBolsa!$D$2:$BA$1248,23,0)</f>
        <v>#N/A</v>
      </c>
      <c r="CF102" s="7" t="e">
        <f>VLOOKUP(C102,listaBolsa!$D$2:$BA$1248,29,0)</f>
        <v>#N/A</v>
      </c>
      <c r="CG102" s="7" t="e">
        <f>VLOOKUP(C102,listaBolsa!$D$2:$BA$1248,36,0)</f>
        <v>#N/A</v>
      </c>
      <c r="CH102" s="7" t="e">
        <f>VLOOKUP(C102,listaBolsa!$D$2:$BA$1248,40,0)</f>
        <v>#N/A</v>
      </c>
      <c r="CI102" s="7" t="e">
        <f>VLOOKUP(C102,listaBolsa!$D$2:$BA$1248,48,0)</f>
        <v>#N/A</v>
      </c>
      <c r="CJ102" s="7" t="e">
        <f t="shared" si="66"/>
        <v>#N/A</v>
      </c>
      <c r="CK102" s="7" t="e">
        <f t="shared" si="67"/>
        <v>#N/A</v>
      </c>
      <c r="CL102" s="7" t="e">
        <f t="shared" si="68"/>
        <v>#N/A</v>
      </c>
      <c r="CM102" s="7" t="e">
        <f t="shared" si="69"/>
        <v>#N/A</v>
      </c>
      <c r="CN102" s="7" t="e">
        <f t="shared" si="70"/>
        <v>#N/A</v>
      </c>
      <c r="CO102" s="7" t="e">
        <f t="shared" si="71"/>
        <v>#N/A</v>
      </c>
      <c r="CP102" s="7" t="e">
        <f t="shared" si="72"/>
        <v>#N/A</v>
      </c>
      <c r="CQ102" s="7" t="e">
        <f t="shared" si="73"/>
        <v>#N/A</v>
      </c>
      <c r="CR102" s="7" t="e">
        <f t="shared" si="74"/>
        <v>#N/A</v>
      </c>
    </row>
    <row r="103" spans="1:96" s="7" customFormat="1" ht="21" hidden="1" x14ac:dyDescent="0.25">
      <c r="A103" s="75" t="str">
        <f t="shared" si="75"/>
        <v/>
      </c>
      <c r="B103" s="91"/>
      <c r="C103" s="82"/>
      <c r="D103" s="75" t="str">
        <f>IF(C103="","",VLOOKUP(C103,listaBolsa!$D$2:$H$1118,2,0))</f>
        <v/>
      </c>
      <c r="E103" s="91" t="str">
        <f>IF(C103="","",VLOOKUP(C103,listaBolsa!$D$2:$H$1118,3,0))</f>
        <v/>
      </c>
      <c r="F103" s="92"/>
      <c r="G103" s="86" t="str">
        <f>IF(C103="","",VLOOKUP(C103,listaBolsa!$D$2:$H$1118,5,0))</f>
        <v/>
      </c>
      <c r="H103" s="89" t="str">
        <f>IF(C103="","",VLOOKUP(C103,listaBolsa!$D$2:$W$1118,10,0))</f>
        <v/>
      </c>
      <c r="I103" s="128" t="str">
        <f>IF(C103="","",VLOOKUP(C103,listaBolsa!$D$2:$W$1118,14,0))</f>
        <v/>
      </c>
      <c r="J103" s="129" t="e">
        <f t="shared" si="76"/>
        <v>#VALUE!</v>
      </c>
      <c r="K103" s="129" t="e">
        <f t="shared" si="77"/>
        <v>#VALUE!</v>
      </c>
      <c r="L103" s="129" t="str">
        <f t="shared" si="78"/>
        <v/>
      </c>
      <c r="M103" s="129" t="str">
        <f t="shared" si="79"/>
        <v/>
      </c>
      <c r="N103" s="90" t="str">
        <f>IF(C103="","",VLOOKUP(C103,listaBolsa!$D$2:$AZ$1276,23,0))</f>
        <v/>
      </c>
      <c r="O103" s="130" t="str">
        <f>IF(C103="","",VLOOKUP(C103,listaBolsa!$D$2:$AZ$1276,27,0))</f>
        <v/>
      </c>
      <c r="P103" s="131" t="e">
        <f t="shared" si="80"/>
        <v>#VALUE!</v>
      </c>
      <c r="Q103" s="131" t="e">
        <f t="shared" si="81"/>
        <v>#VALUE!</v>
      </c>
      <c r="R103" s="131" t="str">
        <f t="shared" si="82"/>
        <v/>
      </c>
      <c r="S103" s="131" t="str">
        <f t="shared" si="83"/>
        <v/>
      </c>
      <c r="T103" s="83" t="str">
        <f>IF(C103="","",VLOOKUP(C103,listaBolsa!$D$2:$BB$1276,36,0))</f>
        <v/>
      </c>
      <c r="U103" s="132" t="str">
        <f>IF(C103="","",VLOOKUP(C103,listaBolsa!$D$2:$BB$1276,40,0))</f>
        <v/>
      </c>
      <c r="V103" s="133" t="e">
        <f t="shared" si="84"/>
        <v>#VALUE!</v>
      </c>
      <c r="W103" s="133" t="e">
        <f t="shared" si="85"/>
        <v>#VALUE!</v>
      </c>
      <c r="X103" s="133" t="str">
        <f t="shared" si="86"/>
        <v/>
      </c>
      <c r="Y103" s="133" t="str">
        <f t="shared" si="87"/>
        <v/>
      </c>
      <c r="Z103" s="134" t="str">
        <f t="shared" si="88"/>
        <v/>
      </c>
      <c r="AA103" s="134" t="str">
        <f t="shared" si="89"/>
        <v/>
      </c>
      <c r="AB103" s="135" t="str">
        <f t="shared" si="90"/>
        <v/>
      </c>
      <c r="AC103" s="85" t="str">
        <f t="shared" si="91"/>
        <v/>
      </c>
      <c r="AD103" s="5"/>
      <c r="AF103" s="7" t="str">
        <f>IF(C103="","",VLOOKUP(C103,listaBolsa!$D$2:$BB$276,51,0))</f>
        <v/>
      </c>
      <c r="BG103" s="7">
        <v>93</v>
      </c>
      <c r="CA103" s="7" t="e">
        <f>VLOOKUP(C103,listaBolsa!$D$2:$BA$1248,1,0)</f>
        <v>#N/A</v>
      </c>
      <c r="CB103" s="7" t="e">
        <f>VLOOKUP(C103,listaBolsa!$D$2:$BA$1248,2,0)</f>
        <v>#N/A</v>
      </c>
      <c r="CC103" s="7" t="e">
        <f>VLOOKUP(C103,listaBolsa!$D$2:$BA$1248,10,0)</f>
        <v>#N/A</v>
      </c>
      <c r="CD103" s="7" t="e">
        <f>VLOOKUP(C103,listaBolsa!$D$2:$BA$1248,14,0)</f>
        <v>#N/A</v>
      </c>
      <c r="CE103" s="7" t="e">
        <f>VLOOKUP(C103,listaBolsa!$D$2:$BA$1248,23,0)</f>
        <v>#N/A</v>
      </c>
      <c r="CF103" s="7" t="e">
        <f>VLOOKUP(C103,listaBolsa!$D$2:$BA$1248,29,0)</f>
        <v>#N/A</v>
      </c>
      <c r="CG103" s="7" t="e">
        <f>VLOOKUP(C103,listaBolsa!$D$2:$BA$1248,36,0)</f>
        <v>#N/A</v>
      </c>
      <c r="CH103" s="7" t="e">
        <f>VLOOKUP(C103,listaBolsa!$D$2:$BA$1248,40,0)</f>
        <v>#N/A</v>
      </c>
      <c r="CI103" s="7" t="e">
        <f>VLOOKUP(C103,listaBolsa!$D$2:$BA$1248,48,0)</f>
        <v>#N/A</v>
      </c>
      <c r="CJ103" s="7" t="e">
        <f t="shared" si="66"/>
        <v>#N/A</v>
      </c>
      <c r="CK103" s="7" t="e">
        <f t="shared" si="67"/>
        <v>#N/A</v>
      </c>
      <c r="CL103" s="7" t="e">
        <f t="shared" si="68"/>
        <v>#N/A</v>
      </c>
      <c r="CM103" s="7" t="e">
        <f t="shared" si="69"/>
        <v>#N/A</v>
      </c>
      <c r="CN103" s="7" t="e">
        <f t="shared" si="70"/>
        <v>#N/A</v>
      </c>
      <c r="CO103" s="7" t="e">
        <f t="shared" si="71"/>
        <v>#N/A</v>
      </c>
      <c r="CP103" s="7" t="e">
        <f t="shared" si="72"/>
        <v>#N/A</v>
      </c>
      <c r="CQ103" s="7" t="e">
        <f t="shared" si="73"/>
        <v>#N/A</v>
      </c>
      <c r="CR103" s="7" t="e">
        <f t="shared" si="74"/>
        <v>#N/A</v>
      </c>
    </row>
    <row r="104" spans="1:96" s="7" customFormat="1" ht="21" hidden="1" x14ac:dyDescent="0.25">
      <c r="A104" s="75" t="str">
        <f t="shared" si="75"/>
        <v/>
      </c>
      <c r="B104" s="91"/>
      <c r="C104" s="82"/>
      <c r="D104" s="75" t="str">
        <f>IF(C104="","",VLOOKUP(C104,listaBolsa!$D$2:$H$1118,2,0))</f>
        <v/>
      </c>
      <c r="E104" s="91" t="str">
        <f>IF(C104="","",VLOOKUP(C104,listaBolsa!$D$2:$H$1118,3,0))</f>
        <v/>
      </c>
      <c r="F104" s="92"/>
      <c r="G104" s="86" t="str">
        <f>IF(C104="","",VLOOKUP(C104,listaBolsa!$D$2:$H$1118,5,0))</f>
        <v/>
      </c>
      <c r="H104" s="89" t="str">
        <f>IF(C104="","",VLOOKUP(C104,listaBolsa!$D$2:$W$1118,10,0))</f>
        <v/>
      </c>
      <c r="I104" s="128" t="str">
        <f>IF(C104="","",VLOOKUP(C104,listaBolsa!$D$2:$W$1118,14,0))</f>
        <v/>
      </c>
      <c r="J104" s="129" t="e">
        <f t="shared" si="76"/>
        <v>#VALUE!</v>
      </c>
      <c r="K104" s="129" t="e">
        <f t="shared" si="77"/>
        <v>#VALUE!</v>
      </c>
      <c r="L104" s="129" t="str">
        <f t="shared" si="78"/>
        <v/>
      </c>
      <c r="M104" s="129" t="str">
        <f t="shared" si="79"/>
        <v/>
      </c>
      <c r="N104" s="90" t="str">
        <f>IF(C104="","",VLOOKUP(C104,listaBolsa!$D$2:$AZ$1276,23,0))</f>
        <v/>
      </c>
      <c r="O104" s="130" t="str">
        <f>IF(C104="","",VLOOKUP(C104,listaBolsa!$D$2:$AZ$1276,27,0))</f>
        <v/>
      </c>
      <c r="P104" s="131" t="e">
        <f t="shared" si="80"/>
        <v>#VALUE!</v>
      </c>
      <c r="Q104" s="131" t="e">
        <f t="shared" si="81"/>
        <v>#VALUE!</v>
      </c>
      <c r="R104" s="131" t="str">
        <f t="shared" si="82"/>
        <v/>
      </c>
      <c r="S104" s="131" t="str">
        <f t="shared" si="83"/>
        <v/>
      </c>
      <c r="T104" s="83" t="str">
        <f>IF(C104="","",VLOOKUP(C104,listaBolsa!$D$2:$BB$1276,36,0))</f>
        <v/>
      </c>
      <c r="U104" s="132" t="str">
        <f>IF(C104="","",VLOOKUP(C104,listaBolsa!$D$2:$BB$1276,40,0))</f>
        <v/>
      </c>
      <c r="V104" s="133" t="e">
        <f t="shared" si="84"/>
        <v>#VALUE!</v>
      </c>
      <c r="W104" s="133" t="e">
        <f t="shared" si="85"/>
        <v>#VALUE!</v>
      </c>
      <c r="X104" s="133" t="str">
        <f t="shared" si="86"/>
        <v/>
      </c>
      <c r="Y104" s="133" t="str">
        <f t="shared" si="87"/>
        <v/>
      </c>
      <c r="Z104" s="134" t="str">
        <f t="shared" si="88"/>
        <v/>
      </c>
      <c r="AA104" s="134" t="str">
        <f t="shared" si="89"/>
        <v/>
      </c>
      <c r="AB104" s="135" t="str">
        <f t="shared" si="90"/>
        <v/>
      </c>
      <c r="AC104" s="85" t="str">
        <f t="shared" si="91"/>
        <v/>
      </c>
      <c r="AD104" s="5"/>
      <c r="AF104" s="7" t="str">
        <f>IF(C104="","",VLOOKUP(C104,listaBolsa!$D$2:$BB$276,51,0))</f>
        <v/>
      </c>
      <c r="BG104" s="7">
        <v>94</v>
      </c>
      <c r="CA104" s="7" t="e">
        <f>VLOOKUP(C104,listaBolsa!$D$2:$BA$1248,1,0)</f>
        <v>#N/A</v>
      </c>
      <c r="CB104" s="7" t="e">
        <f>VLOOKUP(C104,listaBolsa!$D$2:$BA$1248,2,0)</f>
        <v>#N/A</v>
      </c>
      <c r="CC104" s="7" t="e">
        <f>VLOOKUP(C104,listaBolsa!$D$2:$BA$1248,10,0)</f>
        <v>#N/A</v>
      </c>
      <c r="CD104" s="7" t="e">
        <f>VLOOKUP(C104,listaBolsa!$D$2:$BA$1248,14,0)</f>
        <v>#N/A</v>
      </c>
      <c r="CE104" s="7" t="e">
        <f>VLOOKUP(C104,listaBolsa!$D$2:$BA$1248,23,0)</f>
        <v>#N/A</v>
      </c>
      <c r="CF104" s="7" t="e">
        <f>VLOOKUP(C104,listaBolsa!$D$2:$BA$1248,29,0)</f>
        <v>#N/A</v>
      </c>
      <c r="CG104" s="7" t="e">
        <f>VLOOKUP(C104,listaBolsa!$D$2:$BA$1248,36,0)</f>
        <v>#N/A</v>
      </c>
      <c r="CH104" s="7" t="e">
        <f>VLOOKUP(C104,listaBolsa!$D$2:$BA$1248,40,0)</f>
        <v>#N/A</v>
      </c>
      <c r="CI104" s="7" t="e">
        <f>VLOOKUP(C104,listaBolsa!$D$2:$BA$1248,48,0)</f>
        <v>#N/A</v>
      </c>
      <c r="CJ104" s="7" t="e">
        <f t="shared" si="66"/>
        <v>#N/A</v>
      </c>
      <c r="CK104" s="7" t="e">
        <f t="shared" si="67"/>
        <v>#N/A</v>
      </c>
      <c r="CL104" s="7" t="e">
        <f t="shared" si="68"/>
        <v>#N/A</v>
      </c>
      <c r="CM104" s="7" t="e">
        <f t="shared" si="69"/>
        <v>#N/A</v>
      </c>
      <c r="CN104" s="7" t="e">
        <f t="shared" si="70"/>
        <v>#N/A</v>
      </c>
      <c r="CO104" s="7" t="e">
        <f t="shared" si="71"/>
        <v>#N/A</v>
      </c>
      <c r="CP104" s="7" t="e">
        <f t="shared" si="72"/>
        <v>#N/A</v>
      </c>
      <c r="CQ104" s="7" t="e">
        <f t="shared" si="73"/>
        <v>#N/A</v>
      </c>
      <c r="CR104" s="7" t="e">
        <f t="shared" si="74"/>
        <v>#N/A</v>
      </c>
    </row>
    <row r="105" spans="1:96" s="7" customFormat="1" ht="21" hidden="1" x14ac:dyDescent="0.25">
      <c r="A105" s="75" t="str">
        <f t="shared" si="75"/>
        <v/>
      </c>
      <c r="B105" s="91"/>
      <c r="C105" s="82"/>
      <c r="D105" s="75" t="str">
        <f>IF(C105="","",VLOOKUP(C105,listaBolsa!$D$2:$H$1118,2,0))</f>
        <v/>
      </c>
      <c r="E105" s="91" t="str">
        <f>IF(C105="","",VLOOKUP(C105,listaBolsa!$D$2:$H$1118,3,0))</f>
        <v/>
      </c>
      <c r="F105" s="92"/>
      <c r="G105" s="86" t="str">
        <f>IF(C105="","",VLOOKUP(C105,listaBolsa!$D$2:$H$1118,5,0))</f>
        <v/>
      </c>
      <c r="H105" s="89" t="str">
        <f>IF(C105="","",VLOOKUP(C105,listaBolsa!$D$2:$W$1118,10,0))</f>
        <v/>
      </c>
      <c r="I105" s="128" t="str">
        <f>IF(C105="","",VLOOKUP(C105,listaBolsa!$D$2:$W$1118,14,0))</f>
        <v/>
      </c>
      <c r="J105" s="129" t="e">
        <f t="shared" si="76"/>
        <v>#VALUE!</v>
      </c>
      <c r="K105" s="129" t="e">
        <f t="shared" si="77"/>
        <v>#VALUE!</v>
      </c>
      <c r="L105" s="129" t="str">
        <f t="shared" si="78"/>
        <v/>
      </c>
      <c r="M105" s="129" t="str">
        <f t="shared" si="79"/>
        <v/>
      </c>
      <c r="N105" s="90" t="str">
        <f>IF(C105="","",VLOOKUP(C105,listaBolsa!$D$2:$AZ$1276,23,0))</f>
        <v/>
      </c>
      <c r="O105" s="130" t="str">
        <f>IF(C105="","",VLOOKUP(C105,listaBolsa!$D$2:$AZ$1276,27,0))</f>
        <v/>
      </c>
      <c r="P105" s="131" t="e">
        <f t="shared" si="80"/>
        <v>#VALUE!</v>
      </c>
      <c r="Q105" s="131" t="e">
        <f t="shared" si="81"/>
        <v>#VALUE!</v>
      </c>
      <c r="R105" s="131" t="str">
        <f t="shared" si="82"/>
        <v/>
      </c>
      <c r="S105" s="131" t="str">
        <f t="shared" si="83"/>
        <v/>
      </c>
      <c r="T105" s="83" t="str">
        <f>IF(C105="","",VLOOKUP(C105,listaBolsa!$D$2:$BB$1276,36,0))</f>
        <v/>
      </c>
      <c r="U105" s="132" t="str">
        <f>IF(C105="","",VLOOKUP(C105,listaBolsa!$D$2:$BB$1276,40,0))</f>
        <v/>
      </c>
      <c r="V105" s="133" t="e">
        <f t="shared" si="84"/>
        <v>#VALUE!</v>
      </c>
      <c r="W105" s="133" t="e">
        <f t="shared" si="85"/>
        <v>#VALUE!</v>
      </c>
      <c r="X105" s="133" t="str">
        <f t="shared" si="86"/>
        <v/>
      </c>
      <c r="Y105" s="133" t="str">
        <f t="shared" si="87"/>
        <v/>
      </c>
      <c r="Z105" s="134" t="str">
        <f t="shared" si="88"/>
        <v/>
      </c>
      <c r="AA105" s="134" t="str">
        <f t="shared" si="89"/>
        <v/>
      </c>
      <c r="AB105" s="135" t="str">
        <f t="shared" si="90"/>
        <v/>
      </c>
      <c r="AC105" s="85" t="str">
        <f t="shared" si="91"/>
        <v/>
      </c>
      <c r="AD105" s="5"/>
      <c r="AF105" s="7" t="str">
        <f>IF(C105="","",VLOOKUP(C105,listaBolsa!$D$2:$BB$276,51,0))</f>
        <v/>
      </c>
      <c r="BG105" s="7">
        <v>95</v>
      </c>
      <c r="CA105" s="7" t="e">
        <f>VLOOKUP(C105,listaBolsa!$D$2:$BA$1248,1,0)</f>
        <v>#N/A</v>
      </c>
      <c r="CB105" s="7" t="e">
        <f>VLOOKUP(C105,listaBolsa!$D$2:$BA$1248,2,0)</f>
        <v>#N/A</v>
      </c>
      <c r="CC105" s="7" t="e">
        <f>VLOOKUP(C105,listaBolsa!$D$2:$BA$1248,10,0)</f>
        <v>#N/A</v>
      </c>
      <c r="CD105" s="7" t="e">
        <f>VLOOKUP(C105,listaBolsa!$D$2:$BA$1248,14,0)</f>
        <v>#N/A</v>
      </c>
      <c r="CE105" s="7" t="e">
        <f>VLOOKUP(C105,listaBolsa!$D$2:$BA$1248,23,0)</f>
        <v>#N/A</v>
      </c>
      <c r="CF105" s="7" t="e">
        <f>VLOOKUP(C105,listaBolsa!$D$2:$BA$1248,29,0)</f>
        <v>#N/A</v>
      </c>
      <c r="CG105" s="7" t="e">
        <f>VLOOKUP(C105,listaBolsa!$D$2:$BA$1248,36,0)</f>
        <v>#N/A</v>
      </c>
      <c r="CH105" s="7" t="e">
        <f>VLOOKUP(C105,listaBolsa!$D$2:$BA$1248,40,0)</f>
        <v>#N/A</v>
      </c>
      <c r="CI105" s="7" t="e">
        <f>VLOOKUP(C105,listaBolsa!$D$2:$BA$1248,48,0)</f>
        <v>#N/A</v>
      </c>
      <c r="CJ105" s="7" t="e">
        <f t="shared" si="66"/>
        <v>#N/A</v>
      </c>
      <c r="CK105" s="7" t="e">
        <f t="shared" si="67"/>
        <v>#N/A</v>
      </c>
      <c r="CL105" s="7" t="e">
        <f t="shared" si="68"/>
        <v>#N/A</v>
      </c>
      <c r="CM105" s="7" t="e">
        <f t="shared" si="69"/>
        <v>#N/A</v>
      </c>
      <c r="CN105" s="7" t="e">
        <f t="shared" si="70"/>
        <v>#N/A</v>
      </c>
      <c r="CO105" s="7" t="e">
        <f t="shared" si="71"/>
        <v>#N/A</v>
      </c>
      <c r="CP105" s="7" t="e">
        <f t="shared" si="72"/>
        <v>#N/A</v>
      </c>
      <c r="CQ105" s="7" t="e">
        <f t="shared" si="73"/>
        <v>#N/A</v>
      </c>
      <c r="CR105" s="7" t="e">
        <f t="shared" si="74"/>
        <v>#N/A</v>
      </c>
    </row>
    <row r="106" spans="1:96" s="7" customFormat="1" ht="21" hidden="1" x14ac:dyDescent="0.25">
      <c r="A106" s="75" t="str">
        <f t="shared" si="75"/>
        <v/>
      </c>
      <c r="B106" s="91"/>
      <c r="C106" s="82"/>
      <c r="D106" s="75" t="str">
        <f>IF(C106="","",VLOOKUP(C106,listaBolsa!$D$2:$H$1118,2,0))</f>
        <v/>
      </c>
      <c r="E106" s="91" t="str">
        <f>IF(C106="","",VLOOKUP(C106,listaBolsa!$D$2:$H$1118,3,0))</f>
        <v/>
      </c>
      <c r="F106" s="92"/>
      <c r="G106" s="86" t="str">
        <f>IF(C106="","",VLOOKUP(C106,listaBolsa!$D$2:$H$1118,5,0))</f>
        <v/>
      </c>
      <c r="H106" s="89" t="str">
        <f>IF(C106="","",VLOOKUP(C106,listaBolsa!$D$2:$W$1118,10,0))</f>
        <v/>
      </c>
      <c r="I106" s="128" t="str">
        <f>IF(C106="","",VLOOKUP(C106,listaBolsa!$D$2:$W$1118,14,0))</f>
        <v/>
      </c>
      <c r="J106" s="129" t="e">
        <f t="shared" si="76"/>
        <v>#VALUE!</v>
      </c>
      <c r="K106" s="129" t="e">
        <f t="shared" si="77"/>
        <v>#VALUE!</v>
      </c>
      <c r="L106" s="129" t="str">
        <f t="shared" si="78"/>
        <v/>
      </c>
      <c r="M106" s="129" t="str">
        <f t="shared" si="79"/>
        <v/>
      </c>
      <c r="N106" s="90" t="str">
        <f>IF(C106="","",VLOOKUP(C106,listaBolsa!$D$2:$AZ$1276,23,0))</f>
        <v/>
      </c>
      <c r="O106" s="130" t="str">
        <f>IF(C106="","",VLOOKUP(C106,listaBolsa!$D$2:$AZ$1276,27,0))</f>
        <v/>
      </c>
      <c r="P106" s="131" t="e">
        <f t="shared" si="80"/>
        <v>#VALUE!</v>
      </c>
      <c r="Q106" s="131" t="e">
        <f t="shared" si="81"/>
        <v>#VALUE!</v>
      </c>
      <c r="R106" s="131" t="str">
        <f t="shared" si="82"/>
        <v/>
      </c>
      <c r="S106" s="131" t="str">
        <f t="shared" si="83"/>
        <v/>
      </c>
      <c r="T106" s="83" t="str">
        <f>IF(C106="","",VLOOKUP(C106,listaBolsa!$D$2:$BB$1276,36,0))</f>
        <v/>
      </c>
      <c r="U106" s="132" t="str">
        <f>IF(C106="","",VLOOKUP(C106,listaBolsa!$D$2:$BB$1276,40,0))</f>
        <v/>
      </c>
      <c r="V106" s="133" t="e">
        <f t="shared" si="84"/>
        <v>#VALUE!</v>
      </c>
      <c r="W106" s="133" t="e">
        <f t="shared" si="85"/>
        <v>#VALUE!</v>
      </c>
      <c r="X106" s="133" t="str">
        <f t="shared" si="86"/>
        <v/>
      </c>
      <c r="Y106" s="133" t="str">
        <f t="shared" si="87"/>
        <v/>
      </c>
      <c r="Z106" s="134" t="str">
        <f t="shared" si="88"/>
        <v/>
      </c>
      <c r="AA106" s="134" t="str">
        <f t="shared" si="89"/>
        <v/>
      </c>
      <c r="AB106" s="135" t="str">
        <f t="shared" si="90"/>
        <v/>
      </c>
      <c r="AC106" s="85" t="str">
        <f t="shared" si="91"/>
        <v/>
      </c>
      <c r="AD106" s="5"/>
      <c r="AF106" s="7" t="str">
        <f>IF(C106="","",VLOOKUP(C106,listaBolsa!$D$2:$BB$276,51,0))</f>
        <v/>
      </c>
      <c r="BG106" s="7">
        <v>96</v>
      </c>
      <c r="CA106" s="7" t="e">
        <f>VLOOKUP(C106,listaBolsa!$D$2:$BA$1248,1,0)</f>
        <v>#N/A</v>
      </c>
      <c r="CB106" s="7" t="e">
        <f>VLOOKUP(C106,listaBolsa!$D$2:$BA$1248,2,0)</f>
        <v>#N/A</v>
      </c>
      <c r="CC106" s="7" t="e">
        <f>VLOOKUP(C106,listaBolsa!$D$2:$BA$1248,10,0)</f>
        <v>#N/A</v>
      </c>
      <c r="CD106" s="7" t="e">
        <f>VLOOKUP(C106,listaBolsa!$D$2:$BA$1248,14,0)</f>
        <v>#N/A</v>
      </c>
      <c r="CE106" s="7" t="e">
        <f>VLOOKUP(C106,listaBolsa!$D$2:$BA$1248,23,0)</f>
        <v>#N/A</v>
      </c>
      <c r="CF106" s="7" t="e">
        <f>VLOOKUP(C106,listaBolsa!$D$2:$BA$1248,29,0)</f>
        <v>#N/A</v>
      </c>
      <c r="CG106" s="7" t="e">
        <f>VLOOKUP(C106,listaBolsa!$D$2:$BA$1248,36,0)</f>
        <v>#N/A</v>
      </c>
      <c r="CH106" s="7" t="e">
        <f>VLOOKUP(C106,listaBolsa!$D$2:$BA$1248,40,0)</f>
        <v>#N/A</v>
      </c>
      <c r="CI106" s="7" t="e">
        <f>VLOOKUP(C106,listaBolsa!$D$2:$BA$1248,48,0)</f>
        <v>#N/A</v>
      </c>
      <c r="CJ106" s="7" t="e">
        <f t="shared" si="66"/>
        <v>#N/A</v>
      </c>
      <c r="CK106" s="7" t="e">
        <f t="shared" si="67"/>
        <v>#N/A</v>
      </c>
      <c r="CL106" s="7" t="e">
        <f t="shared" si="68"/>
        <v>#N/A</v>
      </c>
      <c r="CM106" s="7" t="e">
        <f t="shared" si="69"/>
        <v>#N/A</v>
      </c>
      <c r="CN106" s="7" t="e">
        <f t="shared" si="70"/>
        <v>#N/A</v>
      </c>
      <c r="CO106" s="7" t="e">
        <f t="shared" si="71"/>
        <v>#N/A</v>
      </c>
      <c r="CP106" s="7" t="e">
        <f t="shared" si="72"/>
        <v>#N/A</v>
      </c>
      <c r="CQ106" s="7" t="e">
        <f t="shared" si="73"/>
        <v>#N/A</v>
      </c>
      <c r="CR106" s="7" t="e">
        <f t="shared" si="74"/>
        <v>#N/A</v>
      </c>
    </row>
    <row r="107" spans="1:96" s="7" customFormat="1" ht="21" hidden="1" x14ac:dyDescent="0.25">
      <c r="A107" s="75" t="str">
        <f t="shared" si="75"/>
        <v/>
      </c>
      <c r="B107" s="91"/>
      <c r="C107" s="82"/>
      <c r="D107" s="75" t="str">
        <f>IF(C107="","",VLOOKUP(C107,listaBolsa!$D$2:$H$1118,2,0))</f>
        <v/>
      </c>
      <c r="E107" s="91" t="str">
        <f>IF(C107="","",VLOOKUP(C107,listaBolsa!$D$2:$H$1118,3,0))</f>
        <v/>
      </c>
      <c r="F107" s="92"/>
      <c r="G107" s="86" t="str">
        <f>IF(C107="","",VLOOKUP(C107,listaBolsa!$D$2:$H$1118,5,0))</f>
        <v/>
      </c>
      <c r="H107" s="89" t="str">
        <f>IF(C107="","",VLOOKUP(C107,listaBolsa!$D$2:$W$1118,10,0))</f>
        <v/>
      </c>
      <c r="I107" s="128" t="str">
        <f>IF(C107="","",VLOOKUP(C107,listaBolsa!$D$2:$W$1118,14,0))</f>
        <v/>
      </c>
      <c r="J107" s="129" t="e">
        <f t="shared" si="76"/>
        <v>#VALUE!</v>
      </c>
      <c r="K107" s="129" t="e">
        <f t="shared" si="77"/>
        <v>#VALUE!</v>
      </c>
      <c r="L107" s="129" t="str">
        <f t="shared" si="78"/>
        <v/>
      </c>
      <c r="M107" s="129" t="str">
        <f t="shared" si="79"/>
        <v/>
      </c>
      <c r="N107" s="90" t="str">
        <f>IF(C107="","",VLOOKUP(C107,listaBolsa!$D$2:$AZ$1276,23,0))</f>
        <v/>
      </c>
      <c r="O107" s="130" t="str">
        <f>IF(C107="","",VLOOKUP(C107,listaBolsa!$D$2:$AZ$1276,27,0))</f>
        <v/>
      </c>
      <c r="P107" s="131" t="e">
        <f t="shared" si="80"/>
        <v>#VALUE!</v>
      </c>
      <c r="Q107" s="131" t="e">
        <f t="shared" si="81"/>
        <v>#VALUE!</v>
      </c>
      <c r="R107" s="131" t="str">
        <f t="shared" si="82"/>
        <v/>
      </c>
      <c r="S107" s="131" t="str">
        <f t="shared" si="83"/>
        <v/>
      </c>
      <c r="T107" s="83" t="str">
        <f>IF(C107="","",VLOOKUP(C107,listaBolsa!$D$2:$BB$1276,36,0))</f>
        <v/>
      </c>
      <c r="U107" s="132" t="str">
        <f>IF(C107="","",VLOOKUP(C107,listaBolsa!$D$2:$BB$1276,40,0))</f>
        <v/>
      </c>
      <c r="V107" s="133" t="e">
        <f t="shared" si="84"/>
        <v>#VALUE!</v>
      </c>
      <c r="W107" s="133" t="e">
        <f t="shared" si="85"/>
        <v>#VALUE!</v>
      </c>
      <c r="X107" s="133" t="str">
        <f t="shared" si="86"/>
        <v/>
      </c>
      <c r="Y107" s="133" t="str">
        <f t="shared" si="87"/>
        <v/>
      </c>
      <c r="Z107" s="134" t="str">
        <f t="shared" si="88"/>
        <v/>
      </c>
      <c r="AA107" s="134" t="str">
        <f t="shared" si="89"/>
        <v/>
      </c>
      <c r="AB107" s="135" t="str">
        <f t="shared" si="90"/>
        <v/>
      </c>
      <c r="AC107" s="85" t="str">
        <f t="shared" si="91"/>
        <v/>
      </c>
      <c r="AD107" s="5"/>
      <c r="AF107" s="7" t="str">
        <f>IF(C107="","",VLOOKUP(C107,listaBolsa!$D$2:$BB$276,51,0))</f>
        <v/>
      </c>
      <c r="BG107" s="7">
        <v>97</v>
      </c>
      <c r="CA107" s="7" t="e">
        <f>VLOOKUP(C107,listaBolsa!$D$2:$BA$1248,1,0)</f>
        <v>#N/A</v>
      </c>
      <c r="CB107" s="7" t="e">
        <f>VLOOKUP(C107,listaBolsa!$D$2:$BA$1248,2,0)</f>
        <v>#N/A</v>
      </c>
      <c r="CC107" s="7" t="e">
        <f>VLOOKUP(C107,listaBolsa!$D$2:$BA$1248,10,0)</f>
        <v>#N/A</v>
      </c>
      <c r="CD107" s="7" t="e">
        <f>VLOOKUP(C107,listaBolsa!$D$2:$BA$1248,14,0)</f>
        <v>#N/A</v>
      </c>
      <c r="CE107" s="7" t="e">
        <f>VLOOKUP(C107,listaBolsa!$D$2:$BA$1248,23,0)</f>
        <v>#N/A</v>
      </c>
      <c r="CF107" s="7" t="e">
        <f>VLOOKUP(C107,listaBolsa!$D$2:$BA$1248,29,0)</f>
        <v>#N/A</v>
      </c>
      <c r="CG107" s="7" t="e">
        <f>VLOOKUP(C107,listaBolsa!$D$2:$BA$1248,36,0)</f>
        <v>#N/A</v>
      </c>
      <c r="CH107" s="7" t="e">
        <f>VLOOKUP(C107,listaBolsa!$D$2:$BA$1248,40,0)</f>
        <v>#N/A</v>
      </c>
      <c r="CI107" s="7" t="e">
        <f>VLOOKUP(C107,listaBolsa!$D$2:$BA$1248,48,0)</f>
        <v>#N/A</v>
      </c>
      <c r="CJ107" s="7" t="e">
        <f t="shared" ref="CJ107:CJ137" si="92">CA107=C107</f>
        <v>#N/A</v>
      </c>
      <c r="CK107" s="7" t="e">
        <f t="shared" ref="CK107:CK137" si="93">CB107=D107</f>
        <v>#N/A</v>
      </c>
      <c r="CL107" s="7" t="e">
        <f t="shared" ref="CL107:CL137" si="94">CC107=H107</f>
        <v>#N/A</v>
      </c>
      <c r="CM107" s="7" t="e">
        <f t="shared" ref="CM107:CM137" si="95">CD107=I107</f>
        <v>#N/A</v>
      </c>
      <c r="CN107" s="7" t="e">
        <f t="shared" ref="CN107:CN137" si="96">CE107=N107</f>
        <v>#N/A</v>
      </c>
      <c r="CO107" s="7" t="e">
        <f t="shared" ref="CO107:CO137" si="97">CF107=O107</f>
        <v>#N/A</v>
      </c>
      <c r="CP107" s="7" t="e">
        <f t="shared" ref="CP107:CP137" si="98">CG107=T107</f>
        <v>#N/A</v>
      </c>
      <c r="CQ107" s="7" t="e">
        <f t="shared" ref="CQ107:CQ137" si="99">CH107=U107</f>
        <v>#N/A</v>
      </c>
      <c r="CR107" s="7" t="e">
        <f t="shared" ref="CR107:CR137" si="100">CI107=AC107</f>
        <v>#N/A</v>
      </c>
    </row>
    <row r="108" spans="1:96" s="7" customFormat="1" ht="21" hidden="1" x14ac:dyDescent="0.25">
      <c r="A108" s="75" t="str">
        <f t="shared" si="75"/>
        <v/>
      </c>
      <c r="B108" s="91"/>
      <c r="C108" s="82"/>
      <c r="D108" s="75" t="str">
        <f>IF(C108="","",VLOOKUP(C108,listaBolsa!$D$2:$H$1118,2,0))</f>
        <v/>
      </c>
      <c r="E108" s="91" t="str">
        <f>IF(C108="","",VLOOKUP(C108,listaBolsa!$D$2:$H$1118,3,0))</f>
        <v/>
      </c>
      <c r="F108" s="92"/>
      <c r="G108" s="86" t="str">
        <f>IF(C108="","",VLOOKUP(C108,listaBolsa!$D$2:$H$1118,5,0))</f>
        <v/>
      </c>
      <c r="H108" s="89" t="str">
        <f>IF(C108="","",VLOOKUP(C108,listaBolsa!$D$2:$W$1118,10,0))</f>
        <v/>
      </c>
      <c r="I108" s="128" t="str">
        <f>IF(C108="","",VLOOKUP(C108,listaBolsa!$D$2:$W$1118,14,0))</f>
        <v/>
      </c>
      <c r="J108" s="129" t="e">
        <f t="shared" si="76"/>
        <v>#VALUE!</v>
      </c>
      <c r="K108" s="129" t="e">
        <f t="shared" si="77"/>
        <v>#VALUE!</v>
      </c>
      <c r="L108" s="129" t="str">
        <f t="shared" si="78"/>
        <v/>
      </c>
      <c r="M108" s="129" t="str">
        <f t="shared" si="79"/>
        <v/>
      </c>
      <c r="N108" s="90" t="str">
        <f>IF(C108="","",VLOOKUP(C108,listaBolsa!$D$2:$AZ$1276,23,0))</f>
        <v/>
      </c>
      <c r="O108" s="130" t="str">
        <f>IF(C108="","",VLOOKUP(C108,listaBolsa!$D$2:$AZ$1276,27,0))</f>
        <v/>
      </c>
      <c r="P108" s="131" t="e">
        <f t="shared" si="80"/>
        <v>#VALUE!</v>
      </c>
      <c r="Q108" s="131" t="e">
        <f t="shared" si="81"/>
        <v>#VALUE!</v>
      </c>
      <c r="R108" s="131" t="str">
        <f t="shared" si="82"/>
        <v/>
      </c>
      <c r="S108" s="131" t="str">
        <f t="shared" si="83"/>
        <v/>
      </c>
      <c r="T108" s="83" t="str">
        <f>IF(C108="","",VLOOKUP(C108,listaBolsa!$D$2:$BB$1276,36,0))</f>
        <v/>
      </c>
      <c r="U108" s="132" t="str">
        <f>IF(C108="","",VLOOKUP(C108,listaBolsa!$D$2:$BB$1276,40,0))</f>
        <v/>
      </c>
      <c r="V108" s="133" t="e">
        <f t="shared" si="84"/>
        <v>#VALUE!</v>
      </c>
      <c r="W108" s="133" t="e">
        <f t="shared" si="85"/>
        <v>#VALUE!</v>
      </c>
      <c r="X108" s="133" t="str">
        <f t="shared" si="86"/>
        <v/>
      </c>
      <c r="Y108" s="133" t="str">
        <f t="shared" si="87"/>
        <v/>
      </c>
      <c r="Z108" s="134" t="str">
        <f t="shared" si="88"/>
        <v/>
      </c>
      <c r="AA108" s="134" t="str">
        <f t="shared" si="89"/>
        <v/>
      </c>
      <c r="AB108" s="135" t="str">
        <f t="shared" si="90"/>
        <v/>
      </c>
      <c r="AC108" s="85" t="str">
        <f t="shared" si="91"/>
        <v/>
      </c>
      <c r="AD108" s="5"/>
      <c r="AF108" s="7" t="str">
        <f>IF(C108="","",VLOOKUP(C108,listaBolsa!$D$2:$BB$276,51,0))</f>
        <v/>
      </c>
      <c r="BG108" s="7">
        <v>98</v>
      </c>
      <c r="CA108" s="7" t="e">
        <f>VLOOKUP(C108,listaBolsa!$D$2:$BA$1248,1,0)</f>
        <v>#N/A</v>
      </c>
      <c r="CB108" s="7" t="e">
        <f>VLOOKUP(C108,listaBolsa!$D$2:$BA$1248,2,0)</f>
        <v>#N/A</v>
      </c>
      <c r="CC108" s="7" t="e">
        <f>VLOOKUP(C108,listaBolsa!$D$2:$BA$1248,10,0)</f>
        <v>#N/A</v>
      </c>
      <c r="CD108" s="7" t="e">
        <f>VLOOKUP(C108,listaBolsa!$D$2:$BA$1248,14,0)</f>
        <v>#N/A</v>
      </c>
      <c r="CE108" s="7" t="e">
        <f>VLOOKUP(C108,listaBolsa!$D$2:$BA$1248,23,0)</f>
        <v>#N/A</v>
      </c>
      <c r="CF108" s="7" t="e">
        <f>VLOOKUP(C108,listaBolsa!$D$2:$BA$1248,29,0)</f>
        <v>#N/A</v>
      </c>
      <c r="CG108" s="7" t="e">
        <f>VLOOKUP(C108,listaBolsa!$D$2:$BA$1248,36,0)</f>
        <v>#N/A</v>
      </c>
      <c r="CH108" s="7" t="e">
        <f>VLOOKUP(C108,listaBolsa!$D$2:$BA$1248,40,0)</f>
        <v>#N/A</v>
      </c>
      <c r="CI108" s="7" t="e">
        <f>VLOOKUP(C108,listaBolsa!$D$2:$BA$1248,48,0)</f>
        <v>#N/A</v>
      </c>
      <c r="CJ108" s="7" t="e">
        <f t="shared" si="92"/>
        <v>#N/A</v>
      </c>
      <c r="CK108" s="7" t="e">
        <f t="shared" si="93"/>
        <v>#N/A</v>
      </c>
      <c r="CL108" s="7" t="e">
        <f t="shared" si="94"/>
        <v>#N/A</v>
      </c>
      <c r="CM108" s="7" t="e">
        <f t="shared" si="95"/>
        <v>#N/A</v>
      </c>
      <c r="CN108" s="7" t="e">
        <f t="shared" si="96"/>
        <v>#N/A</v>
      </c>
      <c r="CO108" s="7" t="e">
        <f t="shared" si="97"/>
        <v>#N/A</v>
      </c>
      <c r="CP108" s="7" t="e">
        <f t="shared" si="98"/>
        <v>#N/A</v>
      </c>
      <c r="CQ108" s="7" t="e">
        <f t="shared" si="99"/>
        <v>#N/A</v>
      </c>
      <c r="CR108" s="7" t="e">
        <f t="shared" si="100"/>
        <v>#N/A</v>
      </c>
    </row>
    <row r="109" spans="1:96" s="7" customFormat="1" ht="21" hidden="1" x14ac:dyDescent="0.25">
      <c r="A109" s="75" t="str">
        <f t="shared" si="75"/>
        <v/>
      </c>
      <c r="B109" s="91"/>
      <c r="C109" s="82"/>
      <c r="D109" s="75" t="str">
        <f>IF(C109="","",VLOOKUP(C109,listaBolsa!$D$2:$H$1118,2,0))</f>
        <v/>
      </c>
      <c r="E109" s="91" t="str">
        <f>IF(C109="","",VLOOKUP(C109,listaBolsa!$D$2:$H$1118,3,0))</f>
        <v/>
      </c>
      <c r="F109" s="92"/>
      <c r="G109" s="86" t="str">
        <f>IF(C109="","",VLOOKUP(C109,listaBolsa!$D$2:$H$1118,5,0))</f>
        <v/>
      </c>
      <c r="H109" s="89" t="str">
        <f>IF(C109="","",VLOOKUP(C109,listaBolsa!$D$2:$W$1118,10,0))</f>
        <v/>
      </c>
      <c r="I109" s="128" t="str">
        <f>IF(C109="","",VLOOKUP(C109,listaBolsa!$D$2:$W$1118,14,0))</f>
        <v/>
      </c>
      <c r="J109" s="129" t="e">
        <f t="shared" si="76"/>
        <v>#VALUE!</v>
      </c>
      <c r="K109" s="129" t="e">
        <f t="shared" si="77"/>
        <v>#VALUE!</v>
      </c>
      <c r="L109" s="129" t="str">
        <f t="shared" si="78"/>
        <v/>
      </c>
      <c r="M109" s="129" t="str">
        <f t="shared" si="79"/>
        <v/>
      </c>
      <c r="N109" s="90" t="str">
        <f>IF(C109="","",VLOOKUP(C109,listaBolsa!$D$2:$AZ$1276,23,0))</f>
        <v/>
      </c>
      <c r="O109" s="130" t="str">
        <f>IF(C109="","",VLOOKUP(C109,listaBolsa!$D$2:$AZ$1276,27,0))</f>
        <v/>
      </c>
      <c r="P109" s="131" t="e">
        <f t="shared" si="80"/>
        <v>#VALUE!</v>
      </c>
      <c r="Q109" s="131" t="e">
        <f t="shared" si="81"/>
        <v>#VALUE!</v>
      </c>
      <c r="R109" s="131" t="str">
        <f t="shared" si="82"/>
        <v/>
      </c>
      <c r="S109" s="131" t="str">
        <f t="shared" si="83"/>
        <v/>
      </c>
      <c r="T109" s="83" t="str">
        <f>IF(C109="","",VLOOKUP(C109,listaBolsa!$D$2:$BB$1276,36,0))</f>
        <v/>
      </c>
      <c r="U109" s="132" t="str">
        <f>IF(C109="","",VLOOKUP(C109,listaBolsa!$D$2:$BB$1276,40,0))</f>
        <v/>
      </c>
      <c r="V109" s="133" t="e">
        <f t="shared" si="84"/>
        <v>#VALUE!</v>
      </c>
      <c r="W109" s="133" t="e">
        <f t="shared" si="85"/>
        <v>#VALUE!</v>
      </c>
      <c r="X109" s="133" t="str">
        <f t="shared" si="86"/>
        <v/>
      </c>
      <c r="Y109" s="133" t="str">
        <f t="shared" si="87"/>
        <v/>
      </c>
      <c r="Z109" s="134" t="str">
        <f t="shared" si="88"/>
        <v/>
      </c>
      <c r="AA109" s="134" t="str">
        <f t="shared" si="89"/>
        <v/>
      </c>
      <c r="AB109" s="135" t="str">
        <f t="shared" si="90"/>
        <v/>
      </c>
      <c r="AC109" s="85" t="str">
        <f t="shared" si="91"/>
        <v/>
      </c>
      <c r="AD109" s="5"/>
      <c r="AF109" s="7" t="str">
        <f>IF(C109="","",VLOOKUP(C109,listaBolsa!$D$2:$BB$276,51,0))</f>
        <v/>
      </c>
      <c r="BG109" s="7">
        <v>99</v>
      </c>
      <c r="CA109" s="7" t="e">
        <f>VLOOKUP(C109,listaBolsa!$D$2:$BA$1248,1,0)</f>
        <v>#N/A</v>
      </c>
      <c r="CB109" s="7" t="e">
        <f>VLOOKUP(C109,listaBolsa!$D$2:$BA$1248,2,0)</f>
        <v>#N/A</v>
      </c>
      <c r="CC109" s="7" t="e">
        <f>VLOOKUP(C109,listaBolsa!$D$2:$BA$1248,10,0)</f>
        <v>#N/A</v>
      </c>
      <c r="CD109" s="7" t="e">
        <f>VLOOKUP(C109,listaBolsa!$D$2:$BA$1248,14,0)</f>
        <v>#N/A</v>
      </c>
      <c r="CE109" s="7" t="e">
        <f>VLOOKUP(C109,listaBolsa!$D$2:$BA$1248,23,0)</f>
        <v>#N/A</v>
      </c>
      <c r="CF109" s="7" t="e">
        <f>VLOOKUP(C109,listaBolsa!$D$2:$BA$1248,29,0)</f>
        <v>#N/A</v>
      </c>
      <c r="CG109" s="7" t="e">
        <f>VLOOKUP(C109,listaBolsa!$D$2:$BA$1248,36,0)</f>
        <v>#N/A</v>
      </c>
      <c r="CH109" s="7" t="e">
        <f>VLOOKUP(C109,listaBolsa!$D$2:$BA$1248,40,0)</f>
        <v>#N/A</v>
      </c>
      <c r="CI109" s="7" t="e">
        <f>VLOOKUP(C109,listaBolsa!$D$2:$BA$1248,48,0)</f>
        <v>#N/A</v>
      </c>
      <c r="CJ109" s="7" t="e">
        <f t="shared" si="92"/>
        <v>#N/A</v>
      </c>
      <c r="CK109" s="7" t="e">
        <f t="shared" si="93"/>
        <v>#N/A</v>
      </c>
      <c r="CL109" s="7" t="e">
        <f t="shared" si="94"/>
        <v>#N/A</v>
      </c>
      <c r="CM109" s="7" t="e">
        <f t="shared" si="95"/>
        <v>#N/A</v>
      </c>
      <c r="CN109" s="7" t="e">
        <f t="shared" si="96"/>
        <v>#N/A</v>
      </c>
      <c r="CO109" s="7" t="e">
        <f t="shared" si="97"/>
        <v>#N/A</v>
      </c>
      <c r="CP109" s="7" t="e">
        <f t="shared" si="98"/>
        <v>#N/A</v>
      </c>
      <c r="CQ109" s="7" t="e">
        <f t="shared" si="99"/>
        <v>#N/A</v>
      </c>
      <c r="CR109" s="7" t="e">
        <f t="shared" si="100"/>
        <v>#N/A</v>
      </c>
    </row>
    <row r="110" spans="1:96" s="7" customFormat="1" ht="21" hidden="1" x14ac:dyDescent="0.25">
      <c r="A110" s="75" t="str">
        <f t="shared" si="75"/>
        <v/>
      </c>
      <c r="B110" s="91"/>
      <c r="C110" s="82"/>
      <c r="D110" s="75" t="str">
        <f>IF(C110="","",VLOOKUP(C110,listaBolsa!$D$2:$H$1118,2,0))</f>
        <v/>
      </c>
      <c r="E110" s="91" t="str">
        <f>IF(C110="","",VLOOKUP(C110,listaBolsa!$D$2:$H$1118,3,0))</f>
        <v/>
      </c>
      <c r="F110" s="92"/>
      <c r="G110" s="86" t="str">
        <f>IF(C110="","",VLOOKUP(C110,listaBolsa!$D$2:$H$1118,5,0))</f>
        <v/>
      </c>
      <c r="H110" s="89" t="str">
        <f>IF(C110="","",VLOOKUP(C110,listaBolsa!$D$2:$W$1118,10,0))</f>
        <v/>
      </c>
      <c r="I110" s="128" t="str">
        <f>IF(C110="","",VLOOKUP(C110,listaBolsa!$D$2:$W$1118,14,0))</f>
        <v/>
      </c>
      <c r="J110" s="129" t="e">
        <f t="shared" si="76"/>
        <v>#VALUE!</v>
      </c>
      <c r="K110" s="129" t="e">
        <f t="shared" si="77"/>
        <v>#VALUE!</v>
      </c>
      <c r="L110" s="129" t="str">
        <f t="shared" si="78"/>
        <v/>
      </c>
      <c r="M110" s="129" t="str">
        <f t="shared" si="79"/>
        <v/>
      </c>
      <c r="N110" s="90" t="str">
        <f>IF(C110="","",VLOOKUP(C110,listaBolsa!$D$2:$AZ$1276,23,0))</f>
        <v/>
      </c>
      <c r="O110" s="130" t="str">
        <f>IF(C110="","",VLOOKUP(C110,listaBolsa!$D$2:$AZ$1276,27,0))</f>
        <v/>
      </c>
      <c r="P110" s="131" t="e">
        <f t="shared" si="80"/>
        <v>#VALUE!</v>
      </c>
      <c r="Q110" s="131" t="e">
        <f t="shared" si="81"/>
        <v>#VALUE!</v>
      </c>
      <c r="R110" s="131" t="str">
        <f t="shared" si="82"/>
        <v/>
      </c>
      <c r="S110" s="131" t="str">
        <f t="shared" si="83"/>
        <v/>
      </c>
      <c r="T110" s="83" t="str">
        <f>IF(C110="","",VLOOKUP(C110,listaBolsa!$D$2:$BB$1276,36,0))</f>
        <v/>
      </c>
      <c r="U110" s="132" t="str">
        <f>IF(C110="","",VLOOKUP(C110,listaBolsa!$D$2:$BB$1276,40,0))</f>
        <v/>
      </c>
      <c r="V110" s="133" t="e">
        <f t="shared" si="84"/>
        <v>#VALUE!</v>
      </c>
      <c r="W110" s="133" t="e">
        <f t="shared" si="85"/>
        <v>#VALUE!</v>
      </c>
      <c r="X110" s="133" t="str">
        <f t="shared" si="86"/>
        <v/>
      </c>
      <c r="Y110" s="133" t="str">
        <f t="shared" si="87"/>
        <v/>
      </c>
      <c r="Z110" s="134" t="str">
        <f t="shared" si="88"/>
        <v/>
      </c>
      <c r="AA110" s="134" t="str">
        <f t="shared" si="89"/>
        <v/>
      </c>
      <c r="AB110" s="135" t="str">
        <f t="shared" si="90"/>
        <v/>
      </c>
      <c r="AC110" s="85" t="str">
        <f t="shared" si="91"/>
        <v/>
      </c>
      <c r="AD110" s="5"/>
      <c r="AF110" s="7" t="str">
        <f>IF(C110="","",VLOOKUP(C110,listaBolsa!$D$2:$BB$276,51,0))</f>
        <v/>
      </c>
      <c r="BG110" s="7">
        <v>100</v>
      </c>
      <c r="CA110" s="7" t="e">
        <f>VLOOKUP(C110,listaBolsa!$D$2:$BA$1248,1,0)</f>
        <v>#N/A</v>
      </c>
      <c r="CB110" s="7" t="e">
        <f>VLOOKUP(C110,listaBolsa!$D$2:$BA$1248,2,0)</f>
        <v>#N/A</v>
      </c>
      <c r="CC110" s="7" t="e">
        <f>VLOOKUP(C110,listaBolsa!$D$2:$BA$1248,10,0)</f>
        <v>#N/A</v>
      </c>
      <c r="CD110" s="7" t="e">
        <f>VLOOKUP(C110,listaBolsa!$D$2:$BA$1248,14,0)</f>
        <v>#N/A</v>
      </c>
      <c r="CE110" s="7" t="e">
        <f>VLOOKUP(C110,listaBolsa!$D$2:$BA$1248,23,0)</f>
        <v>#N/A</v>
      </c>
      <c r="CF110" s="7" t="e">
        <f>VLOOKUP(C110,listaBolsa!$D$2:$BA$1248,29,0)</f>
        <v>#N/A</v>
      </c>
      <c r="CG110" s="7" t="e">
        <f>VLOOKUP(C110,listaBolsa!$D$2:$BA$1248,36,0)</f>
        <v>#N/A</v>
      </c>
      <c r="CH110" s="7" t="e">
        <f>VLOOKUP(C110,listaBolsa!$D$2:$BA$1248,40,0)</f>
        <v>#N/A</v>
      </c>
      <c r="CI110" s="7" t="e">
        <f>VLOOKUP(C110,listaBolsa!$D$2:$BA$1248,48,0)</f>
        <v>#N/A</v>
      </c>
      <c r="CJ110" s="7" t="e">
        <f t="shared" si="92"/>
        <v>#N/A</v>
      </c>
      <c r="CK110" s="7" t="e">
        <f t="shared" si="93"/>
        <v>#N/A</v>
      </c>
      <c r="CL110" s="7" t="e">
        <f t="shared" si="94"/>
        <v>#N/A</v>
      </c>
      <c r="CM110" s="7" t="e">
        <f t="shared" si="95"/>
        <v>#N/A</v>
      </c>
      <c r="CN110" s="7" t="e">
        <f t="shared" si="96"/>
        <v>#N/A</v>
      </c>
      <c r="CO110" s="7" t="e">
        <f t="shared" si="97"/>
        <v>#N/A</v>
      </c>
      <c r="CP110" s="7" t="e">
        <f t="shared" si="98"/>
        <v>#N/A</v>
      </c>
      <c r="CQ110" s="7" t="e">
        <f t="shared" si="99"/>
        <v>#N/A</v>
      </c>
      <c r="CR110" s="7" t="e">
        <f t="shared" si="100"/>
        <v>#N/A</v>
      </c>
    </row>
    <row r="111" spans="1:96" s="7" customFormat="1" ht="21" hidden="1" x14ac:dyDescent="0.25">
      <c r="A111" s="75" t="str">
        <f t="shared" si="75"/>
        <v/>
      </c>
      <c r="B111" s="91"/>
      <c r="C111" s="82"/>
      <c r="D111" s="75" t="str">
        <f>IF(C111="","",VLOOKUP(C111,listaBolsa!$D$2:$H$1118,2,0))</f>
        <v/>
      </c>
      <c r="E111" s="91" t="str">
        <f>IF(C111="","",VLOOKUP(C111,listaBolsa!$D$2:$H$1118,3,0))</f>
        <v/>
      </c>
      <c r="F111" s="92"/>
      <c r="G111" s="86" t="str">
        <f>IF(C111="","",VLOOKUP(C111,listaBolsa!$D$2:$H$1118,5,0))</f>
        <v/>
      </c>
      <c r="H111" s="89" t="str">
        <f>IF(C111="","",VLOOKUP(C111,listaBolsa!$D$2:$W$1118,10,0))</f>
        <v/>
      </c>
      <c r="I111" s="128" t="str">
        <f>IF(C111="","",VLOOKUP(C111,listaBolsa!$D$2:$W$1118,14,0))</f>
        <v/>
      </c>
      <c r="J111" s="129" t="e">
        <f t="shared" si="76"/>
        <v>#VALUE!</v>
      </c>
      <c r="K111" s="129" t="e">
        <f t="shared" si="77"/>
        <v>#VALUE!</v>
      </c>
      <c r="L111" s="129" t="str">
        <f t="shared" si="78"/>
        <v/>
      </c>
      <c r="M111" s="129" t="str">
        <f t="shared" si="79"/>
        <v/>
      </c>
      <c r="N111" s="90" t="str">
        <f>IF(C111="","",VLOOKUP(C111,listaBolsa!$D$2:$AZ$1276,23,0))</f>
        <v/>
      </c>
      <c r="O111" s="130" t="str">
        <f>IF(C111="","",VLOOKUP(C111,listaBolsa!$D$2:$AZ$1276,27,0))</f>
        <v/>
      </c>
      <c r="P111" s="131" t="e">
        <f t="shared" si="80"/>
        <v>#VALUE!</v>
      </c>
      <c r="Q111" s="131" t="e">
        <f t="shared" si="81"/>
        <v>#VALUE!</v>
      </c>
      <c r="R111" s="131" t="str">
        <f t="shared" si="82"/>
        <v/>
      </c>
      <c r="S111" s="131" t="str">
        <f t="shared" si="83"/>
        <v/>
      </c>
      <c r="T111" s="83" t="str">
        <f>IF(C111="","",VLOOKUP(C111,listaBolsa!$D$2:$BB$1276,36,0))</f>
        <v/>
      </c>
      <c r="U111" s="132" t="str">
        <f>IF(C111="","",VLOOKUP(C111,listaBolsa!$D$2:$BB$1276,40,0))</f>
        <v/>
      </c>
      <c r="V111" s="133" t="e">
        <f t="shared" si="84"/>
        <v>#VALUE!</v>
      </c>
      <c r="W111" s="133" t="e">
        <f t="shared" si="85"/>
        <v>#VALUE!</v>
      </c>
      <c r="X111" s="133" t="str">
        <f t="shared" si="86"/>
        <v/>
      </c>
      <c r="Y111" s="133" t="str">
        <f t="shared" si="87"/>
        <v/>
      </c>
      <c r="Z111" s="134" t="str">
        <f t="shared" si="88"/>
        <v/>
      </c>
      <c r="AA111" s="134" t="str">
        <f t="shared" si="89"/>
        <v/>
      </c>
      <c r="AB111" s="135" t="str">
        <f t="shared" si="90"/>
        <v/>
      </c>
      <c r="AC111" s="85" t="str">
        <f t="shared" si="91"/>
        <v/>
      </c>
      <c r="AD111" s="5"/>
      <c r="AF111" s="7" t="str">
        <f>IF(C111="","",VLOOKUP(C111,listaBolsa!$D$2:$BB$276,51,0))</f>
        <v/>
      </c>
      <c r="BG111" s="7">
        <v>101</v>
      </c>
      <c r="CA111" s="7" t="e">
        <f>VLOOKUP(C111,listaBolsa!$D$2:$BA$1248,1,0)</f>
        <v>#N/A</v>
      </c>
      <c r="CB111" s="7" t="e">
        <f>VLOOKUP(C111,listaBolsa!$D$2:$BA$1248,2,0)</f>
        <v>#N/A</v>
      </c>
      <c r="CC111" s="7" t="e">
        <f>VLOOKUP(C111,listaBolsa!$D$2:$BA$1248,10,0)</f>
        <v>#N/A</v>
      </c>
      <c r="CD111" s="7" t="e">
        <f>VLOOKUP(C111,listaBolsa!$D$2:$BA$1248,14,0)</f>
        <v>#N/A</v>
      </c>
      <c r="CE111" s="7" t="e">
        <f>VLOOKUP(C111,listaBolsa!$D$2:$BA$1248,23,0)</f>
        <v>#N/A</v>
      </c>
      <c r="CF111" s="7" t="e">
        <f>VLOOKUP(C111,listaBolsa!$D$2:$BA$1248,29,0)</f>
        <v>#N/A</v>
      </c>
      <c r="CG111" s="7" t="e">
        <f>VLOOKUP(C111,listaBolsa!$D$2:$BA$1248,36,0)</f>
        <v>#N/A</v>
      </c>
      <c r="CH111" s="7" t="e">
        <f>VLOOKUP(C111,listaBolsa!$D$2:$BA$1248,40,0)</f>
        <v>#N/A</v>
      </c>
      <c r="CI111" s="7" t="e">
        <f>VLOOKUP(C111,listaBolsa!$D$2:$BA$1248,48,0)</f>
        <v>#N/A</v>
      </c>
      <c r="CJ111" s="7" t="e">
        <f t="shared" si="92"/>
        <v>#N/A</v>
      </c>
      <c r="CK111" s="7" t="e">
        <f t="shared" si="93"/>
        <v>#N/A</v>
      </c>
      <c r="CL111" s="7" t="e">
        <f t="shared" si="94"/>
        <v>#N/A</v>
      </c>
      <c r="CM111" s="7" t="e">
        <f t="shared" si="95"/>
        <v>#N/A</v>
      </c>
      <c r="CN111" s="7" t="e">
        <f t="shared" si="96"/>
        <v>#N/A</v>
      </c>
      <c r="CO111" s="7" t="e">
        <f t="shared" si="97"/>
        <v>#N/A</v>
      </c>
      <c r="CP111" s="7" t="e">
        <f t="shared" si="98"/>
        <v>#N/A</v>
      </c>
      <c r="CQ111" s="7" t="e">
        <f t="shared" si="99"/>
        <v>#N/A</v>
      </c>
      <c r="CR111" s="7" t="e">
        <f t="shared" si="100"/>
        <v>#N/A</v>
      </c>
    </row>
    <row r="112" spans="1:96" s="7" customFormat="1" ht="21" hidden="1" x14ac:dyDescent="0.25">
      <c r="A112" s="75" t="str">
        <f t="shared" si="75"/>
        <v/>
      </c>
      <c r="B112" s="91"/>
      <c r="C112" s="82"/>
      <c r="D112" s="75" t="str">
        <f>IF(C112="","",VLOOKUP(C112,listaBolsa!$D$2:$H$1118,2,0))</f>
        <v/>
      </c>
      <c r="E112" s="91" t="str">
        <f>IF(C112="","",VLOOKUP(C112,listaBolsa!$D$2:$H$1118,3,0))</f>
        <v/>
      </c>
      <c r="F112" s="92"/>
      <c r="G112" s="86" t="str">
        <f>IF(C112="","",VLOOKUP(C112,listaBolsa!$D$2:$H$1118,5,0))</f>
        <v/>
      </c>
      <c r="H112" s="89" t="str">
        <f>IF(C112="","",VLOOKUP(C112,listaBolsa!$D$2:$W$1118,10,0))</f>
        <v/>
      </c>
      <c r="I112" s="128" t="str">
        <f>IF(C112="","",VLOOKUP(C112,listaBolsa!$D$2:$W$1118,14,0))</f>
        <v/>
      </c>
      <c r="J112" s="129" t="e">
        <f t="shared" si="76"/>
        <v>#VALUE!</v>
      </c>
      <c r="K112" s="129" t="e">
        <f t="shared" si="77"/>
        <v>#VALUE!</v>
      </c>
      <c r="L112" s="129" t="str">
        <f t="shared" si="78"/>
        <v/>
      </c>
      <c r="M112" s="129" t="str">
        <f t="shared" si="79"/>
        <v/>
      </c>
      <c r="N112" s="90" t="str">
        <f>IF(C112="","",VLOOKUP(C112,listaBolsa!$D$2:$AZ$1276,23,0))</f>
        <v/>
      </c>
      <c r="O112" s="130" t="str">
        <f>IF(C112="","",VLOOKUP(C112,listaBolsa!$D$2:$AZ$1276,27,0))</f>
        <v/>
      </c>
      <c r="P112" s="131" t="e">
        <f t="shared" si="80"/>
        <v>#VALUE!</v>
      </c>
      <c r="Q112" s="131" t="e">
        <f t="shared" si="81"/>
        <v>#VALUE!</v>
      </c>
      <c r="R112" s="131" t="str">
        <f t="shared" si="82"/>
        <v/>
      </c>
      <c r="S112" s="131" t="str">
        <f t="shared" si="83"/>
        <v/>
      </c>
      <c r="T112" s="83" t="str">
        <f>IF(C112="","",VLOOKUP(C112,listaBolsa!$D$2:$BB$1276,36,0))</f>
        <v/>
      </c>
      <c r="U112" s="132" t="str">
        <f>IF(C112="","",VLOOKUP(C112,listaBolsa!$D$2:$BB$1276,40,0))</f>
        <v/>
      </c>
      <c r="V112" s="133" t="e">
        <f t="shared" si="84"/>
        <v>#VALUE!</v>
      </c>
      <c r="W112" s="133" t="e">
        <f t="shared" si="85"/>
        <v>#VALUE!</v>
      </c>
      <c r="X112" s="133" t="str">
        <f t="shared" si="86"/>
        <v/>
      </c>
      <c r="Y112" s="133" t="str">
        <f t="shared" si="87"/>
        <v/>
      </c>
      <c r="Z112" s="134" t="str">
        <f t="shared" si="88"/>
        <v/>
      </c>
      <c r="AA112" s="134" t="str">
        <f t="shared" si="89"/>
        <v/>
      </c>
      <c r="AB112" s="135" t="str">
        <f t="shared" si="90"/>
        <v/>
      </c>
      <c r="AC112" s="85" t="str">
        <f t="shared" si="91"/>
        <v/>
      </c>
      <c r="AD112" s="5"/>
      <c r="AF112" s="7" t="str">
        <f>IF(C112="","",VLOOKUP(C112,listaBolsa!$D$2:$BB$276,51,0))</f>
        <v/>
      </c>
      <c r="BG112" s="7">
        <v>102</v>
      </c>
      <c r="CA112" s="7" t="e">
        <f>VLOOKUP(C112,listaBolsa!$D$2:$BA$1248,1,0)</f>
        <v>#N/A</v>
      </c>
      <c r="CB112" s="7" t="e">
        <f>VLOOKUP(C112,listaBolsa!$D$2:$BA$1248,2,0)</f>
        <v>#N/A</v>
      </c>
      <c r="CC112" s="7" t="e">
        <f>VLOOKUP(C112,listaBolsa!$D$2:$BA$1248,10,0)</f>
        <v>#N/A</v>
      </c>
      <c r="CD112" s="7" t="e">
        <f>VLOOKUP(C112,listaBolsa!$D$2:$BA$1248,14,0)</f>
        <v>#N/A</v>
      </c>
      <c r="CE112" s="7" t="e">
        <f>VLOOKUP(C112,listaBolsa!$D$2:$BA$1248,23,0)</f>
        <v>#N/A</v>
      </c>
      <c r="CF112" s="7" t="e">
        <f>VLOOKUP(C112,listaBolsa!$D$2:$BA$1248,29,0)</f>
        <v>#N/A</v>
      </c>
      <c r="CG112" s="7" t="e">
        <f>VLOOKUP(C112,listaBolsa!$D$2:$BA$1248,36,0)</f>
        <v>#N/A</v>
      </c>
      <c r="CH112" s="7" t="e">
        <f>VLOOKUP(C112,listaBolsa!$D$2:$BA$1248,40,0)</f>
        <v>#N/A</v>
      </c>
      <c r="CI112" s="7" t="e">
        <f>VLOOKUP(C112,listaBolsa!$D$2:$BA$1248,48,0)</f>
        <v>#N/A</v>
      </c>
      <c r="CJ112" s="7" t="e">
        <f t="shared" si="92"/>
        <v>#N/A</v>
      </c>
      <c r="CK112" s="7" t="e">
        <f t="shared" si="93"/>
        <v>#N/A</v>
      </c>
      <c r="CL112" s="7" t="e">
        <f t="shared" si="94"/>
        <v>#N/A</v>
      </c>
      <c r="CM112" s="7" t="e">
        <f t="shared" si="95"/>
        <v>#N/A</v>
      </c>
      <c r="CN112" s="7" t="e">
        <f t="shared" si="96"/>
        <v>#N/A</v>
      </c>
      <c r="CO112" s="7" t="e">
        <f t="shared" si="97"/>
        <v>#N/A</v>
      </c>
      <c r="CP112" s="7" t="e">
        <f t="shared" si="98"/>
        <v>#N/A</v>
      </c>
      <c r="CQ112" s="7" t="e">
        <f t="shared" si="99"/>
        <v>#N/A</v>
      </c>
      <c r="CR112" s="7" t="e">
        <f t="shared" si="100"/>
        <v>#N/A</v>
      </c>
    </row>
    <row r="113" spans="1:96" s="7" customFormat="1" ht="21" hidden="1" x14ac:dyDescent="0.25">
      <c r="A113" s="75" t="str">
        <f t="shared" si="75"/>
        <v/>
      </c>
      <c r="B113" s="91"/>
      <c r="C113" s="82"/>
      <c r="D113" s="75" t="str">
        <f>IF(C113="","",VLOOKUP(C113,listaBolsa!$D$2:$H$1118,2,0))</f>
        <v/>
      </c>
      <c r="E113" s="91" t="str">
        <f>IF(C113="","",VLOOKUP(C113,listaBolsa!$D$2:$H$1118,3,0))</f>
        <v/>
      </c>
      <c r="F113" s="92"/>
      <c r="G113" s="86" t="str">
        <f>IF(C113="","",VLOOKUP(C113,listaBolsa!$D$2:$H$1118,5,0))</f>
        <v/>
      </c>
      <c r="H113" s="89" t="str">
        <f>IF(C113="","",VLOOKUP(C113,listaBolsa!$D$2:$W$1118,10,0))</f>
        <v/>
      </c>
      <c r="I113" s="128" t="str">
        <f>IF(C113="","",VLOOKUP(C113,listaBolsa!$D$2:$W$1118,14,0))</f>
        <v/>
      </c>
      <c r="J113" s="129" t="e">
        <f t="shared" si="76"/>
        <v>#VALUE!</v>
      </c>
      <c r="K113" s="129" t="e">
        <f t="shared" si="77"/>
        <v>#VALUE!</v>
      </c>
      <c r="L113" s="129" t="str">
        <f t="shared" si="78"/>
        <v/>
      </c>
      <c r="M113" s="129" t="str">
        <f t="shared" si="79"/>
        <v/>
      </c>
      <c r="N113" s="90" t="str">
        <f>IF(C113="","",VLOOKUP(C113,listaBolsa!$D$2:$AZ$1276,23,0))</f>
        <v/>
      </c>
      <c r="O113" s="130" t="str">
        <f>IF(C113="","",VLOOKUP(C113,listaBolsa!$D$2:$AZ$1276,27,0))</f>
        <v/>
      </c>
      <c r="P113" s="131" t="e">
        <f t="shared" si="80"/>
        <v>#VALUE!</v>
      </c>
      <c r="Q113" s="131" t="e">
        <f t="shared" si="81"/>
        <v>#VALUE!</v>
      </c>
      <c r="R113" s="131" t="str">
        <f t="shared" si="82"/>
        <v/>
      </c>
      <c r="S113" s="131" t="str">
        <f t="shared" si="83"/>
        <v/>
      </c>
      <c r="T113" s="83" t="str">
        <f>IF(C113="","",VLOOKUP(C113,listaBolsa!$D$2:$BB$1276,36,0))</f>
        <v/>
      </c>
      <c r="U113" s="132" t="str">
        <f>IF(C113="","",VLOOKUP(C113,listaBolsa!$D$2:$BB$1276,40,0))</f>
        <v/>
      </c>
      <c r="V113" s="133" t="e">
        <f t="shared" si="84"/>
        <v>#VALUE!</v>
      </c>
      <c r="W113" s="133" t="e">
        <f t="shared" si="85"/>
        <v>#VALUE!</v>
      </c>
      <c r="X113" s="133" t="str">
        <f t="shared" si="86"/>
        <v/>
      </c>
      <c r="Y113" s="133" t="str">
        <f t="shared" si="87"/>
        <v/>
      </c>
      <c r="Z113" s="134" t="str">
        <f t="shared" si="88"/>
        <v/>
      </c>
      <c r="AA113" s="134" t="str">
        <f t="shared" si="89"/>
        <v/>
      </c>
      <c r="AB113" s="135" t="str">
        <f t="shared" si="90"/>
        <v/>
      </c>
      <c r="AC113" s="85" t="str">
        <f t="shared" si="91"/>
        <v/>
      </c>
      <c r="AD113" s="5"/>
      <c r="AF113" s="7" t="str">
        <f>IF(C113="","",VLOOKUP(C113,listaBolsa!$D$2:$BB$276,51,0))</f>
        <v/>
      </c>
      <c r="BG113" s="7">
        <v>103</v>
      </c>
      <c r="CA113" s="7" t="e">
        <f>VLOOKUP(C113,listaBolsa!$D$2:$BA$1248,1,0)</f>
        <v>#N/A</v>
      </c>
      <c r="CB113" s="7" t="e">
        <f>VLOOKUP(C113,listaBolsa!$D$2:$BA$1248,2,0)</f>
        <v>#N/A</v>
      </c>
      <c r="CC113" s="7" t="e">
        <f>VLOOKUP(C113,listaBolsa!$D$2:$BA$1248,10,0)</f>
        <v>#N/A</v>
      </c>
      <c r="CD113" s="7" t="e">
        <f>VLOOKUP(C113,listaBolsa!$D$2:$BA$1248,14,0)</f>
        <v>#N/A</v>
      </c>
      <c r="CE113" s="7" t="e">
        <f>VLOOKUP(C113,listaBolsa!$D$2:$BA$1248,23,0)</f>
        <v>#N/A</v>
      </c>
      <c r="CF113" s="7" t="e">
        <f>VLOOKUP(C113,listaBolsa!$D$2:$BA$1248,29,0)</f>
        <v>#N/A</v>
      </c>
      <c r="CG113" s="7" t="e">
        <f>VLOOKUP(C113,listaBolsa!$D$2:$BA$1248,36,0)</f>
        <v>#N/A</v>
      </c>
      <c r="CH113" s="7" t="e">
        <f>VLOOKUP(C113,listaBolsa!$D$2:$BA$1248,40,0)</f>
        <v>#N/A</v>
      </c>
      <c r="CI113" s="7" t="e">
        <f>VLOOKUP(C113,listaBolsa!$D$2:$BA$1248,48,0)</f>
        <v>#N/A</v>
      </c>
      <c r="CJ113" s="7" t="e">
        <f t="shared" si="92"/>
        <v>#N/A</v>
      </c>
      <c r="CK113" s="7" t="e">
        <f t="shared" si="93"/>
        <v>#N/A</v>
      </c>
      <c r="CL113" s="7" t="e">
        <f t="shared" si="94"/>
        <v>#N/A</v>
      </c>
      <c r="CM113" s="7" t="e">
        <f t="shared" si="95"/>
        <v>#N/A</v>
      </c>
      <c r="CN113" s="7" t="e">
        <f t="shared" si="96"/>
        <v>#N/A</v>
      </c>
      <c r="CO113" s="7" t="e">
        <f t="shared" si="97"/>
        <v>#N/A</v>
      </c>
      <c r="CP113" s="7" t="e">
        <f t="shared" si="98"/>
        <v>#N/A</v>
      </c>
      <c r="CQ113" s="7" t="e">
        <f t="shared" si="99"/>
        <v>#N/A</v>
      </c>
      <c r="CR113" s="7" t="e">
        <f t="shared" si="100"/>
        <v>#N/A</v>
      </c>
    </row>
    <row r="114" spans="1:96" s="7" customFormat="1" ht="21" hidden="1" x14ac:dyDescent="0.25">
      <c r="A114" s="75" t="str">
        <f t="shared" si="75"/>
        <v/>
      </c>
      <c r="B114" s="91"/>
      <c r="C114" s="82"/>
      <c r="D114" s="75" t="str">
        <f>IF(C114="","",VLOOKUP(C114,listaBolsa!$D$2:$H$1118,2,0))</f>
        <v/>
      </c>
      <c r="E114" s="91" t="str">
        <f>IF(C114="","",VLOOKUP(C114,listaBolsa!$D$2:$H$1118,3,0))</f>
        <v/>
      </c>
      <c r="F114" s="92"/>
      <c r="G114" s="86" t="str">
        <f>IF(C114="","",VLOOKUP(C114,listaBolsa!$D$2:$H$1118,5,0))</f>
        <v/>
      </c>
      <c r="H114" s="89" t="str">
        <f>IF(C114="","",VLOOKUP(C114,listaBolsa!$D$2:$W$1118,10,0))</f>
        <v/>
      </c>
      <c r="I114" s="128" t="str">
        <f>IF(C114="","",VLOOKUP(C114,listaBolsa!$D$2:$W$1118,14,0))</f>
        <v/>
      </c>
      <c r="J114" s="129" t="e">
        <f t="shared" si="76"/>
        <v>#VALUE!</v>
      </c>
      <c r="K114" s="129" t="e">
        <f t="shared" si="77"/>
        <v>#VALUE!</v>
      </c>
      <c r="L114" s="129" t="str">
        <f t="shared" si="78"/>
        <v/>
      </c>
      <c r="M114" s="129" t="str">
        <f t="shared" si="79"/>
        <v/>
      </c>
      <c r="N114" s="90" t="str">
        <f>IF(C114="","",VLOOKUP(C114,listaBolsa!$D$2:$AZ$1276,23,0))</f>
        <v/>
      </c>
      <c r="O114" s="130" t="str">
        <f>IF(C114="","",VLOOKUP(C114,listaBolsa!$D$2:$AZ$1276,27,0))</f>
        <v/>
      </c>
      <c r="P114" s="131" t="e">
        <f t="shared" si="80"/>
        <v>#VALUE!</v>
      </c>
      <c r="Q114" s="131" t="e">
        <f t="shared" si="81"/>
        <v>#VALUE!</v>
      </c>
      <c r="R114" s="131" t="str">
        <f t="shared" si="82"/>
        <v/>
      </c>
      <c r="S114" s="131" t="str">
        <f t="shared" si="83"/>
        <v/>
      </c>
      <c r="T114" s="83" t="str">
        <f>IF(C114="","",VLOOKUP(C114,listaBolsa!$D$2:$BB$1276,36,0))</f>
        <v/>
      </c>
      <c r="U114" s="132" t="str">
        <f>IF(C114="","",VLOOKUP(C114,listaBolsa!$D$2:$BB$1276,40,0))</f>
        <v/>
      </c>
      <c r="V114" s="133" t="e">
        <f t="shared" si="84"/>
        <v>#VALUE!</v>
      </c>
      <c r="W114" s="133" t="e">
        <f t="shared" si="85"/>
        <v>#VALUE!</v>
      </c>
      <c r="X114" s="133" t="str">
        <f t="shared" si="86"/>
        <v/>
      </c>
      <c r="Y114" s="133" t="str">
        <f t="shared" si="87"/>
        <v/>
      </c>
      <c r="Z114" s="134" t="str">
        <f t="shared" si="88"/>
        <v/>
      </c>
      <c r="AA114" s="134" t="str">
        <f t="shared" si="89"/>
        <v/>
      </c>
      <c r="AB114" s="135" t="str">
        <f t="shared" si="90"/>
        <v/>
      </c>
      <c r="AC114" s="85" t="str">
        <f t="shared" si="91"/>
        <v/>
      </c>
      <c r="AD114" s="5"/>
      <c r="AF114" s="7" t="str">
        <f>IF(C114="","",VLOOKUP(C114,listaBolsa!$D$2:$BB$276,51,0))</f>
        <v/>
      </c>
      <c r="BG114" s="7">
        <v>104</v>
      </c>
      <c r="CA114" s="7" t="e">
        <f>VLOOKUP(C114,listaBolsa!$D$2:$BA$1248,1,0)</f>
        <v>#N/A</v>
      </c>
      <c r="CB114" s="7" t="e">
        <f>VLOOKUP(C114,listaBolsa!$D$2:$BA$1248,2,0)</f>
        <v>#N/A</v>
      </c>
      <c r="CC114" s="7" t="e">
        <f>VLOOKUP(C114,listaBolsa!$D$2:$BA$1248,10,0)</f>
        <v>#N/A</v>
      </c>
      <c r="CD114" s="7" t="e">
        <f>VLOOKUP(C114,listaBolsa!$D$2:$BA$1248,14,0)</f>
        <v>#N/A</v>
      </c>
      <c r="CE114" s="7" t="e">
        <f>VLOOKUP(C114,listaBolsa!$D$2:$BA$1248,23,0)</f>
        <v>#N/A</v>
      </c>
      <c r="CF114" s="7" t="e">
        <f>VLOOKUP(C114,listaBolsa!$D$2:$BA$1248,29,0)</f>
        <v>#N/A</v>
      </c>
      <c r="CG114" s="7" t="e">
        <f>VLOOKUP(C114,listaBolsa!$D$2:$BA$1248,36,0)</f>
        <v>#N/A</v>
      </c>
      <c r="CH114" s="7" t="e">
        <f>VLOOKUP(C114,listaBolsa!$D$2:$BA$1248,40,0)</f>
        <v>#N/A</v>
      </c>
      <c r="CI114" s="7" t="e">
        <f>VLOOKUP(C114,listaBolsa!$D$2:$BA$1248,48,0)</f>
        <v>#N/A</v>
      </c>
      <c r="CJ114" s="7" t="e">
        <f t="shared" si="92"/>
        <v>#N/A</v>
      </c>
      <c r="CK114" s="7" t="e">
        <f t="shared" si="93"/>
        <v>#N/A</v>
      </c>
      <c r="CL114" s="7" t="e">
        <f t="shared" si="94"/>
        <v>#N/A</v>
      </c>
      <c r="CM114" s="7" t="e">
        <f t="shared" si="95"/>
        <v>#N/A</v>
      </c>
      <c r="CN114" s="7" t="e">
        <f t="shared" si="96"/>
        <v>#N/A</v>
      </c>
      <c r="CO114" s="7" t="e">
        <f t="shared" si="97"/>
        <v>#N/A</v>
      </c>
      <c r="CP114" s="7" t="e">
        <f t="shared" si="98"/>
        <v>#N/A</v>
      </c>
      <c r="CQ114" s="7" t="e">
        <f t="shared" si="99"/>
        <v>#N/A</v>
      </c>
      <c r="CR114" s="7" t="e">
        <f t="shared" si="100"/>
        <v>#N/A</v>
      </c>
    </row>
    <row r="115" spans="1:96" s="7" customFormat="1" ht="21" hidden="1" x14ac:dyDescent="0.25">
      <c r="A115" s="75" t="str">
        <f t="shared" si="75"/>
        <v/>
      </c>
      <c r="B115" s="91"/>
      <c r="C115" s="82"/>
      <c r="D115" s="75" t="str">
        <f>IF(C115="","",VLOOKUP(C115,listaBolsa!$D$2:$H$1118,2,0))</f>
        <v/>
      </c>
      <c r="E115" s="91" t="str">
        <f>IF(C115="","",VLOOKUP(C115,listaBolsa!$D$2:$H$1118,3,0))</f>
        <v/>
      </c>
      <c r="F115" s="92"/>
      <c r="G115" s="86" t="str">
        <f>IF(C115="","",VLOOKUP(C115,listaBolsa!$D$2:$H$1118,5,0))</f>
        <v/>
      </c>
      <c r="H115" s="89" t="str">
        <f>IF(C115="","",VLOOKUP(C115,listaBolsa!$D$2:$W$1118,10,0))</f>
        <v/>
      </c>
      <c r="I115" s="128" t="str">
        <f>IF(C115="","",VLOOKUP(C115,listaBolsa!$D$2:$W$1118,14,0))</f>
        <v/>
      </c>
      <c r="J115" s="129" t="e">
        <f t="shared" si="76"/>
        <v>#VALUE!</v>
      </c>
      <c r="K115" s="129" t="e">
        <f t="shared" si="77"/>
        <v>#VALUE!</v>
      </c>
      <c r="L115" s="129" t="str">
        <f t="shared" si="78"/>
        <v/>
      </c>
      <c r="M115" s="129" t="str">
        <f t="shared" si="79"/>
        <v/>
      </c>
      <c r="N115" s="90" t="str">
        <f>IF(C115="","",VLOOKUP(C115,listaBolsa!$D$2:$AZ$1276,23,0))</f>
        <v/>
      </c>
      <c r="O115" s="130" t="str">
        <f>IF(C115="","",VLOOKUP(C115,listaBolsa!$D$2:$AZ$1276,27,0))</f>
        <v/>
      </c>
      <c r="P115" s="131" t="e">
        <f t="shared" si="80"/>
        <v>#VALUE!</v>
      </c>
      <c r="Q115" s="131" t="e">
        <f t="shared" si="81"/>
        <v>#VALUE!</v>
      </c>
      <c r="R115" s="131" t="str">
        <f t="shared" si="82"/>
        <v/>
      </c>
      <c r="S115" s="131" t="str">
        <f t="shared" si="83"/>
        <v/>
      </c>
      <c r="T115" s="83" t="str">
        <f>IF(C115="","",VLOOKUP(C115,listaBolsa!$D$2:$BB$1276,36,0))</f>
        <v/>
      </c>
      <c r="U115" s="132" t="str">
        <f>IF(C115="","",VLOOKUP(C115,listaBolsa!$D$2:$BB$1276,40,0))</f>
        <v/>
      </c>
      <c r="V115" s="133" t="e">
        <f t="shared" si="84"/>
        <v>#VALUE!</v>
      </c>
      <c r="W115" s="133" t="e">
        <f t="shared" si="85"/>
        <v>#VALUE!</v>
      </c>
      <c r="X115" s="133" t="str">
        <f t="shared" si="86"/>
        <v/>
      </c>
      <c r="Y115" s="133" t="str">
        <f t="shared" si="87"/>
        <v/>
      </c>
      <c r="Z115" s="134" t="str">
        <f t="shared" si="88"/>
        <v/>
      </c>
      <c r="AA115" s="134" t="str">
        <f t="shared" si="89"/>
        <v/>
      </c>
      <c r="AB115" s="135" t="str">
        <f t="shared" si="90"/>
        <v/>
      </c>
      <c r="AC115" s="85" t="str">
        <f t="shared" si="91"/>
        <v/>
      </c>
      <c r="AD115" s="5"/>
      <c r="AF115" s="7" t="str">
        <f>IF(C115="","",VLOOKUP(C115,listaBolsa!$D$2:$BB$276,51,0))</f>
        <v/>
      </c>
      <c r="BG115" s="7">
        <v>105</v>
      </c>
      <c r="CA115" s="7" t="e">
        <f>VLOOKUP(C115,listaBolsa!$D$2:$BA$1248,1,0)</f>
        <v>#N/A</v>
      </c>
      <c r="CB115" s="7" t="e">
        <f>VLOOKUP(C115,listaBolsa!$D$2:$BA$1248,2,0)</f>
        <v>#N/A</v>
      </c>
      <c r="CC115" s="7" t="e">
        <f>VLOOKUP(C115,listaBolsa!$D$2:$BA$1248,10,0)</f>
        <v>#N/A</v>
      </c>
      <c r="CD115" s="7" t="e">
        <f>VLOOKUP(C115,listaBolsa!$D$2:$BA$1248,14,0)</f>
        <v>#N/A</v>
      </c>
      <c r="CE115" s="7" t="e">
        <f>VLOOKUP(C115,listaBolsa!$D$2:$BA$1248,23,0)</f>
        <v>#N/A</v>
      </c>
      <c r="CF115" s="7" t="e">
        <f>VLOOKUP(C115,listaBolsa!$D$2:$BA$1248,29,0)</f>
        <v>#N/A</v>
      </c>
      <c r="CG115" s="7" t="e">
        <f>VLOOKUP(C115,listaBolsa!$D$2:$BA$1248,36,0)</f>
        <v>#N/A</v>
      </c>
      <c r="CH115" s="7" t="e">
        <f>VLOOKUP(C115,listaBolsa!$D$2:$BA$1248,40,0)</f>
        <v>#N/A</v>
      </c>
      <c r="CI115" s="7" t="e">
        <f>VLOOKUP(C115,listaBolsa!$D$2:$BA$1248,48,0)</f>
        <v>#N/A</v>
      </c>
      <c r="CJ115" s="7" t="e">
        <f t="shared" si="92"/>
        <v>#N/A</v>
      </c>
      <c r="CK115" s="7" t="e">
        <f t="shared" si="93"/>
        <v>#N/A</v>
      </c>
      <c r="CL115" s="7" t="e">
        <f t="shared" si="94"/>
        <v>#N/A</v>
      </c>
      <c r="CM115" s="7" t="e">
        <f t="shared" si="95"/>
        <v>#N/A</v>
      </c>
      <c r="CN115" s="7" t="e">
        <f t="shared" si="96"/>
        <v>#N/A</v>
      </c>
      <c r="CO115" s="7" t="e">
        <f t="shared" si="97"/>
        <v>#N/A</v>
      </c>
      <c r="CP115" s="7" t="e">
        <f t="shared" si="98"/>
        <v>#N/A</v>
      </c>
      <c r="CQ115" s="7" t="e">
        <f t="shared" si="99"/>
        <v>#N/A</v>
      </c>
      <c r="CR115" s="7" t="e">
        <f t="shared" si="100"/>
        <v>#N/A</v>
      </c>
    </row>
    <row r="116" spans="1:96" s="7" customFormat="1" ht="21" hidden="1" x14ac:dyDescent="0.25">
      <c r="A116" s="75" t="str">
        <f t="shared" si="75"/>
        <v/>
      </c>
      <c r="B116" s="91"/>
      <c r="C116" s="82"/>
      <c r="D116" s="75" t="str">
        <f>IF(C116="","",VLOOKUP(C116,listaBolsa!$D$2:$H$1118,2,0))</f>
        <v/>
      </c>
      <c r="E116" s="91" t="str">
        <f>IF(C116="","",VLOOKUP(C116,listaBolsa!$D$2:$H$1118,3,0))</f>
        <v/>
      </c>
      <c r="F116" s="92"/>
      <c r="G116" s="86" t="str">
        <f>IF(C116="","",VLOOKUP(C116,listaBolsa!$D$2:$H$1118,5,0))</f>
        <v/>
      </c>
      <c r="H116" s="89" t="str">
        <f>IF(C116="","",VLOOKUP(C116,listaBolsa!$D$2:$W$1118,10,0))</f>
        <v/>
      </c>
      <c r="I116" s="128" t="str">
        <f>IF(C116="","",VLOOKUP(C116,listaBolsa!$D$2:$W$1118,14,0))</f>
        <v/>
      </c>
      <c r="J116" s="129" t="e">
        <f t="shared" si="76"/>
        <v>#VALUE!</v>
      </c>
      <c r="K116" s="129" t="e">
        <f t="shared" si="77"/>
        <v>#VALUE!</v>
      </c>
      <c r="L116" s="129" t="str">
        <f t="shared" si="78"/>
        <v/>
      </c>
      <c r="M116" s="129" t="str">
        <f t="shared" si="79"/>
        <v/>
      </c>
      <c r="N116" s="90" t="str">
        <f>IF(C116="","",VLOOKUP(C116,listaBolsa!$D$2:$AZ$1276,23,0))</f>
        <v/>
      </c>
      <c r="O116" s="130" t="str">
        <f>IF(C116="","",VLOOKUP(C116,listaBolsa!$D$2:$AZ$1276,27,0))</f>
        <v/>
      </c>
      <c r="P116" s="131" t="e">
        <f t="shared" si="80"/>
        <v>#VALUE!</v>
      </c>
      <c r="Q116" s="131" t="e">
        <f t="shared" si="81"/>
        <v>#VALUE!</v>
      </c>
      <c r="R116" s="131" t="str">
        <f t="shared" si="82"/>
        <v/>
      </c>
      <c r="S116" s="131" t="str">
        <f t="shared" si="83"/>
        <v/>
      </c>
      <c r="T116" s="83" t="str">
        <f>IF(C116="","",VLOOKUP(C116,listaBolsa!$D$2:$BB$1276,36,0))</f>
        <v/>
      </c>
      <c r="U116" s="132" t="str">
        <f>IF(C116="","",VLOOKUP(C116,listaBolsa!$D$2:$BB$1276,40,0))</f>
        <v/>
      </c>
      <c r="V116" s="133" t="e">
        <f t="shared" si="84"/>
        <v>#VALUE!</v>
      </c>
      <c r="W116" s="133" t="e">
        <f t="shared" si="85"/>
        <v>#VALUE!</v>
      </c>
      <c r="X116" s="133" t="str">
        <f t="shared" si="86"/>
        <v/>
      </c>
      <c r="Y116" s="133" t="str">
        <f t="shared" si="87"/>
        <v/>
      </c>
      <c r="Z116" s="134" t="str">
        <f t="shared" si="88"/>
        <v/>
      </c>
      <c r="AA116" s="134" t="str">
        <f t="shared" si="89"/>
        <v/>
      </c>
      <c r="AB116" s="135" t="str">
        <f t="shared" si="90"/>
        <v/>
      </c>
      <c r="AC116" s="85" t="str">
        <f t="shared" si="91"/>
        <v/>
      </c>
      <c r="AD116" s="5"/>
      <c r="AF116" s="7" t="str">
        <f>IF(C116="","",VLOOKUP(C116,listaBolsa!$D$2:$BB$276,51,0))</f>
        <v/>
      </c>
      <c r="BG116" s="7">
        <v>106</v>
      </c>
      <c r="CA116" s="7" t="e">
        <f>VLOOKUP(C116,listaBolsa!$D$2:$BA$1248,1,0)</f>
        <v>#N/A</v>
      </c>
      <c r="CB116" s="7" t="e">
        <f>VLOOKUP(C116,listaBolsa!$D$2:$BA$1248,2,0)</f>
        <v>#N/A</v>
      </c>
      <c r="CC116" s="7" t="e">
        <f>VLOOKUP(C116,listaBolsa!$D$2:$BA$1248,10,0)</f>
        <v>#N/A</v>
      </c>
      <c r="CD116" s="7" t="e">
        <f>VLOOKUP(C116,listaBolsa!$D$2:$BA$1248,14,0)</f>
        <v>#N/A</v>
      </c>
      <c r="CE116" s="7" t="e">
        <f>VLOOKUP(C116,listaBolsa!$D$2:$BA$1248,23,0)</f>
        <v>#N/A</v>
      </c>
      <c r="CF116" s="7" t="e">
        <f>VLOOKUP(C116,listaBolsa!$D$2:$BA$1248,29,0)</f>
        <v>#N/A</v>
      </c>
      <c r="CG116" s="7" t="e">
        <f>VLOOKUP(C116,listaBolsa!$D$2:$BA$1248,36,0)</f>
        <v>#N/A</v>
      </c>
      <c r="CH116" s="7" t="e">
        <f>VLOOKUP(C116,listaBolsa!$D$2:$BA$1248,40,0)</f>
        <v>#N/A</v>
      </c>
      <c r="CI116" s="7" t="e">
        <f>VLOOKUP(C116,listaBolsa!$D$2:$BA$1248,48,0)</f>
        <v>#N/A</v>
      </c>
      <c r="CJ116" s="7" t="e">
        <f t="shared" si="92"/>
        <v>#N/A</v>
      </c>
      <c r="CK116" s="7" t="e">
        <f t="shared" si="93"/>
        <v>#N/A</v>
      </c>
      <c r="CL116" s="7" t="e">
        <f t="shared" si="94"/>
        <v>#N/A</v>
      </c>
      <c r="CM116" s="7" t="e">
        <f t="shared" si="95"/>
        <v>#N/A</v>
      </c>
      <c r="CN116" s="7" t="e">
        <f t="shared" si="96"/>
        <v>#N/A</v>
      </c>
      <c r="CO116" s="7" t="e">
        <f t="shared" si="97"/>
        <v>#N/A</v>
      </c>
      <c r="CP116" s="7" t="e">
        <f t="shared" si="98"/>
        <v>#N/A</v>
      </c>
      <c r="CQ116" s="7" t="e">
        <f t="shared" si="99"/>
        <v>#N/A</v>
      </c>
      <c r="CR116" s="7" t="e">
        <f t="shared" si="100"/>
        <v>#N/A</v>
      </c>
    </row>
    <row r="117" spans="1:96" s="7" customFormat="1" ht="21" hidden="1" x14ac:dyDescent="0.25">
      <c r="A117" s="75" t="str">
        <f t="shared" si="75"/>
        <v/>
      </c>
      <c r="B117" s="91"/>
      <c r="C117" s="82"/>
      <c r="D117" s="75" t="str">
        <f>IF(C117="","",VLOOKUP(C117,listaBolsa!$D$2:$H$1118,2,0))</f>
        <v/>
      </c>
      <c r="E117" s="91" t="str">
        <f>IF(C117="","",VLOOKUP(C117,listaBolsa!$D$2:$H$1118,3,0))</f>
        <v/>
      </c>
      <c r="F117" s="92"/>
      <c r="G117" s="86" t="str">
        <f>IF(C117="","",VLOOKUP(C117,listaBolsa!$D$2:$H$1118,5,0))</f>
        <v/>
      </c>
      <c r="H117" s="89" t="str">
        <f>IF(C117="","",VLOOKUP(C117,listaBolsa!$D$2:$W$1118,10,0))</f>
        <v/>
      </c>
      <c r="I117" s="128" t="str">
        <f>IF(C117="","",VLOOKUP(C117,listaBolsa!$D$2:$W$1118,14,0))</f>
        <v/>
      </c>
      <c r="J117" s="129" t="e">
        <f t="shared" si="76"/>
        <v>#VALUE!</v>
      </c>
      <c r="K117" s="129" t="e">
        <f t="shared" si="77"/>
        <v>#VALUE!</v>
      </c>
      <c r="L117" s="129" t="str">
        <f t="shared" si="78"/>
        <v/>
      </c>
      <c r="M117" s="129" t="str">
        <f t="shared" si="79"/>
        <v/>
      </c>
      <c r="N117" s="90" t="str">
        <f>IF(C117="","",VLOOKUP(C117,listaBolsa!$D$2:$AZ$1276,23,0))</f>
        <v/>
      </c>
      <c r="O117" s="130" t="str">
        <f>IF(C117="","",VLOOKUP(C117,listaBolsa!$D$2:$AZ$1276,27,0))</f>
        <v/>
      </c>
      <c r="P117" s="131" t="e">
        <f t="shared" si="80"/>
        <v>#VALUE!</v>
      </c>
      <c r="Q117" s="131" t="e">
        <f t="shared" si="81"/>
        <v>#VALUE!</v>
      </c>
      <c r="R117" s="131" t="str">
        <f t="shared" si="82"/>
        <v/>
      </c>
      <c r="S117" s="131" t="str">
        <f t="shared" si="83"/>
        <v/>
      </c>
      <c r="T117" s="83" t="str">
        <f>IF(C117="","",VLOOKUP(C117,listaBolsa!$D$2:$BB$1276,36,0))</f>
        <v/>
      </c>
      <c r="U117" s="132" t="str">
        <f>IF(C117="","",VLOOKUP(C117,listaBolsa!$D$2:$BB$1276,40,0))</f>
        <v/>
      </c>
      <c r="V117" s="133" t="e">
        <f t="shared" si="84"/>
        <v>#VALUE!</v>
      </c>
      <c r="W117" s="133" t="e">
        <f t="shared" si="85"/>
        <v>#VALUE!</v>
      </c>
      <c r="X117" s="133" t="str">
        <f t="shared" si="86"/>
        <v/>
      </c>
      <c r="Y117" s="133" t="str">
        <f t="shared" si="87"/>
        <v/>
      </c>
      <c r="Z117" s="134" t="str">
        <f t="shared" si="88"/>
        <v/>
      </c>
      <c r="AA117" s="134" t="str">
        <f t="shared" si="89"/>
        <v/>
      </c>
      <c r="AB117" s="135" t="str">
        <f t="shared" si="90"/>
        <v/>
      </c>
      <c r="AC117" s="85" t="str">
        <f t="shared" si="91"/>
        <v/>
      </c>
      <c r="AD117" s="5"/>
      <c r="AF117" s="7" t="str">
        <f>IF(C117="","",VLOOKUP(C117,listaBolsa!$D$2:$BB$276,51,0))</f>
        <v/>
      </c>
      <c r="BG117" s="7">
        <v>107</v>
      </c>
      <c r="CA117" s="7" t="e">
        <f>VLOOKUP(C117,listaBolsa!$D$2:$BA$1248,1,0)</f>
        <v>#N/A</v>
      </c>
      <c r="CB117" s="7" t="e">
        <f>VLOOKUP(C117,listaBolsa!$D$2:$BA$1248,2,0)</f>
        <v>#N/A</v>
      </c>
      <c r="CC117" s="7" t="e">
        <f>VLOOKUP(C117,listaBolsa!$D$2:$BA$1248,10,0)</f>
        <v>#N/A</v>
      </c>
      <c r="CD117" s="7" t="e">
        <f>VLOOKUP(C117,listaBolsa!$D$2:$BA$1248,14,0)</f>
        <v>#N/A</v>
      </c>
      <c r="CE117" s="7" t="e">
        <f>VLOOKUP(C117,listaBolsa!$D$2:$BA$1248,23,0)</f>
        <v>#N/A</v>
      </c>
      <c r="CF117" s="7" t="e">
        <f>VLOOKUP(C117,listaBolsa!$D$2:$BA$1248,29,0)</f>
        <v>#N/A</v>
      </c>
      <c r="CG117" s="7" t="e">
        <f>VLOOKUP(C117,listaBolsa!$D$2:$BA$1248,36,0)</f>
        <v>#N/A</v>
      </c>
      <c r="CH117" s="7" t="e">
        <f>VLOOKUP(C117,listaBolsa!$D$2:$BA$1248,40,0)</f>
        <v>#N/A</v>
      </c>
      <c r="CI117" s="7" t="e">
        <f>VLOOKUP(C117,listaBolsa!$D$2:$BA$1248,48,0)</f>
        <v>#N/A</v>
      </c>
      <c r="CJ117" s="7" t="e">
        <f t="shared" si="92"/>
        <v>#N/A</v>
      </c>
      <c r="CK117" s="7" t="e">
        <f t="shared" si="93"/>
        <v>#N/A</v>
      </c>
      <c r="CL117" s="7" t="e">
        <f t="shared" si="94"/>
        <v>#N/A</v>
      </c>
      <c r="CM117" s="7" t="e">
        <f t="shared" si="95"/>
        <v>#N/A</v>
      </c>
      <c r="CN117" s="7" t="e">
        <f t="shared" si="96"/>
        <v>#N/A</v>
      </c>
      <c r="CO117" s="7" t="e">
        <f t="shared" si="97"/>
        <v>#N/A</v>
      </c>
      <c r="CP117" s="7" t="e">
        <f t="shared" si="98"/>
        <v>#N/A</v>
      </c>
      <c r="CQ117" s="7" t="e">
        <f t="shared" si="99"/>
        <v>#N/A</v>
      </c>
      <c r="CR117" s="7" t="e">
        <f t="shared" si="100"/>
        <v>#N/A</v>
      </c>
    </row>
    <row r="118" spans="1:96" s="7" customFormat="1" ht="21" hidden="1" x14ac:dyDescent="0.25">
      <c r="A118" s="75" t="str">
        <f t="shared" si="75"/>
        <v/>
      </c>
      <c r="B118" s="91"/>
      <c r="C118" s="82"/>
      <c r="D118" s="75" t="str">
        <f>IF(C118="","",VLOOKUP(C118,listaBolsa!$D$2:$H$1118,2,0))</f>
        <v/>
      </c>
      <c r="E118" s="91" t="str">
        <f>IF(C118="","",VLOOKUP(C118,listaBolsa!$D$2:$H$1118,3,0))</f>
        <v/>
      </c>
      <c r="F118" s="92"/>
      <c r="G118" s="86" t="str">
        <f>IF(C118="","",VLOOKUP(C118,listaBolsa!$D$2:$H$1118,5,0))</f>
        <v/>
      </c>
      <c r="H118" s="89" t="str">
        <f>IF(C118="","",VLOOKUP(C118,listaBolsa!$D$2:$W$1118,10,0))</f>
        <v/>
      </c>
      <c r="I118" s="128" t="str">
        <f>IF(C118="","",VLOOKUP(C118,listaBolsa!$D$2:$W$1118,14,0))</f>
        <v/>
      </c>
      <c r="J118" s="129" t="e">
        <f t="shared" si="76"/>
        <v>#VALUE!</v>
      </c>
      <c r="K118" s="129" t="e">
        <f t="shared" si="77"/>
        <v>#VALUE!</v>
      </c>
      <c r="L118" s="129" t="str">
        <f t="shared" si="78"/>
        <v/>
      </c>
      <c r="M118" s="129" t="str">
        <f t="shared" si="79"/>
        <v/>
      </c>
      <c r="N118" s="90" t="str">
        <f>IF(C118="","",VLOOKUP(C118,listaBolsa!$D$2:$AZ$1276,23,0))</f>
        <v/>
      </c>
      <c r="O118" s="130" t="str">
        <f>IF(C118="","",VLOOKUP(C118,listaBolsa!$D$2:$AZ$1276,27,0))</f>
        <v/>
      </c>
      <c r="P118" s="131" t="e">
        <f t="shared" si="80"/>
        <v>#VALUE!</v>
      </c>
      <c r="Q118" s="131" t="e">
        <f t="shared" si="81"/>
        <v>#VALUE!</v>
      </c>
      <c r="R118" s="131" t="str">
        <f t="shared" si="82"/>
        <v/>
      </c>
      <c r="S118" s="131" t="str">
        <f t="shared" si="83"/>
        <v/>
      </c>
      <c r="T118" s="83" t="str">
        <f>IF(C118="","",VLOOKUP(C118,listaBolsa!$D$2:$BB$1276,36,0))</f>
        <v/>
      </c>
      <c r="U118" s="132" t="str">
        <f>IF(C118="","",VLOOKUP(C118,listaBolsa!$D$2:$BB$1276,40,0))</f>
        <v/>
      </c>
      <c r="V118" s="133" t="e">
        <f t="shared" si="84"/>
        <v>#VALUE!</v>
      </c>
      <c r="W118" s="133" t="e">
        <f t="shared" si="85"/>
        <v>#VALUE!</v>
      </c>
      <c r="X118" s="133" t="str">
        <f t="shared" si="86"/>
        <v/>
      </c>
      <c r="Y118" s="133" t="str">
        <f t="shared" si="87"/>
        <v/>
      </c>
      <c r="Z118" s="134" t="str">
        <f t="shared" si="88"/>
        <v/>
      </c>
      <c r="AA118" s="134" t="str">
        <f t="shared" si="89"/>
        <v/>
      </c>
      <c r="AB118" s="135" t="str">
        <f t="shared" si="90"/>
        <v/>
      </c>
      <c r="AC118" s="85" t="str">
        <f t="shared" si="91"/>
        <v/>
      </c>
      <c r="AD118" s="5"/>
      <c r="AF118" s="7" t="str">
        <f>IF(C118="","",VLOOKUP(C118,listaBolsa!$D$2:$BB$276,51,0))</f>
        <v/>
      </c>
      <c r="BG118" s="7">
        <v>108</v>
      </c>
      <c r="CA118" s="7" t="e">
        <f>VLOOKUP(C118,listaBolsa!$D$2:$BA$1248,1,0)</f>
        <v>#N/A</v>
      </c>
      <c r="CB118" s="7" t="e">
        <f>VLOOKUP(C118,listaBolsa!$D$2:$BA$1248,2,0)</f>
        <v>#N/A</v>
      </c>
      <c r="CC118" s="7" t="e">
        <f>VLOOKUP(C118,listaBolsa!$D$2:$BA$1248,10,0)</f>
        <v>#N/A</v>
      </c>
      <c r="CD118" s="7" t="e">
        <f>VLOOKUP(C118,listaBolsa!$D$2:$BA$1248,14,0)</f>
        <v>#N/A</v>
      </c>
      <c r="CE118" s="7" t="e">
        <f>VLOOKUP(C118,listaBolsa!$D$2:$BA$1248,23,0)</f>
        <v>#N/A</v>
      </c>
      <c r="CF118" s="7" t="e">
        <f>VLOOKUP(C118,listaBolsa!$D$2:$BA$1248,29,0)</f>
        <v>#N/A</v>
      </c>
      <c r="CG118" s="7" t="e">
        <f>VLOOKUP(C118,listaBolsa!$D$2:$BA$1248,36,0)</f>
        <v>#N/A</v>
      </c>
      <c r="CH118" s="7" t="e">
        <f>VLOOKUP(C118,listaBolsa!$D$2:$BA$1248,40,0)</f>
        <v>#N/A</v>
      </c>
      <c r="CI118" s="7" t="e">
        <f>VLOOKUP(C118,listaBolsa!$D$2:$BA$1248,48,0)</f>
        <v>#N/A</v>
      </c>
      <c r="CJ118" s="7" t="e">
        <f t="shared" si="92"/>
        <v>#N/A</v>
      </c>
      <c r="CK118" s="7" t="e">
        <f t="shared" si="93"/>
        <v>#N/A</v>
      </c>
      <c r="CL118" s="7" t="e">
        <f t="shared" si="94"/>
        <v>#N/A</v>
      </c>
      <c r="CM118" s="7" t="e">
        <f t="shared" si="95"/>
        <v>#N/A</v>
      </c>
      <c r="CN118" s="7" t="e">
        <f t="shared" si="96"/>
        <v>#N/A</v>
      </c>
      <c r="CO118" s="7" t="e">
        <f t="shared" si="97"/>
        <v>#N/A</v>
      </c>
      <c r="CP118" s="7" t="e">
        <f t="shared" si="98"/>
        <v>#N/A</v>
      </c>
      <c r="CQ118" s="7" t="e">
        <f t="shared" si="99"/>
        <v>#N/A</v>
      </c>
      <c r="CR118" s="7" t="e">
        <f t="shared" si="100"/>
        <v>#N/A</v>
      </c>
    </row>
    <row r="119" spans="1:96" s="7" customFormat="1" ht="21" hidden="1" x14ac:dyDescent="0.25">
      <c r="A119" s="75" t="str">
        <f t="shared" si="75"/>
        <v/>
      </c>
      <c r="B119" s="91"/>
      <c r="C119" s="82"/>
      <c r="D119" s="75" t="str">
        <f>IF(C119="","",VLOOKUP(C119,listaBolsa!$D$2:$H$1118,2,0))</f>
        <v/>
      </c>
      <c r="E119" s="91" t="str">
        <f>IF(C119="","",VLOOKUP(C119,listaBolsa!$D$2:$H$1118,3,0))</f>
        <v/>
      </c>
      <c r="F119" s="92"/>
      <c r="G119" s="86" t="str">
        <f>IF(C119="","",VLOOKUP(C119,listaBolsa!$D$2:$H$1118,5,0))</f>
        <v/>
      </c>
      <c r="H119" s="89" t="str">
        <f>IF(C119="","",VLOOKUP(C119,listaBolsa!$D$2:$W$1118,10,0))</f>
        <v/>
      </c>
      <c r="I119" s="128" t="str">
        <f>IF(C119="","",VLOOKUP(C119,listaBolsa!$D$2:$W$1118,14,0))</f>
        <v/>
      </c>
      <c r="J119" s="129" t="e">
        <f t="shared" si="76"/>
        <v>#VALUE!</v>
      </c>
      <c r="K119" s="129" t="e">
        <f t="shared" si="77"/>
        <v>#VALUE!</v>
      </c>
      <c r="L119" s="129" t="str">
        <f t="shared" si="78"/>
        <v/>
      </c>
      <c r="M119" s="129" t="str">
        <f t="shared" si="79"/>
        <v/>
      </c>
      <c r="N119" s="90" t="str">
        <f>IF(C119="","",VLOOKUP(C119,listaBolsa!$D$2:$AZ$1276,23,0))</f>
        <v/>
      </c>
      <c r="O119" s="130" t="str">
        <f>IF(C119="","",VLOOKUP(C119,listaBolsa!$D$2:$AZ$1276,27,0))</f>
        <v/>
      </c>
      <c r="P119" s="131" t="e">
        <f t="shared" si="80"/>
        <v>#VALUE!</v>
      </c>
      <c r="Q119" s="131" t="e">
        <f t="shared" si="81"/>
        <v>#VALUE!</v>
      </c>
      <c r="R119" s="131" t="str">
        <f t="shared" si="82"/>
        <v/>
      </c>
      <c r="S119" s="131" t="str">
        <f t="shared" si="83"/>
        <v/>
      </c>
      <c r="T119" s="83" t="str">
        <f>IF(C119="","",VLOOKUP(C119,listaBolsa!$D$2:$BB$1276,36,0))</f>
        <v/>
      </c>
      <c r="U119" s="132" t="str">
        <f>IF(C119="","",VLOOKUP(C119,listaBolsa!$D$2:$BB$1276,40,0))</f>
        <v/>
      </c>
      <c r="V119" s="133" t="e">
        <f t="shared" si="84"/>
        <v>#VALUE!</v>
      </c>
      <c r="W119" s="133" t="e">
        <f t="shared" si="85"/>
        <v>#VALUE!</v>
      </c>
      <c r="X119" s="133" t="str">
        <f t="shared" si="86"/>
        <v/>
      </c>
      <c r="Y119" s="133" t="str">
        <f t="shared" si="87"/>
        <v/>
      </c>
      <c r="Z119" s="134" t="str">
        <f t="shared" si="88"/>
        <v/>
      </c>
      <c r="AA119" s="134" t="str">
        <f t="shared" si="89"/>
        <v/>
      </c>
      <c r="AB119" s="135" t="str">
        <f t="shared" si="90"/>
        <v/>
      </c>
      <c r="AC119" s="85" t="str">
        <f t="shared" si="91"/>
        <v/>
      </c>
      <c r="AD119" s="5"/>
      <c r="AF119" s="7" t="str">
        <f>IF(C119="","",VLOOKUP(C119,listaBolsa!$D$2:$BB$276,51,0))</f>
        <v/>
      </c>
      <c r="BG119" s="7">
        <v>109</v>
      </c>
      <c r="CA119" s="7" t="e">
        <f>VLOOKUP(C119,listaBolsa!$D$2:$BA$1248,1,0)</f>
        <v>#N/A</v>
      </c>
      <c r="CB119" s="7" t="e">
        <f>VLOOKUP(C119,listaBolsa!$D$2:$BA$1248,2,0)</f>
        <v>#N/A</v>
      </c>
      <c r="CC119" s="7" t="e">
        <f>VLOOKUP(C119,listaBolsa!$D$2:$BA$1248,10,0)</f>
        <v>#N/A</v>
      </c>
      <c r="CD119" s="7" t="e">
        <f>VLOOKUP(C119,listaBolsa!$D$2:$BA$1248,14,0)</f>
        <v>#N/A</v>
      </c>
      <c r="CE119" s="7" t="e">
        <f>VLOOKUP(C119,listaBolsa!$D$2:$BA$1248,23,0)</f>
        <v>#N/A</v>
      </c>
      <c r="CF119" s="7" t="e">
        <f>VLOOKUP(C119,listaBolsa!$D$2:$BA$1248,29,0)</f>
        <v>#N/A</v>
      </c>
      <c r="CG119" s="7" t="e">
        <f>VLOOKUP(C119,listaBolsa!$D$2:$BA$1248,36,0)</f>
        <v>#N/A</v>
      </c>
      <c r="CH119" s="7" t="e">
        <f>VLOOKUP(C119,listaBolsa!$D$2:$BA$1248,40,0)</f>
        <v>#N/A</v>
      </c>
      <c r="CI119" s="7" t="e">
        <f>VLOOKUP(C119,listaBolsa!$D$2:$BA$1248,48,0)</f>
        <v>#N/A</v>
      </c>
      <c r="CJ119" s="7" t="e">
        <f t="shared" si="92"/>
        <v>#N/A</v>
      </c>
      <c r="CK119" s="7" t="e">
        <f t="shared" si="93"/>
        <v>#N/A</v>
      </c>
      <c r="CL119" s="7" t="e">
        <f t="shared" si="94"/>
        <v>#N/A</v>
      </c>
      <c r="CM119" s="7" t="e">
        <f t="shared" si="95"/>
        <v>#N/A</v>
      </c>
      <c r="CN119" s="7" t="e">
        <f t="shared" si="96"/>
        <v>#N/A</v>
      </c>
      <c r="CO119" s="7" t="e">
        <f t="shared" si="97"/>
        <v>#N/A</v>
      </c>
      <c r="CP119" s="7" t="e">
        <f t="shared" si="98"/>
        <v>#N/A</v>
      </c>
      <c r="CQ119" s="7" t="e">
        <f t="shared" si="99"/>
        <v>#N/A</v>
      </c>
      <c r="CR119" s="7" t="e">
        <f t="shared" si="100"/>
        <v>#N/A</v>
      </c>
    </row>
    <row r="120" spans="1:96" s="7" customFormat="1" ht="21" hidden="1" x14ac:dyDescent="0.25">
      <c r="A120" s="75" t="str">
        <f t="shared" si="75"/>
        <v/>
      </c>
      <c r="B120" s="91"/>
      <c r="C120" s="82"/>
      <c r="D120" s="75" t="str">
        <f>IF(C120="","",VLOOKUP(C120,listaBolsa!$D$2:$H$1118,2,0))</f>
        <v/>
      </c>
      <c r="E120" s="91" t="str">
        <f>IF(C120="","",VLOOKUP(C120,listaBolsa!$D$2:$H$1118,3,0))</f>
        <v/>
      </c>
      <c r="F120" s="92"/>
      <c r="G120" s="86" t="str">
        <f>IF(C120="","",VLOOKUP(C120,listaBolsa!$D$2:$H$1118,5,0))</f>
        <v/>
      </c>
      <c r="H120" s="89" t="str">
        <f>IF(C120="","",VLOOKUP(C120,listaBolsa!$D$2:$W$1118,10,0))</f>
        <v/>
      </c>
      <c r="I120" s="128" t="str">
        <f>IF(C120="","",VLOOKUP(C120,listaBolsa!$D$2:$W$1118,14,0))</f>
        <v/>
      </c>
      <c r="J120" s="129" t="e">
        <f t="shared" si="76"/>
        <v>#VALUE!</v>
      </c>
      <c r="K120" s="129" t="e">
        <f t="shared" si="77"/>
        <v>#VALUE!</v>
      </c>
      <c r="L120" s="129" t="str">
        <f t="shared" si="78"/>
        <v/>
      </c>
      <c r="M120" s="129" t="str">
        <f t="shared" si="79"/>
        <v/>
      </c>
      <c r="N120" s="90" t="str">
        <f>IF(C120="","",VLOOKUP(C120,listaBolsa!$D$2:$AZ$1276,23,0))</f>
        <v/>
      </c>
      <c r="O120" s="130" t="str">
        <f>IF(C120="","",VLOOKUP(C120,listaBolsa!$D$2:$AZ$1276,27,0))</f>
        <v/>
      </c>
      <c r="P120" s="131" t="e">
        <f t="shared" si="80"/>
        <v>#VALUE!</v>
      </c>
      <c r="Q120" s="131" t="e">
        <f t="shared" si="81"/>
        <v>#VALUE!</v>
      </c>
      <c r="R120" s="131" t="str">
        <f t="shared" si="82"/>
        <v/>
      </c>
      <c r="S120" s="131" t="str">
        <f t="shared" si="83"/>
        <v/>
      </c>
      <c r="T120" s="83" t="str">
        <f>IF(C120="","",VLOOKUP(C120,listaBolsa!$D$2:$BB$1276,36,0))</f>
        <v/>
      </c>
      <c r="U120" s="132" t="str">
        <f>IF(C120="","",VLOOKUP(C120,listaBolsa!$D$2:$BB$1276,40,0))</f>
        <v/>
      </c>
      <c r="V120" s="133" t="e">
        <f t="shared" si="84"/>
        <v>#VALUE!</v>
      </c>
      <c r="W120" s="133" t="e">
        <f t="shared" si="85"/>
        <v>#VALUE!</v>
      </c>
      <c r="X120" s="133" t="str">
        <f t="shared" si="86"/>
        <v/>
      </c>
      <c r="Y120" s="133" t="str">
        <f t="shared" si="87"/>
        <v/>
      </c>
      <c r="Z120" s="134" t="str">
        <f t="shared" si="88"/>
        <v/>
      </c>
      <c r="AA120" s="134" t="str">
        <f t="shared" si="89"/>
        <v/>
      </c>
      <c r="AB120" s="135" t="str">
        <f t="shared" si="90"/>
        <v/>
      </c>
      <c r="AC120" s="85" t="str">
        <f t="shared" si="91"/>
        <v/>
      </c>
      <c r="AD120" s="5"/>
      <c r="AF120" s="7" t="str">
        <f>IF(C120="","",VLOOKUP(C120,listaBolsa!$D$2:$BB$276,51,0))</f>
        <v/>
      </c>
      <c r="BG120" s="7">
        <v>110</v>
      </c>
      <c r="CA120" s="7" t="e">
        <f>VLOOKUP(C120,listaBolsa!$D$2:$BA$1248,1,0)</f>
        <v>#N/A</v>
      </c>
      <c r="CB120" s="7" t="e">
        <f>VLOOKUP(C120,listaBolsa!$D$2:$BA$1248,2,0)</f>
        <v>#N/A</v>
      </c>
      <c r="CC120" s="7" t="e">
        <f>VLOOKUP(C120,listaBolsa!$D$2:$BA$1248,10,0)</f>
        <v>#N/A</v>
      </c>
      <c r="CD120" s="7" t="e">
        <f>VLOOKUP(C120,listaBolsa!$D$2:$BA$1248,14,0)</f>
        <v>#N/A</v>
      </c>
      <c r="CE120" s="7" t="e">
        <f>VLOOKUP(C120,listaBolsa!$D$2:$BA$1248,23,0)</f>
        <v>#N/A</v>
      </c>
      <c r="CF120" s="7" t="e">
        <f>VLOOKUP(C120,listaBolsa!$D$2:$BA$1248,29,0)</f>
        <v>#N/A</v>
      </c>
      <c r="CG120" s="7" t="e">
        <f>VLOOKUP(C120,listaBolsa!$D$2:$BA$1248,36,0)</f>
        <v>#N/A</v>
      </c>
      <c r="CH120" s="7" t="e">
        <f>VLOOKUP(C120,listaBolsa!$D$2:$BA$1248,40,0)</f>
        <v>#N/A</v>
      </c>
      <c r="CI120" s="7" t="e">
        <f>VLOOKUP(C120,listaBolsa!$D$2:$BA$1248,48,0)</f>
        <v>#N/A</v>
      </c>
      <c r="CJ120" s="7" t="e">
        <f t="shared" si="92"/>
        <v>#N/A</v>
      </c>
      <c r="CK120" s="7" t="e">
        <f t="shared" si="93"/>
        <v>#N/A</v>
      </c>
      <c r="CL120" s="7" t="e">
        <f t="shared" si="94"/>
        <v>#N/A</v>
      </c>
      <c r="CM120" s="7" t="e">
        <f t="shared" si="95"/>
        <v>#N/A</v>
      </c>
      <c r="CN120" s="7" t="e">
        <f t="shared" si="96"/>
        <v>#N/A</v>
      </c>
      <c r="CO120" s="7" t="e">
        <f t="shared" si="97"/>
        <v>#N/A</v>
      </c>
      <c r="CP120" s="7" t="e">
        <f t="shared" si="98"/>
        <v>#N/A</v>
      </c>
      <c r="CQ120" s="7" t="e">
        <f t="shared" si="99"/>
        <v>#N/A</v>
      </c>
      <c r="CR120" s="7" t="e">
        <f t="shared" si="100"/>
        <v>#N/A</v>
      </c>
    </row>
    <row r="121" spans="1:96" s="7" customFormat="1" ht="21" hidden="1" x14ac:dyDescent="0.25">
      <c r="A121" s="75" t="str">
        <f t="shared" si="75"/>
        <v/>
      </c>
      <c r="B121" s="91"/>
      <c r="C121" s="82"/>
      <c r="D121" s="75" t="str">
        <f>IF(C121="","",VLOOKUP(C121,listaBolsa!$D$2:$H$1118,2,0))</f>
        <v/>
      </c>
      <c r="E121" s="91" t="str">
        <f>IF(C121="","",VLOOKUP(C121,listaBolsa!$D$2:$H$1118,3,0))</f>
        <v/>
      </c>
      <c r="F121" s="92"/>
      <c r="G121" s="86" t="str">
        <f>IF(C121="","",VLOOKUP(C121,listaBolsa!$D$2:$H$1118,5,0))</f>
        <v/>
      </c>
      <c r="H121" s="89" t="str">
        <f>IF(C121="","",VLOOKUP(C121,listaBolsa!$D$2:$W$1118,10,0))</f>
        <v/>
      </c>
      <c r="I121" s="128" t="str">
        <f>IF(C121="","",VLOOKUP(C121,listaBolsa!$D$2:$W$1118,14,0))</f>
        <v/>
      </c>
      <c r="J121" s="129" t="e">
        <f t="shared" si="76"/>
        <v>#VALUE!</v>
      </c>
      <c r="K121" s="129" t="e">
        <f t="shared" si="77"/>
        <v>#VALUE!</v>
      </c>
      <c r="L121" s="129" t="str">
        <f t="shared" si="78"/>
        <v/>
      </c>
      <c r="M121" s="129" t="str">
        <f t="shared" si="79"/>
        <v/>
      </c>
      <c r="N121" s="90" t="str">
        <f>IF(C121="","",VLOOKUP(C121,listaBolsa!$D$2:$AZ$1276,23,0))</f>
        <v/>
      </c>
      <c r="O121" s="130" t="str">
        <f>IF(C121="","",VLOOKUP(C121,listaBolsa!$D$2:$AZ$1276,27,0))</f>
        <v/>
      </c>
      <c r="P121" s="131" t="e">
        <f t="shared" si="80"/>
        <v>#VALUE!</v>
      </c>
      <c r="Q121" s="131" t="e">
        <f t="shared" si="81"/>
        <v>#VALUE!</v>
      </c>
      <c r="R121" s="131" t="str">
        <f t="shared" si="82"/>
        <v/>
      </c>
      <c r="S121" s="131" t="str">
        <f t="shared" si="83"/>
        <v/>
      </c>
      <c r="T121" s="83" t="str">
        <f>IF(C121="","",VLOOKUP(C121,listaBolsa!$D$2:$BB$1276,36,0))</f>
        <v/>
      </c>
      <c r="U121" s="132" t="str">
        <f>IF(C121="","",VLOOKUP(C121,listaBolsa!$D$2:$BB$1276,40,0))</f>
        <v/>
      </c>
      <c r="V121" s="133" t="e">
        <f t="shared" si="84"/>
        <v>#VALUE!</v>
      </c>
      <c r="W121" s="133" t="e">
        <f t="shared" si="85"/>
        <v>#VALUE!</v>
      </c>
      <c r="X121" s="133" t="str">
        <f t="shared" si="86"/>
        <v/>
      </c>
      <c r="Y121" s="133" t="str">
        <f t="shared" si="87"/>
        <v/>
      </c>
      <c r="Z121" s="134" t="str">
        <f t="shared" si="88"/>
        <v/>
      </c>
      <c r="AA121" s="134" t="str">
        <f t="shared" si="89"/>
        <v/>
      </c>
      <c r="AB121" s="135" t="str">
        <f t="shared" si="90"/>
        <v/>
      </c>
      <c r="AC121" s="85" t="str">
        <f t="shared" si="91"/>
        <v/>
      </c>
      <c r="AD121" s="5"/>
      <c r="AF121" s="7" t="str">
        <f>IF(C121="","",VLOOKUP(C121,listaBolsa!$D$2:$BB$276,51,0))</f>
        <v/>
      </c>
      <c r="BG121" s="7">
        <v>111</v>
      </c>
      <c r="CA121" s="7" t="e">
        <f>VLOOKUP(C121,listaBolsa!$D$2:$BA$1248,1,0)</f>
        <v>#N/A</v>
      </c>
      <c r="CB121" s="7" t="e">
        <f>VLOOKUP(C121,listaBolsa!$D$2:$BA$1248,2,0)</f>
        <v>#N/A</v>
      </c>
      <c r="CC121" s="7" t="e">
        <f>VLOOKUP(C121,listaBolsa!$D$2:$BA$1248,10,0)</f>
        <v>#N/A</v>
      </c>
      <c r="CD121" s="7" t="e">
        <f>VLOOKUP(C121,listaBolsa!$D$2:$BA$1248,14,0)</f>
        <v>#N/A</v>
      </c>
      <c r="CE121" s="7" t="e">
        <f>VLOOKUP(C121,listaBolsa!$D$2:$BA$1248,23,0)</f>
        <v>#N/A</v>
      </c>
      <c r="CF121" s="7" t="e">
        <f>VLOOKUP(C121,listaBolsa!$D$2:$BA$1248,29,0)</f>
        <v>#N/A</v>
      </c>
      <c r="CG121" s="7" t="e">
        <f>VLOOKUP(C121,listaBolsa!$D$2:$BA$1248,36,0)</f>
        <v>#N/A</v>
      </c>
      <c r="CH121" s="7" t="e">
        <f>VLOOKUP(C121,listaBolsa!$D$2:$BA$1248,40,0)</f>
        <v>#N/A</v>
      </c>
      <c r="CI121" s="7" t="e">
        <f>VLOOKUP(C121,listaBolsa!$D$2:$BA$1248,48,0)</f>
        <v>#N/A</v>
      </c>
      <c r="CJ121" s="7" t="e">
        <f t="shared" si="92"/>
        <v>#N/A</v>
      </c>
      <c r="CK121" s="7" t="e">
        <f t="shared" si="93"/>
        <v>#N/A</v>
      </c>
      <c r="CL121" s="7" t="e">
        <f t="shared" si="94"/>
        <v>#N/A</v>
      </c>
      <c r="CM121" s="7" t="e">
        <f t="shared" si="95"/>
        <v>#N/A</v>
      </c>
      <c r="CN121" s="7" t="e">
        <f t="shared" si="96"/>
        <v>#N/A</v>
      </c>
      <c r="CO121" s="7" t="e">
        <f t="shared" si="97"/>
        <v>#N/A</v>
      </c>
      <c r="CP121" s="7" t="e">
        <f t="shared" si="98"/>
        <v>#N/A</v>
      </c>
      <c r="CQ121" s="7" t="e">
        <f t="shared" si="99"/>
        <v>#N/A</v>
      </c>
      <c r="CR121" s="7" t="e">
        <f t="shared" si="100"/>
        <v>#N/A</v>
      </c>
    </row>
    <row r="122" spans="1:96" s="7" customFormat="1" ht="21" hidden="1" x14ac:dyDescent="0.25">
      <c r="A122" s="75" t="str">
        <f t="shared" si="75"/>
        <v/>
      </c>
      <c r="B122" s="91"/>
      <c r="C122" s="82"/>
      <c r="D122" s="75" t="str">
        <f>IF(C122="","",VLOOKUP(C122,listaBolsa!$D$2:$H$1118,2,0))</f>
        <v/>
      </c>
      <c r="E122" s="91" t="str">
        <f>IF(C122="","",VLOOKUP(C122,listaBolsa!$D$2:$H$1118,3,0))</f>
        <v/>
      </c>
      <c r="F122" s="92"/>
      <c r="G122" s="86" t="str">
        <f>IF(C122="","",VLOOKUP(C122,listaBolsa!$D$2:$H$1118,5,0))</f>
        <v/>
      </c>
      <c r="H122" s="89" t="str">
        <f>IF(C122="","",VLOOKUP(C122,listaBolsa!$D$2:$W$1118,10,0))</f>
        <v/>
      </c>
      <c r="I122" s="128" t="str">
        <f>IF(C122="","",VLOOKUP(C122,listaBolsa!$D$2:$W$1118,14,0))</f>
        <v/>
      </c>
      <c r="J122" s="129" t="e">
        <f t="shared" si="76"/>
        <v>#VALUE!</v>
      </c>
      <c r="K122" s="129" t="e">
        <f t="shared" si="77"/>
        <v>#VALUE!</v>
      </c>
      <c r="L122" s="129" t="str">
        <f t="shared" si="78"/>
        <v/>
      </c>
      <c r="M122" s="129" t="str">
        <f t="shared" si="79"/>
        <v/>
      </c>
      <c r="N122" s="90" t="str">
        <f>IF(C122="","",VLOOKUP(C122,listaBolsa!$D$2:$AZ$1276,23,0))</f>
        <v/>
      </c>
      <c r="O122" s="130" t="str">
        <f>IF(C122="","",VLOOKUP(C122,listaBolsa!$D$2:$AZ$1276,27,0))</f>
        <v/>
      </c>
      <c r="P122" s="131" t="e">
        <f t="shared" si="80"/>
        <v>#VALUE!</v>
      </c>
      <c r="Q122" s="131" t="e">
        <f t="shared" si="81"/>
        <v>#VALUE!</v>
      </c>
      <c r="R122" s="131" t="str">
        <f t="shared" si="82"/>
        <v/>
      </c>
      <c r="S122" s="131" t="str">
        <f t="shared" si="83"/>
        <v/>
      </c>
      <c r="T122" s="83" t="str">
        <f>IF(C122="","",VLOOKUP(C122,listaBolsa!$D$2:$BB$1276,36,0))</f>
        <v/>
      </c>
      <c r="U122" s="132" t="str">
        <f>IF(C122="","",VLOOKUP(C122,listaBolsa!$D$2:$BB$1276,40,0))</f>
        <v/>
      </c>
      <c r="V122" s="133" t="e">
        <f t="shared" si="84"/>
        <v>#VALUE!</v>
      </c>
      <c r="W122" s="133" t="e">
        <f t="shared" si="85"/>
        <v>#VALUE!</v>
      </c>
      <c r="X122" s="133" t="str">
        <f t="shared" si="86"/>
        <v/>
      </c>
      <c r="Y122" s="133" t="str">
        <f t="shared" si="87"/>
        <v/>
      </c>
      <c r="Z122" s="134" t="str">
        <f t="shared" si="88"/>
        <v/>
      </c>
      <c r="AA122" s="134" t="str">
        <f t="shared" si="89"/>
        <v/>
      </c>
      <c r="AB122" s="135" t="str">
        <f t="shared" si="90"/>
        <v/>
      </c>
      <c r="AC122" s="85" t="str">
        <f t="shared" si="91"/>
        <v/>
      </c>
      <c r="AD122" s="5"/>
      <c r="AF122" s="7" t="str">
        <f>IF(C122="","",VLOOKUP(C122,listaBolsa!$D$2:$BB$276,51,0))</f>
        <v/>
      </c>
      <c r="BG122" s="7">
        <v>112</v>
      </c>
      <c r="CA122" s="7" t="e">
        <f>VLOOKUP(C122,listaBolsa!$D$2:$BA$1248,1,0)</f>
        <v>#N/A</v>
      </c>
      <c r="CB122" s="7" t="e">
        <f>VLOOKUP(C122,listaBolsa!$D$2:$BA$1248,2,0)</f>
        <v>#N/A</v>
      </c>
      <c r="CC122" s="7" t="e">
        <f>VLOOKUP(C122,listaBolsa!$D$2:$BA$1248,10,0)</f>
        <v>#N/A</v>
      </c>
      <c r="CD122" s="7" t="e">
        <f>VLOOKUP(C122,listaBolsa!$D$2:$BA$1248,14,0)</f>
        <v>#N/A</v>
      </c>
      <c r="CE122" s="7" t="e">
        <f>VLOOKUP(C122,listaBolsa!$D$2:$BA$1248,23,0)</f>
        <v>#N/A</v>
      </c>
      <c r="CF122" s="7" t="e">
        <f>VLOOKUP(C122,listaBolsa!$D$2:$BA$1248,29,0)</f>
        <v>#N/A</v>
      </c>
      <c r="CG122" s="7" t="e">
        <f>VLOOKUP(C122,listaBolsa!$D$2:$BA$1248,36,0)</f>
        <v>#N/A</v>
      </c>
      <c r="CH122" s="7" t="e">
        <f>VLOOKUP(C122,listaBolsa!$D$2:$BA$1248,40,0)</f>
        <v>#N/A</v>
      </c>
      <c r="CI122" s="7" t="e">
        <f>VLOOKUP(C122,listaBolsa!$D$2:$BA$1248,48,0)</f>
        <v>#N/A</v>
      </c>
      <c r="CJ122" s="7" t="e">
        <f t="shared" si="92"/>
        <v>#N/A</v>
      </c>
      <c r="CK122" s="7" t="e">
        <f t="shared" si="93"/>
        <v>#N/A</v>
      </c>
      <c r="CL122" s="7" t="e">
        <f t="shared" si="94"/>
        <v>#N/A</v>
      </c>
      <c r="CM122" s="7" t="e">
        <f t="shared" si="95"/>
        <v>#N/A</v>
      </c>
      <c r="CN122" s="7" t="e">
        <f t="shared" si="96"/>
        <v>#N/A</v>
      </c>
      <c r="CO122" s="7" t="e">
        <f t="shared" si="97"/>
        <v>#N/A</v>
      </c>
      <c r="CP122" s="7" t="e">
        <f t="shared" si="98"/>
        <v>#N/A</v>
      </c>
      <c r="CQ122" s="7" t="e">
        <f t="shared" si="99"/>
        <v>#N/A</v>
      </c>
      <c r="CR122" s="7" t="e">
        <f t="shared" si="100"/>
        <v>#N/A</v>
      </c>
    </row>
    <row r="123" spans="1:96" s="7" customFormat="1" ht="21" hidden="1" x14ac:dyDescent="0.25">
      <c r="A123" s="75" t="str">
        <f t="shared" si="75"/>
        <v/>
      </c>
      <c r="B123" s="91"/>
      <c r="C123" s="82"/>
      <c r="D123" s="75" t="str">
        <f>IF(C123="","",VLOOKUP(C123,listaBolsa!$D$2:$H$1118,2,0))</f>
        <v/>
      </c>
      <c r="E123" s="91" t="str">
        <f>IF(C123="","",VLOOKUP(C123,listaBolsa!$D$2:$H$1118,3,0))</f>
        <v/>
      </c>
      <c r="F123" s="92"/>
      <c r="G123" s="86" t="str">
        <f>IF(C123="","",VLOOKUP(C123,listaBolsa!$D$2:$H$1118,5,0))</f>
        <v/>
      </c>
      <c r="H123" s="89" t="str">
        <f>IF(C123="","",VLOOKUP(C123,listaBolsa!$D$2:$W$1118,10,0))</f>
        <v/>
      </c>
      <c r="I123" s="128" t="str">
        <f>IF(C123="","",VLOOKUP(C123,listaBolsa!$D$2:$W$1118,14,0))</f>
        <v/>
      </c>
      <c r="J123" s="129" t="e">
        <f t="shared" si="76"/>
        <v>#VALUE!</v>
      </c>
      <c r="K123" s="129" t="e">
        <f t="shared" si="77"/>
        <v>#VALUE!</v>
      </c>
      <c r="L123" s="129" t="str">
        <f t="shared" si="78"/>
        <v/>
      </c>
      <c r="M123" s="129" t="str">
        <f t="shared" si="79"/>
        <v/>
      </c>
      <c r="N123" s="90" t="str">
        <f>IF(C123="","",VLOOKUP(C123,listaBolsa!$D$2:$AZ$1276,23,0))</f>
        <v/>
      </c>
      <c r="O123" s="130" t="str">
        <f>IF(C123="","",VLOOKUP(C123,listaBolsa!$D$2:$AZ$1276,27,0))</f>
        <v/>
      </c>
      <c r="P123" s="131" t="e">
        <f t="shared" si="80"/>
        <v>#VALUE!</v>
      </c>
      <c r="Q123" s="131" t="e">
        <f t="shared" si="81"/>
        <v>#VALUE!</v>
      </c>
      <c r="R123" s="131" t="str">
        <f t="shared" si="82"/>
        <v/>
      </c>
      <c r="S123" s="131" t="str">
        <f t="shared" si="83"/>
        <v/>
      </c>
      <c r="T123" s="83" t="str">
        <f>IF(C123="","",VLOOKUP(C123,listaBolsa!$D$2:$BB$1276,36,0))</f>
        <v/>
      </c>
      <c r="U123" s="132" t="str">
        <f>IF(C123="","",VLOOKUP(C123,listaBolsa!$D$2:$BB$1276,40,0))</f>
        <v/>
      </c>
      <c r="V123" s="133" t="e">
        <f t="shared" si="84"/>
        <v>#VALUE!</v>
      </c>
      <c r="W123" s="133" t="e">
        <f t="shared" si="85"/>
        <v>#VALUE!</v>
      </c>
      <c r="X123" s="133" t="str">
        <f t="shared" si="86"/>
        <v/>
      </c>
      <c r="Y123" s="133" t="str">
        <f t="shared" si="87"/>
        <v/>
      </c>
      <c r="Z123" s="134" t="str">
        <f t="shared" si="88"/>
        <v/>
      </c>
      <c r="AA123" s="134" t="str">
        <f t="shared" si="89"/>
        <v/>
      </c>
      <c r="AB123" s="135" t="str">
        <f t="shared" si="90"/>
        <v/>
      </c>
      <c r="AC123" s="85" t="str">
        <f t="shared" si="91"/>
        <v/>
      </c>
      <c r="AD123" s="5"/>
      <c r="AF123" s="7" t="str">
        <f>IF(C123="","",VLOOKUP(C123,listaBolsa!$D$2:$BB$276,51,0))</f>
        <v/>
      </c>
      <c r="BG123" s="7">
        <v>113</v>
      </c>
      <c r="CA123" s="7" t="e">
        <f>VLOOKUP(C123,listaBolsa!$D$2:$BA$1248,1,0)</f>
        <v>#N/A</v>
      </c>
      <c r="CB123" s="7" t="e">
        <f>VLOOKUP(C123,listaBolsa!$D$2:$BA$1248,2,0)</f>
        <v>#N/A</v>
      </c>
      <c r="CC123" s="7" t="e">
        <f>VLOOKUP(C123,listaBolsa!$D$2:$BA$1248,10,0)</f>
        <v>#N/A</v>
      </c>
      <c r="CD123" s="7" t="e">
        <f>VLOOKUP(C123,listaBolsa!$D$2:$BA$1248,14,0)</f>
        <v>#N/A</v>
      </c>
      <c r="CE123" s="7" t="e">
        <f>VLOOKUP(C123,listaBolsa!$D$2:$BA$1248,23,0)</f>
        <v>#N/A</v>
      </c>
      <c r="CF123" s="7" t="e">
        <f>VLOOKUP(C123,listaBolsa!$D$2:$BA$1248,29,0)</f>
        <v>#N/A</v>
      </c>
      <c r="CG123" s="7" t="e">
        <f>VLOOKUP(C123,listaBolsa!$D$2:$BA$1248,36,0)</f>
        <v>#N/A</v>
      </c>
      <c r="CH123" s="7" t="e">
        <f>VLOOKUP(C123,listaBolsa!$D$2:$BA$1248,40,0)</f>
        <v>#N/A</v>
      </c>
      <c r="CI123" s="7" t="e">
        <f>VLOOKUP(C123,listaBolsa!$D$2:$BA$1248,48,0)</f>
        <v>#N/A</v>
      </c>
      <c r="CJ123" s="7" t="e">
        <f t="shared" si="92"/>
        <v>#N/A</v>
      </c>
      <c r="CK123" s="7" t="e">
        <f t="shared" si="93"/>
        <v>#N/A</v>
      </c>
      <c r="CL123" s="7" t="e">
        <f t="shared" si="94"/>
        <v>#N/A</v>
      </c>
      <c r="CM123" s="7" t="e">
        <f t="shared" si="95"/>
        <v>#N/A</v>
      </c>
      <c r="CN123" s="7" t="e">
        <f t="shared" si="96"/>
        <v>#N/A</v>
      </c>
      <c r="CO123" s="7" t="e">
        <f t="shared" si="97"/>
        <v>#N/A</v>
      </c>
      <c r="CP123" s="7" t="e">
        <f t="shared" si="98"/>
        <v>#N/A</v>
      </c>
      <c r="CQ123" s="7" t="e">
        <f t="shared" si="99"/>
        <v>#N/A</v>
      </c>
      <c r="CR123" s="7" t="e">
        <f t="shared" si="100"/>
        <v>#N/A</v>
      </c>
    </row>
    <row r="124" spans="1:96" s="7" customFormat="1" ht="21" hidden="1" x14ac:dyDescent="0.25">
      <c r="A124" s="75" t="str">
        <f t="shared" si="75"/>
        <v/>
      </c>
      <c r="B124" s="91"/>
      <c r="C124" s="82"/>
      <c r="D124" s="75" t="str">
        <f>IF(C124="","",VLOOKUP(C124,listaBolsa!$D$2:$H$1118,2,0))</f>
        <v/>
      </c>
      <c r="E124" s="91" t="str">
        <f>IF(C124="","",VLOOKUP(C124,listaBolsa!$D$2:$H$1118,3,0))</f>
        <v/>
      </c>
      <c r="F124" s="92"/>
      <c r="G124" s="86" t="str">
        <f>IF(C124="","",VLOOKUP(C124,listaBolsa!$D$2:$H$1118,5,0))</f>
        <v/>
      </c>
      <c r="H124" s="89" t="str">
        <f>IF(C124="","",VLOOKUP(C124,listaBolsa!$D$2:$W$1118,10,0))</f>
        <v/>
      </c>
      <c r="I124" s="128" t="str">
        <f>IF(C124="","",VLOOKUP(C124,listaBolsa!$D$2:$W$1118,14,0))</f>
        <v/>
      </c>
      <c r="J124" s="129" t="e">
        <f t="shared" si="76"/>
        <v>#VALUE!</v>
      </c>
      <c r="K124" s="129" t="e">
        <f t="shared" si="77"/>
        <v>#VALUE!</v>
      </c>
      <c r="L124" s="129" t="str">
        <f t="shared" si="78"/>
        <v/>
      </c>
      <c r="M124" s="129" t="str">
        <f t="shared" si="79"/>
        <v/>
      </c>
      <c r="N124" s="90" t="str">
        <f>IF(C124="","",VLOOKUP(C124,listaBolsa!$D$2:$AZ$1276,23,0))</f>
        <v/>
      </c>
      <c r="O124" s="130" t="str">
        <f>IF(C124="","",VLOOKUP(C124,listaBolsa!$D$2:$AZ$1276,27,0))</f>
        <v/>
      </c>
      <c r="P124" s="131" t="e">
        <f t="shared" si="80"/>
        <v>#VALUE!</v>
      </c>
      <c r="Q124" s="131" t="e">
        <f t="shared" si="81"/>
        <v>#VALUE!</v>
      </c>
      <c r="R124" s="131" t="str">
        <f t="shared" si="82"/>
        <v/>
      </c>
      <c r="S124" s="131" t="str">
        <f t="shared" si="83"/>
        <v/>
      </c>
      <c r="T124" s="83" t="str">
        <f>IF(C124="","",VLOOKUP(C124,listaBolsa!$D$2:$BB$1276,36,0))</f>
        <v/>
      </c>
      <c r="U124" s="132" t="str">
        <f>IF(C124="","",VLOOKUP(C124,listaBolsa!$D$2:$BB$1276,40,0))</f>
        <v/>
      </c>
      <c r="V124" s="133" t="e">
        <f t="shared" si="84"/>
        <v>#VALUE!</v>
      </c>
      <c r="W124" s="133" t="e">
        <f t="shared" si="85"/>
        <v>#VALUE!</v>
      </c>
      <c r="X124" s="133" t="str">
        <f t="shared" si="86"/>
        <v/>
      </c>
      <c r="Y124" s="133" t="str">
        <f t="shared" si="87"/>
        <v/>
      </c>
      <c r="Z124" s="134" t="str">
        <f t="shared" si="88"/>
        <v/>
      </c>
      <c r="AA124" s="134" t="str">
        <f t="shared" si="89"/>
        <v/>
      </c>
      <c r="AB124" s="135" t="str">
        <f t="shared" si="90"/>
        <v/>
      </c>
      <c r="AC124" s="85" t="str">
        <f t="shared" si="91"/>
        <v/>
      </c>
      <c r="AD124" s="5"/>
      <c r="AF124" s="7" t="str">
        <f>IF(C124="","",VLOOKUP(C124,listaBolsa!$D$2:$BB$276,51,0))</f>
        <v/>
      </c>
      <c r="BG124" s="7">
        <v>114</v>
      </c>
      <c r="CA124" s="7" t="e">
        <f>VLOOKUP(C124,listaBolsa!$D$2:$BA$1248,1,0)</f>
        <v>#N/A</v>
      </c>
      <c r="CB124" s="7" t="e">
        <f>VLOOKUP(C124,listaBolsa!$D$2:$BA$1248,2,0)</f>
        <v>#N/A</v>
      </c>
      <c r="CC124" s="7" t="e">
        <f>VLOOKUP(C124,listaBolsa!$D$2:$BA$1248,10,0)</f>
        <v>#N/A</v>
      </c>
      <c r="CD124" s="7" t="e">
        <f>VLOOKUP(C124,listaBolsa!$D$2:$BA$1248,14,0)</f>
        <v>#N/A</v>
      </c>
      <c r="CE124" s="7" t="e">
        <f>VLOOKUP(C124,listaBolsa!$D$2:$BA$1248,23,0)</f>
        <v>#N/A</v>
      </c>
      <c r="CF124" s="7" t="e">
        <f>VLOOKUP(C124,listaBolsa!$D$2:$BA$1248,29,0)</f>
        <v>#N/A</v>
      </c>
      <c r="CG124" s="7" t="e">
        <f>VLOOKUP(C124,listaBolsa!$D$2:$BA$1248,36,0)</f>
        <v>#N/A</v>
      </c>
      <c r="CH124" s="7" t="e">
        <f>VLOOKUP(C124,listaBolsa!$D$2:$BA$1248,40,0)</f>
        <v>#N/A</v>
      </c>
      <c r="CI124" s="7" t="e">
        <f>VLOOKUP(C124,listaBolsa!$D$2:$BA$1248,48,0)</f>
        <v>#N/A</v>
      </c>
      <c r="CJ124" s="7" t="e">
        <f t="shared" si="92"/>
        <v>#N/A</v>
      </c>
      <c r="CK124" s="7" t="e">
        <f t="shared" si="93"/>
        <v>#N/A</v>
      </c>
      <c r="CL124" s="7" t="e">
        <f t="shared" si="94"/>
        <v>#N/A</v>
      </c>
      <c r="CM124" s="7" t="e">
        <f t="shared" si="95"/>
        <v>#N/A</v>
      </c>
      <c r="CN124" s="7" t="e">
        <f t="shared" si="96"/>
        <v>#N/A</v>
      </c>
      <c r="CO124" s="7" t="e">
        <f t="shared" si="97"/>
        <v>#N/A</v>
      </c>
      <c r="CP124" s="7" t="e">
        <f t="shared" si="98"/>
        <v>#N/A</v>
      </c>
      <c r="CQ124" s="7" t="e">
        <f t="shared" si="99"/>
        <v>#N/A</v>
      </c>
      <c r="CR124" s="7" t="e">
        <f t="shared" si="100"/>
        <v>#N/A</v>
      </c>
    </row>
    <row r="125" spans="1:96" s="7" customFormat="1" ht="21" hidden="1" x14ac:dyDescent="0.25">
      <c r="A125" s="75" t="str">
        <f t="shared" si="75"/>
        <v/>
      </c>
      <c r="B125" s="91"/>
      <c r="C125" s="82"/>
      <c r="D125" s="75" t="str">
        <f>IF(C125="","",VLOOKUP(C125,listaBolsa!$D$2:$H$1118,2,0))</f>
        <v/>
      </c>
      <c r="E125" s="91" t="str">
        <f>IF(C125="","",VLOOKUP(C125,listaBolsa!$D$2:$H$1118,3,0))</f>
        <v/>
      </c>
      <c r="F125" s="92"/>
      <c r="G125" s="86" t="str">
        <f>IF(C125="","",VLOOKUP(C125,listaBolsa!$D$2:$H$1118,5,0))</f>
        <v/>
      </c>
      <c r="H125" s="89" t="str">
        <f>IF(C125="","",VLOOKUP(C125,listaBolsa!$D$2:$W$1118,10,0))</f>
        <v/>
      </c>
      <c r="I125" s="128" t="str">
        <f>IF(C125="","",VLOOKUP(C125,listaBolsa!$D$2:$W$1118,14,0))</f>
        <v/>
      </c>
      <c r="J125" s="129" t="e">
        <f t="shared" si="76"/>
        <v>#VALUE!</v>
      </c>
      <c r="K125" s="129" t="e">
        <f t="shared" si="77"/>
        <v>#VALUE!</v>
      </c>
      <c r="L125" s="129" t="str">
        <f t="shared" si="78"/>
        <v/>
      </c>
      <c r="M125" s="129" t="str">
        <f t="shared" si="79"/>
        <v/>
      </c>
      <c r="N125" s="90" t="str">
        <f>IF(C125="","",VLOOKUP(C125,listaBolsa!$D$2:$AZ$1276,23,0))</f>
        <v/>
      </c>
      <c r="O125" s="130" t="str">
        <f>IF(C125="","",VLOOKUP(C125,listaBolsa!$D$2:$AZ$1276,27,0))</f>
        <v/>
      </c>
      <c r="P125" s="131" t="e">
        <f t="shared" si="80"/>
        <v>#VALUE!</v>
      </c>
      <c r="Q125" s="131" t="e">
        <f t="shared" si="81"/>
        <v>#VALUE!</v>
      </c>
      <c r="R125" s="131" t="str">
        <f t="shared" si="82"/>
        <v/>
      </c>
      <c r="S125" s="131" t="str">
        <f t="shared" si="83"/>
        <v/>
      </c>
      <c r="T125" s="83" t="str">
        <f>IF(C125="","",VLOOKUP(C125,listaBolsa!$D$2:$BB$1276,36,0))</f>
        <v/>
      </c>
      <c r="U125" s="132" t="str">
        <f>IF(C125="","",VLOOKUP(C125,listaBolsa!$D$2:$BB$1276,40,0))</f>
        <v/>
      </c>
      <c r="V125" s="133" t="e">
        <f t="shared" si="84"/>
        <v>#VALUE!</v>
      </c>
      <c r="W125" s="133" t="e">
        <f t="shared" si="85"/>
        <v>#VALUE!</v>
      </c>
      <c r="X125" s="133" t="str">
        <f t="shared" si="86"/>
        <v/>
      </c>
      <c r="Y125" s="133" t="str">
        <f t="shared" si="87"/>
        <v/>
      </c>
      <c r="Z125" s="134" t="str">
        <f t="shared" si="88"/>
        <v/>
      </c>
      <c r="AA125" s="134" t="str">
        <f t="shared" si="89"/>
        <v/>
      </c>
      <c r="AB125" s="135" t="str">
        <f t="shared" si="90"/>
        <v/>
      </c>
      <c r="AC125" s="85" t="str">
        <f t="shared" si="91"/>
        <v/>
      </c>
      <c r="AD125" s="5"/>
      <c r="AF125" s="7" t="str">
        <f>IF(C125="","",VLOOKUP(C125,listaBolsa!$D$2:$BB$276,51,0))</f>
        <v/>
      </c>
      <c r="BG125" s="7">
        <v>115</v>
      </c>
      <c r="CA125" s="7" t="e">
        <f>VLOOKUP(C125,listaBolsa!$D$2:$BA$1248,1,0)</f>
        <v>#N/A</v>
      </c>
      <c r="CB125" s="7" t="e">
        <f>VLOOKUP(C125,listaBolsa!$D$2:$BA$1248,2,0)</f>
        <v>#N/A</v>
      </c>
      <c r="CC125" s="7" t="e">
        <f>VLOOKUP(C125,listaBolsa!$D$2:$BA$1248,10,0)</f>
        <v>#N/A</v>
      </c>
      <c r="CD125" s="7" t="e">
        <f>VLOOKUP(C125,listaBolsa!$D$2:$BA$1248,14,0)</f>
        <v>#N/A</v>
      </c>
      <c r="CE125" s="7" t="e">
        <f>VLOOKUP(C125,listaBolsa!$D$2:$BA$1248,23,0)</f>
        <v>#N/A</v>
      </c>
      <c r="CF125" s="7" t="e">
        <f>VLOOKUP(C125,listaBolsa!$D$2:$BA$1248,29,0)</f>
        <v>#N/A</v>
      </c>
      <c r="CG125" s="7" t="e">
        <f>VLOOKUP(C125,listaBolsa!$D$2:$BA$1248,36,0)</f>
        <v>#N/A</v>
      </c>
      <c r="CH125" s="7" t="e">
        <f>VLOOKUP(C125,listaBolsa!$D$2:$BA$1248,40,0)</f>
        <v>#N/A</v>
      </c>
      <c r="CI125" s="7" t="e">
        <f>VLOOKUP(C125,listaBolsa!$D$2:$BA$1248,48,0)</f>
        <v>#N/A</v>
      </c>
      <c r="CJ125" s="7" t="e">
        <f t="shared" si="92"/>
        <v>#N/A</v>
      </c>
      <c r="CK125" s="7" t="e">
        <f t="shared" si="93"/>
        <v>#N/A</v>
      </c>
      <c r="CL125" s="7" t="e">
        <f t="shared" si="94"/>
        <v>#N/A</v>
      </c>
      <c r="CM125" s="7" t="e">
        <f t="shared" si="95"/>
        <v>#N/A</v>
      </c>
      <c r="CN125" s="7" t="e">
        <f t="shared" si="96"/>
        <v>#N/A</v>
      </c>
      <c r="CO125" s="7" t="e">
        <f t="shared" si="97"/>
        <v>#N/A</v>
      </c>
      <c r="CP125" s="7" t="e">
        <f t="shared" si="98"/>
        <v>#N/A</v>
      </c>
      <c r="CQ125" s="7" t="e">
        <f t="shared" si="99"/>
        <v>#N/A</v>
      </c>
      <c r="CR125" s="7" t="e">
        <f t="shared" si="100"/>
        <v>#N/A</v>
      </c>
    </row>
    <row r="126" spans="1:96" s="7" customFormat="1" ht="21" hidden="1" x14ac:dyDescent="0.25">
      <c r="A126" s="75" t="str">
        <f t="shared" si="75"/>
        <v/>
      </c>
      <c r="B126" s="91"/>
      <c r="C126" s="82"/>
      <c r="D126" s="75" t="str">
        <f>IF(C126="","",VLOOKUP(C126,listaBolsa!$D$2:$H$1118,2,0))</f>
        <v/>
      </c>
      <c r="E126" s="91" t="str">
        <f>IF(C126="","",VLOOKUP(C126,listaBolsa!$D$2:$H$1118,3,0))</f>
        <v/>
      </c>
      <c r="F126" s="92"/>
      <c r="G126" s="86" t="str">
        <f>IF(C126="","",VLOOKUP(C126,listaBolsa!$D$2:$H$1118,5,0))</f>
        <v/>
      </c>
      <c r="H126" s="89" t="str">
        <f>IF(C126="","",VLOOKUP(C126,listaBolsa!$D$2:$W$1118,10,0))</f>
        <v/>
      </c>
      <c r="I126" s="128" t="str">
        <f>IF(C126="","",VLOOKUP(C126,listaBolsa!$D$2:$W$1118,14,0))</f>
        <v/>
      </c>
      <c r="J126" s="129" t="e">
        <f t="shared" si="76"/>
        <v>#VALUE!</v>
      </c>
      <c r="K126" s="129" t="e">
        <f t="shared" si="77"/>
        <v>#VALUE!</v>
      </c>
      <c r="L126" s="129" t="str">
        <f t="shared" si="78"/>
        <v/>
      </c>
      <c r="M126" s="129" t="str">
        <f t="shared" si="79"/>
        <v/>
      </c>
      <c r="N126" s="90" t="str">
        <f>IF(C126="","",VLOOKUP(C126,listaBolsa!$D$2:$AZ$1276,23,0))</f>
        <v/>
      </c>
      <c r="O126" s="130" t="str">
        <f>IF(C126="","",VLOOKUP(C126,listaBolsa!$D$2:$AZ$1276,27,0))</f>
        <v/>
      </c>
      <c r="P126" s="131" t="e">
        <f t="shared" si="80"/>
        <v>#VALUE!</v>
      </c>
      <c r="Q126" s="131" t="e">
        <f t="shared" si="81"/>
        <v>#VALUE!</v>
      </c>
      <c r="R126" s="131" t="str">
        <f t="shared" si="82"/>
        <v/>
      </c>
      <c r="S126" s="131" t="str">
        <f t="shared" si="83"/>
        <v/>
      </c>
      <c r="T126" s="83" t="str">
        <f>IF(C126="","",VLOOKUP(C126,listaBolsa!$D$2:$BB$1276,36,0))</f>
        <v/>
      </c>
      <c r="U126" s="132" t="str">
        <f>IF(C126="","",VLOOKUP(C126,listaBolsa!$D$2:$BB$1276,40,0))</f>
        <v/>
      </c>
      <c r="V126" s="133" t="e">
        <f t="shared" si="84"/>
        <v>#VALUE!</v>
      </c>
      <c r="W126" s="133" t="e">
        <f t="shared" si="85"/>
        <v>#VALUE!</v>
      </c>
      <c r="X126" s="133" t="str">
        <f t="shared" si="86"/>
        <v/>
      </c>
      <c r="Y126" s="133" t="str">
        <f t="shared" si="87"/>
        <v/>
      </c>
      <c r="Z126" s="134" t="str">
        <f t="shared" si="88"/>
        <v/>
      </c>
      <c r="AA126" s="134" t="str">
        <f t="shared" si="89"/>
        <v/>
      </c>
      <c r="AB126" s="135" t="str">
        <f t="shared" si="90"/>
        <v/>
      </c>
      <c r="AC126" s="85" t="str">
        <f t="shared" si="91"/>
        <v/>
      </c>
      <c r="AD126" s="5"/>
      <c r="AF126" s="7" t="str">
        <f>IF(C126="","",VLOOKUP(C126,listaBolsa!$D$2:$BB$276,51,0))</f>
        <v/>
      </c>
      <c r="BG126" s="7">
        <v>116</v>
      </c>
      <c r="CA126" s="7" t="e">
        <f>VLOOKUP(C126,listaBolsa!$D$2:$BA$1248,1,0)</f>
        <v>#N/A</v>
      </c>
      <c r="CB126" s="7" t="e">
        <f>VLOOKUP(C126,listaBolsa!$D$2:$BA$1248,2,0)</f>
        <v>#N/A</v>
      </c>
      <c r="CC126" s="7" t="e">
        <f>VLOOKUP(C126,listaBolsa!$D$2:$BA$1248,10,0)</f>
        <v>#N/A</v>
      </c>
      <c r="CD126" s="7" t="e">
        <f>VLOOKUP(C126,listaBolsa!$D$2:$BA$1248,14,0)</f>
        <v>#N/A</v>
      </c>
      <c r="CE126" s="7" t="e">
        <f>VLOOKUP(C126,listaBolsa!$D$2:$BA$1248,23,0)</f>
        <v>#N/A</v>
      </c>
      <c r="CF126" s="7" t="e">
        <f>VLOOKUP(C126,listaBolsa!$D$2:$BA$1248,29,0)</f>
        <v>#N/A</v>
      </c>
      <c r="CG126" s="7" t="e">
        <f>VLOOKUP(C126,listaBolsa!$D$2:$BA$1248,36,0)</f>
        <v>#N/A</v>
      </c>
      <c r="CH126" s="7" t="e">
        <f>VLOOKUP(C126,listaBolsa!$D$2:$BA$1248,40,0)</f>
        <v>#N/A</v>
      </c>
      <c r="CI126" s="7" t="e">
        <f>VLOOKUP(C126,listaBolsa!$D$2:$BA$1248,48,0)</f>
        <v>#N/A</v>
      </c>
      <c r="CJ126" s="7" t="e">
        <f t="shared" si="92"/>
        <v>#N/A</v>
      </c>
      <c r="CK126" s="7" t="e">
        <f t="shared" si="93"/>
        <v>#N/A</v>
      </c>
      <c r="CL126" s="7" t="e">
        <f t="shared" si="94"/>
        <v>#N/A</v>
      </c>
      <c r="CM126" s="7" t="e">
        <f t="shared" si="95"/>
        <v>#N/A</v>
      </c>
      <c r="CN126" s="7" t="e">
        <f t="shared" si="96"/>
        <v>#N/A</v>
      </c>
      <c r="CO126" s="7" t="e">
        <f t="shared" si="97"/>
        <v>#N/A</v>
      </c>
      <c r="CP126" s="7" t="e">
        <f t="shared" si="98"/>
        <v>#N/A</v>
      </c>
      <c r="CQ126" s="7" t="e">
        <f t="shared" si="99"/>
        <v>#N/A</v>
      </c>
      <c r="CR126" s="7" t="e">
        <f t="shared" si="100"/>
        <v>#N/A</v>
      </c>
    </row>
    <row r="127" spans="1:96" s="7" customFormat="1" ht="21" hidden="1" x14ac:dyDescent="0.25">
      <c r="A127" s="75" t="str">
        <f t="shared" si="75"/>
        <v/>
      </c>
      <c r="B127" s="91"/>
      <c r="C127" s="82"/>
      <c r="D127" s="75" t="str">
        <f>IF(C127="","",VLOOKUP(C127,listaBolsa!$D$2:$H$1118,2,0))</f>
        <v/>
      </c>
      <c r="E127" s="91" t="str">
        <f>IF(C127="","",VLOOKUP(C127,listaBolsa!$D$2:$H$1118,3,0))</f>
        <v/>
      </c>
      <c r="F127" s="92"/>
      <c r="G127" s="86" t="str">
        <f>IF(C127="","",VLOOKUP(C127,listaBolsa!$D$2:$H$1118,5,0))</f>
        <v/>
      </c>
      <c r="H127" s="89" t="str">
        <f>IF(C127="","",VLOOKUP(C127,listaBolsa!$D$2:$W$1118,10,0))</f>
        <v/>
      </c>
      <c r="I127" s="128" t="str">
        <f>IF(C127="","",VLOOKUP(C127,listaBolsa!$D$2:$W$1118,14,0))</f>
        <v/>
      </c>
      <c r="J127" s="129" t="e">
        <f t="shared" si="76"/>
        <v>#VALUE!</v>
      </c>
      <c r="K127" s="129" t="e">
        <f t="shared" si="77"/>
        <v>#VALUE!</v>
      </c>
      <c r="L127" s="129" t="str">
        <f t="shared" si="78"/>
        <v/>
      </c>
      <c r="M127" s="129" t="str">
        <f t="shared" si="79"/>
        <v/>
      </c>
      <c r="N127" s="90" t="str">
        <f>IF(C127="","",VLOOKUP(C127,listaBolsa!$D$2:$AZ$1276,23,0))</f>
        <v/>
      </c>
      <c r="O127" s="130" t="str">
        <f>IF(C127="","",VLOOKUP(C127,listaBolsa!$D$2:$AZ$1276,27,0))</f>
        <v/>
      </c>
      <c r="P127" s="131" t="e">
        <f t="shared" si="80"/>
        <v>#VALUE!</v>
      </c>
      <c r="Q127" s="131" t="e">
        <f t="shared" si="81"/>
        <v>#VALUE!</v>
      </c>
      <c r="R127" s="131" t="str">
        <f t="shared" si="82"/>
        <v/>
      </c>
      <c r="S127" s="131" t="str">
        <f t="shared" si="83"/>
        <v/>
      </c>
      <c r="T127" s="83" t="str">
        <f>IF(C127="","",VLOOKUP(C127,listaBolsa!$D$2:$BB$1276,36,0))</f>
        <v/>
      </c>
      <c r="U127" s="132" t="str">
        <f>IF(C127="","",VLOOKUP(C127,listaBolsa!$D$2:$BB$1276,40,0))</f>
        <v/>
      </c>
      <c r="V127" s="133" t="e">
        <f t="shared" si="84"/>
        <v>#VALUE!</v>
      </c>
      <c r="W127" s="133" t="e">
        <f t="shared" si="85"/>
        <v>#VALUE!</v>
      </c>
      <c r="X127" s="133" t="str">
        <f t="shared" si="86"/>
        <v/>
      </c>
      <c r="Y127" s="133" t="str">
        <f t="shared" si="87"/>
        <v/>
      </c>
      <c r="Z127" s="134" t="str">
        <f t="shared" si="88"/>
        <v/>
      </c>
      <c r="AA127" s="134" t="str">
        <f t="shared" si="89"/>
        <v/>
      </c>
      <c r="AB127" s="135" t="str">
        <f t="shared" si="90"/>
        <v/>
      </c>
      <c r="AC127" s="85" t="str">
        <f t="shared" si="91"/>
        <v/>
      </c>
      <c r="AD127" s="5"/>
      <c r="AF127" s="7" t="str">
        <f>IF(C127="","",VLOOKUP(C127,listaBolsa!$D$2:$BB$276,51,0))</f>
        <v/>
      </c>
      <c r="BG127" s="7">
        <v>117</v>
      </c>
      <c r="CA127" s="7" t="e">
        <f>VLOOKUP(C127,listaBolsa!$D$2:$BA$1248,1,0)</f>
        <v>#N/A</v>
      </c>
      <c r="CB127" s="7" t="e">
        <f>VLOOKUP(C127,listaBolsa!$D$2:$BA$1248,2,0)</f>
        <v>#N/A</v>
      </c>
      <c r="CC127" s="7" t="e">
        <f>VLOOKUP(C127,listaBolsa!$D$2:$BA$1248,10,0)</f>
        <v>#N/A</v>
      </c>
      <c r="CD127" s="7" t="e">
        <f>VLOOKUP(C127,listaBolsa!$D$2:$BA$1248,14,0)</f>
        <v>#N/A</v>
      </c>
      <c r="CE127" s="7" t="e">
        <f>VLOOKUP(C127,listaBolsa!$D$2:$BA$1248,23,0)</f>
        <v>#N/A</v>
      </c>
      <c r="CF127" s="7" t="e">
        <f>VLOOKUP(C127,listaBolsa!$D$2:$BA$1248,29,0)</f>
        <v>#N/A</v>
      </c>
      <c r="CG127" s="7" t="e">
        <f>VLOOKUP(C127,listaBolsa!$D$2:$BA$1248,36,0)</f>
        <v>#N/A</v>
      </c>
      <c r="CH127" s="7" t="e">
        <f>VLOOKUP(C127,listaBolsa!$D$2:$BA$1248,40,0)</f>
        <v>#N/A</v>
      </c>
      <c r="CI127" s="7" t="e">
        <f>VLOOKUP(C127,listaBolsa!$D$2:$BA$1248,48,0)</f>
        <v>#N/A</v>
      </c>
      <c r="CJ127" s="7" t="e">
        <f t="shared" si="92"/>
        <v>#N/A</v>
      </c>
      <c r="CK127" s="7" t="e">
        <f t="shared" si="93"/>
        <v>#N/A</v>
      </c>
      <c r="CL127" s="7" t="e">
        <f t="shared" si="94"/>
        <v>#N/A</v>
      </c>
      <c r="CM127" s="7" t="e">
        <f t="shared" si="95"/>
        <v>#N/A</v>
      </c>
      <c r="CN127" s="7" t="e">
        <f t="shared" si="96"/>
        <v>#N/A</v>
      </c>
      <c r="CO127" s="7" t="e">
        <f t="shared" si="97"/>
        <v>#N/A</v>
      </c>
      <c r="CP127" s="7" t="e">
        <f t="shared" si="98"/>
        <v>#N/A</v>
      </c>
      <c r="CQ127" s="7" t="e">
        <f t="shared" si="99"/>
        <v>#N/A</v>
      </c>
      <c r="CR127" s="7" t="e">
        <f t="shared" si="100"/>
        <v>#N/A</v>
      </c>
    </row>
    <row r="128" spans="1:96" s="7" customFormat="1" ht="21" hidden="1" x14ac:dyDescent="0.25">
      <c r="A128" s="75" t="str">
        <f t="shared" si="75"/>
        <v/>
      </c>
      <c r="B128" s="91"/>
      <c r="C128" s="82"/>
      <c r="D128" s="75" t="str">
        <f>IF(C128="","",VLOOKUP(C128,listaBolsa!$D$2:$H$1118,2,0))</f>
        <v/>
      </c>
      <c r="E128" s="91" t="str">
        <f>IF(C128="","",VLOOKUP(C128,listaBolsa!$D$2:$H$1118,3,0))</f>
        <v/>
      </c>
      <c r="F128" s="92"/>
      <c r="G128" s="86" t="str">
        <f>IF(C128="","",VLOOKUP(C128,listaBolsa!$D$2:$H$1118,5,0))</f>
        <v/>
      </c>
      <c r="H128" s="89" t="str">
        <f>IF(C128="","",VLOOKUP(C128,listaBolsa!$D$2:$W$1118,10,0))</f>
        <v/>
      </c>
      <c r="I128" s="128" t="str">
        <f>IF(C128="","",VLOOKUP(C128,listaBolsa!$D$2:$W$1118,14,0))</f>
        <v/>
      </c>
      <c r="J128" s="129" t="e">
        <f t="shared" si="76"/>
        <v>#VALUE!</v>
      </c>
      <c r="K128" s="129" t="e">
        <f t="shared" si="77"/>
        <v>#VALUE!</v>
      </c>
      <c r="L128" s="129" t="str">
        <f t="shared" si="78"/>
        <v/>
      </c>
      <c r="M128" s="129" t="str">
        <f t="shared" si="79"/>
        <v/>
      </c>
      <c r="N128" s="90" t="str">
        <f>IF(C128="","",VLOOKUP(C128,listaBolsa!$D$2:$AZ$1276,23,0))</f>
        <v/>
      </c>
      <c r="O128" s="130" t="str">
        <f>IF(C128="","",VLOOKUP(C128,listaBolsa!$D$2:$AZ$1276,27,0))</f>
        <v/>
      </c>
      <c r="P128" s="131" t="e">
        <f t="shared" si="80"/>
        <v>#VALUE!</v>
      </c>
      <c r="Q128" s="131" t="e">
        <f t="shared" si="81"/>
        <v>#VALUE!</v>
      </c>
      <c r="R128" s="131" t="str">
        <f t="shared" si="82"/>
        <v/>
      </c>
      <c r="S128" s="131" t="str">
        <f t="shared" si="83"/>
        <v/>
      </c>
      <c r="T128" s="83" t="str">
        <f>IF(C128="","",VLOOKUP(C128,listaBolsa!$D$2:$BB$1276,36,0))</f>
        <v/>
      </c>
      <c r="U128" s="132" t="str">
        <f>IF(C128="","",VLOOKUP(C128,listaBolsa!$D$2:$BB$1276,40,0))</f>
        <v/>
      </c>
      <c r="V128" s="133" t="e">
        <f t="shared" si="84"/>
        <v>#VALUE!</v>
      </c>
      <c r="W128" s="133" t="e">
        <f t="shared" si="85"/>
        <v>#VALUE!</v>
      </c>
      <c r="X128" s="133" t="str">
        <f t="shared" si="86"/>
        <v/>
      </c>
      <c r="Y128" s="133" t="str">
        <f t="shared" si="87"/>
        <v/>
      </c>
      <c r="Z128" s="134" t="str">
        <f t="shared" si="88"/>
        <v/>
      </c>
      <c r="AA128" s="134" t="str">
        <f t="shared" si="89"/>
        <v/>
      </c>
      <c r="AB128" s="135" t="str">
        <f t="shared" si="90"/>
        <v/>
      </c>
      <c r="AC128" s="85" t="str">
        <f t="shared" si="91"/>
        <v/>
      </c>
      <c r="AD128" s="5"/>
      <c r="AF128" s="7" t="str">
        <f>IF(C128="","",VLOOKUP(C128,listaBolsa!$D$2:$BB$276,51,0))</f>
        <v/>
      </c>
      <c r="BG128" s="7">
        <v>118</v>
      </c>
      <c r="CA128" s="7" t="e">
        <f>VLOOKUP(C128,listaBolsa!$D$2:$BA$1248,1,0)</f>
        <v>#N/A</v>
      </c>
      <c r="CB128" s="7" t="e">
        <f>VLOOKUP(C128,listaBolsa!$D$2:$BA$1248,2,0)</f>
        <v>#N/A</v>
      </c>
      <c r="CC128" s="7" t="e">
        <f>VLOOKUP(C128,listaBolsa!$D$2:$BA$1248,10,0)</f>
        <v>#N/A</v>
      </c>
      <c r="CD128" s="7" t="e">
        <f>VLOOKUP(C128,listaBolsa!$D$2:$BA$1248,14,0)</f>
        <v>#N/A</v>
      </c>
      <c r="CE128" s="7" t="e">
        <f>VLOOKUP(C128,listaBolsa!$D$2:$BA$1248,23,0)</f>
        <v>#N/A</v>
      </c>
      <c r="CF128" s="7" t="e">
        <f>VLOOKUP(C128,listaBolsa!$D$2:$BA$1248,29,0)</f>
        <v>#N/A</v>
      </c>
      <c r="CG128" s="7" t="e">
        <f>VLOOKUP(C128,listaBolsa!$D$2:$BA$1248,36,0)</f>
        <v>#N/A</v>
      </c>
      <c r="CH128" s="7" t="e">
        <f>VLOOKUP(C128,listaBolsa!$D$2:$BA$1248,40,0)</f>
        <v>#N/A</v>
      </c>
      <c r="CI128" s="7" t="e">
        <f>VLOOKUP(C128,listaBolsa!$D$2:$BA$1248,48,0)</f>
        <v>#N/A</v>
      </c>
      <c r="CJ128" s="7" t="e">
        <f t="shared" si="92"/>
        <v>#N/A</v>
      </c>
      <c r="CK128" s="7" t="e">
        <f t="shared" si="93"/>
        <v>#N/A</v>
      </c>
      <c r="CL128" s="7" t="e">
        <f t="shared" si="94"/>
        <v>#N/A</v>
      </c>
      <c r="CM128" s="7" t="e">
        <f t="shared" si="95"/>
        <v>#N/A</v>
      </c>
      <c r="CN128" s="7" t="e">
        <f t="shared" si="96"/>
        <v>#N/A</v>
      </c>
      <c r="CO128" s="7" t="e">
        <f t="shared" si="97"/>
        <v>#N/A</v>
      </c>
      <c r="CP128" s="7" t="e">
        <f t="shared" si="98"/>
        <v>#N/A</v>
      </c>
      <c r="CQ128" s="7" t="e">
        <f t="shared" si="99"/>
        <v>#N/A</v>
      </c>
      <c r="CR128" s="7" t="e">
        <f t="shared" si="100"/>
        <v>#N/A</v>
      </c>
    </row>
    <row r="129" spans="1:96" s="7" customFormat="1" ht="21" hidden="1" x14ac:dyDescent="0.25">
      <c r="A129" s="75" t="str">
        <f t="shared" si="75"/>
        <v/>
      </c>
      <c r="B129" s="91"/>
      <c r="C129" s="82"/>
      <c r="D129" s="75" t="str">
        <f>IF(C129="","",VLOOKUP(C129,listaBolsa!$D$2:$H$1118,2,0))</f>
        <v/>
      </c>
      <c r="E129" s="91" t="str">
        <f>IF(C129="","",VLOOKUP(C129,listaBolsa!$D$2:$H$1118,3,0))</f>
        <v/>
      </c>
      <c r="F129" s="92"/>
      <c r="G129" s="86" t="str">
        <f>IF(C129="","",VLOOKUP(C129,listaBolsa!$D$2:$H$1118,5,0))</f>
        <v/>
      </c>
      <c r="H129" s="89" t="str">
        <f>IF(C129="","",VLOOKUP(C129,listaBolsa!$D$2:$W$1118,10,0))</f>
        <v/>
      </c>
      <c r="I129" s="128" t="str">
        <f>IF(C129="","",VLOOKUP(C129,listaBolsa!$D$2:$W$1118,14,0))</f>
        <v/>
      </c>
      <c r="J129" s="129" t="e">
        <f t="shared" si="76"/>
        <v>#VALUE!</v>
      </c>
      <c r="K129" s="129" t="e">
        <f t="shared" si="77"/>
        <v>#VALUE!</v>
      </c>
      <c r="L129" s="129" t="str">
        <f t="shared" si="78"/>
        <v/>
      </c>
      <c r="M129" s="129" t="str">
        <f t="shared" si="79"/>
        <v/>
      </c>
      <c r="N129" s="90" t="str">
        <f>IF(C129="","",VLOOKUP(C129,listaBolsa!$D$2:$AZ$1276,23,0))</f>
        <v/>
      </c>
      <c r="O129" s="130" t="str">
        <f>IF(C129="","",VLOOKUP(C129,listaBolsa!$D$2:$AZ$1276,27,0))</f>
        <v/>
      </c>
      <c r="P129" s="131" t="e">
        <f t="shared" si="80"/>
        <v>#VALUE!</v>
      </c>
      <c r="Q129" s="131" t="e">
        <f t="shared" si="81"/>
        <v>#VALUE!</v>
      </c>
      <c r="R129" s="131" t="str">
        <f t="shared" si="82"/>
        <v/>
      </c>
      <c r="S129" s="131" t="str">
        <f t="shared" si="83"/>
        <v/>
      </c>
      <c r="T129" s="83" t="str">
        <f>IF(C129="","",VLOOKUP(C129,listaBolsa!$D$2:$BB$1276,36,0))</f>
        <v/>
      </c>
      <c r="U129" s="132" t="str">
        <f>IF(C129="","",VLOOKUP(C129,listaBolsa!$D$2:$BB$1276,40,0))</f>
        <v/>
      </c>
      <c r="V129" s="133" t="e">
        <f t="shared" si="84"/>
        <v>#VALUE!</v>
      </c>
      <c r="W129" s="133" t="e">
        <f t="shared" si="85"/>
        <v>#VALUE!</v>
      </c>
      <c r="X129" s="133" t="str">
        <f t="shared" si="86"/>
        <v/>
      </c>
      <c r="Y129" s="133" t="str">
        <f t="shared" si="87"/>
        <v/>
      </c>
      <c r="Z129" s="134" t="str">
        <f t="shared" si="88"/>
        <v/>
      </c>
      <c r="AA129" s="134" t="str">
        <f t="shared" si="89"/>
        <v/>
      </c>
      <c r="AB129" s="135" t="str">
        <f t="shared" si="90"/>
        <v/>
      </c>
      <c r="AC129" s="85" t="str">
        <f t="shared" si="91"/>
        <v/>
      </c>
      <c r="AD129" s="5"/>
      <c r="AF129" s="7" t="str">
        <f>IF(C129="","",VLOOKUP(C129,listaBolsa!$D$2:$BB$276,51,0))</f>
        <v/>
      </c>
      <c r="BG129" s="7">
        <v>119</v>
      </c>
      <c r="CA129" s="7" t="e">
        <f>VLOOKUP(C129,listaBolsa!$D$2:$BA$1248,1,0)</f>
        <v>#N/A</v>
      </c>
      <c r="CB129" s="7" t="e">
        <f>VLOOKUP(C129,listaBolsa!$D$2:$BA$1248,2,0)</f>
        <v>#N/A</v>
      </c>
      <c r="CC129" s="7" t="e">
        <f>VLOOKUP(C129,listaBolsa!$D$2:$BA$1248,10,0)</f>
        <v>#N/A</v>
      </c>
      <c r="CD129" s="7" t="e">
        <f>VLOOKUP(C129,listaBolsa!$D$2:$BA$1248,14,0)</f>
        <v>#N/A</v>
      </c>
      <c r="CE129" s="7" t="e">
        <f>VLOOKUP(C129,listaBolsa!$D$2:$BA$1248,23,0)</f>
        <v>#N/A</v>
      </c>
      <c r="CF129" s="7" t="e">
        <f>VLOOKUP(C129,listaBolsa!$D$2:$BA$1248,29,0)</f>
        <v>#N/A</v>
      </c>
      <c r="CG129" s="7" t="e">
        <f>VLOOKUP(C129,listaBolsa!$D$2:$BA$1248,36,0)</f>
        <v>#N/A</v>
      </c>
      <c r="CH129" s="7" t="e">
        <f>VLOOKUP(C129,listaBolsa!$D$2:$BA$1248,40,0)</f>
        <v>#N/A</v>
      </c>
      <c r="CI129" s="7" t="e">
        <f>VLOOKUP(C129,listaBolsa!$D$2:$BA$1248,48,0)</f>
        <v>#N/A</v>
      </c>
      <c r="CJ129" s="7" t="e">
        <f t="shared" si="92"/>
        <v>#N/A</v>
      </c>
      <c r="CK129" s="7" t="e">
        <f t="shared" si="93"/>
        <v>#N/A</v>
      </c>
      <c r="CL129" s="7" t="e">
        <f t="shared" si="94"/>
        <v>#N/A</v>
      </c>
      <c r="CM129" s="7" t="e">
        <f t="shared" si="95"/>
        <v>#N/A</v>
      </c>
      <c r="CN129" s="7" t="e">
        <f t="shared" si="96"/>
        <v>#N/A</v>
      </c>
      <c r="CO129" s="7" t="e">
        <f t="shared" si="97"/>
        <v>#N/A</v>
      </c>
      <c r="CP129" s="7" t="e">
        <f t="shared" si="98"/>
        <v>#N/A</v>
      </c>
      <c r="CQ129" s="7" t="e">
        <f t="shared" si="99"/>
        <v>#N/A</v>
      </c>
      <c r="CR129" s="7" t="e">
        <f t="shared" si="100"/>
        <v>#N/A</v>
      </c>
    </row>
    <row r="130" spans="1:96" s="7" customFormat="1" ht="21" hidden="1" x14ac:dyDescent="0.25">
      <c r="A130" s="75" t="str">
        <f t="shared" si="75"/>
        <v/>
      </c>
      <c r="B130" s="91"/>
      <c r="C130" s="82"/>
      <c r="D130" s="75" t="str">
        <f>IF(C130="","",VLOOKUP(C130,listaBolsa!$D$2:$H$1118,2,0))</f>
        <v/>
      </c>
      <c r="E130" s="91" t="str">
        <f>IF(C130="","",VLOOKUP(C130,listaBolsa!$D$2:$H$1118,3,0))</f>
        <v/>
      </c>
      <c r="F130" s="92"/>
      <c r="G130" s="86" t="str">
        <f>IF(C130="","",VLOOKUP(C130,listaBolsa!$D$2:$H$1118,5,0))</f>
        <v/>
      </c>
      <c r="H130" s="89" t="str">
        <f>IF(C130="","",VLOOKUP(C130,listaBolsa!$D$2:$W$1118,10,0))</f>
        <v/>
      </c>
      <c r="I130" s="128" t="str">
        <f>IF(C130="","",VLOOKUP(C130,listaBolsa!$D$2:$W$1118,14,0))</f>
        <v/>
      </c>
      <c r="J130" s="129" t="e">
        <f t="shared" si="76"/>
        <v>#VALUE!</v>
      </c>
      <c r="K130" s="129" t="e">
        <f t="shared" si="77"/>
        <v>#VALUE!</v>
      </c>
      <c r="L130" s="129" t="str">
        <f t="shared" si="78"/>
        <v/>
      </c>
      <c r="M130" s="129" t="str">
        <f t="shared" si="79"/>
        <v/>
      </c>
      <c r="N130" s="90" t="str">
        <f>IF(C130="","",VLOOKUP(C130,listaBolsa!$D$2:$AZ$1276,23,0))</f>
        <v/>
      </c>
      <c r="O130" s="130" t="str">
        <f>IF(C130="","",VLOOKUP(C130,listaBolsa!$D$2:$AZ$1276,27,0))</f>
        <v/>
      </c>
      <c r="P130" s="131" t="e">
        <f t="shared" si="80"/>
        <v>#VALUE!</v>
      </c>
      <c r="Q130" s="131" t="e">
        <f t="shared" si="81"/>
        <v>#VALUE!</v>
      </c>
      <c r="R130" s="131" t="str">
        <f t="shared" si="82"/>
        <v/>
      </c>
      <c r="S130" s="131" t="str">
        <f t="shared" si="83"/>
        <v/>
      </c>
      <c r="T130" s="83" t="str">
        <f>IF(C130="","",VLOOKUP(C130,listaBolsa!$D$2:$BB$1276,36,0))</f>
        <v/>
      </c>
      <c r="U130" s="132" t="str">
        <f>IF(C130="","",VLOOKUP(C130,listaBolsa!$D$2:$BB$1276,40,0))</f>
        <v/>
      </c>
      <c r="V130" s="133" t="e">
        <f t="shared" si="84"/>
        <v>#VALUE!</v>
      </c>
      <c r="W130" s="133" t="e">
        <f t="shared" si="85"/>
        <v>#VALUE!</v>
      </c>
      <c r="X130" s="133" t="str">
        <f t="shared" si="86"/>
        <v/>
      </c>
      <c r="Y130" s="133" t="str">
        <f t="shared" si="87"/>
        <v/>
      </c>
      <c r="Z130" s="134" t="str">
        <f t="shared" si="88"/>
        <v/>
      </c>
      <c r="AA130" s="134" t="str">
        <f t="shared" si="89"/>
        <v/>
      </c>
      <c r="AB130" s="135" t="str">
        <f t="shared" si="90"/>
        <v/>
      </c>
      <c r="AC130" s="85" t="str">
        <f t="shared" si="91"/>
        <v/>
      </c>
      <c r="AD130" s="5"/>
      <c r="AF130" s="7" t="str">
        <f>IF(C130="","",VLOOKUP(C130,listaBolsa!$D$2:$BB$276,51,0))</f>
        <v/>
      </c>
      <c r="BG130" s="7">
        <v>120</v>
      </c>
      <c r="CA130" s="7" t="e">
        <f>VLOOKUP(C130,listaBolsa!$D$2:$BA$1248,1,0)</f>
        <v>#N/A</v>
      </c>
      <c r="CB130" s="7" t="e">
        <f>VLOOKUP(C130,listaBolsa!$D$2:$BA$1248,2,0)</f>
        <v>#N/A</v>
      </c>
      <c r="CC130" s="7" t="e">
        <f>VLOOKUP(C130,listaBolsa!$D$2:$BA$1248,10,0)</f>
        <v>#N/A</v>
      </c>
      <c r="CD130" s="7" t="e">
        <f>VLOOKUP(C130,listaBolsa!$D$2:$BA$1248,14,0)</f>
        <v>#N/A</v>
      </c>
      <c r="CE130" s="7" t="e">
        <f>VLOOKUP(C130,listaBolsa!$D$2:$BA$1248,23,0)</f>
        <v>#N/A</v>
      </c>
      <c r="CF130" s="7" t="e">
        <f>VLOOKUP(C130,listaBolsa!$D$2:$BA$1248,29,0)</f>
        <v>#N/A</v>
      </c>
      <c r="CG130" s="7" t="e">
        <f>VLOOKUP(C130,listaBolsa!$D$2:$BA$1248,36,0)</f>
        <v>#N/A</v>
      </c>
      <c r="CH130" s="7" t="e">
        <f>VLOOKUP(C130,listaBolsa!$D$2:$BA$1248,40,0)</f>
        <v>#N/A</v>
      </c>
      <c r="CI130" s="7" t="e">
        <f>VLOOKUP(C130,listaBolsa!$D$2:$BA$1248,48,0)</f>
        <v>#N/A</v>
      </c>
      <c r="CJ130" s="7" t="e">
        <f t="shared" si="92"/>
        <v>#N/A</v>
      </c>
      <c r="CK130" s="7" t="e">
        <f t="shared" si="93"/>
        <v>#N/A</v>
      </c>
      <c r="CL130" s="7" t="e">
        <f t="shared" si="94"/>
        <v>#N/A</v>
      </c>
      <c r="CM130" s="7" t="e">
        <f t="shared" si="95"/>
        <v>#N/A</v>
      </c>
      <c r="CN130" s="7" t="e">
        <f t="shared" si="96"/>
        <v>#N/A</v>
      </c>
      <c r="CO130" s="7" t="e">
        <f t="shared" si="97"/>
        <v>#N/A</v>
      </c>
      <c r="CP130" s="7" t="e">
        <f t="shared" si="98"/>
        <v>#N/A</v>
      </c>
      <c r="CQ130" s="7" t="e">
        <f t="shared" si="99"/>
        <v>#N/A</v>
      </c>
      <c r="CR130" s="7" t="e">
        <f t="shared" si="100"/>
        <v>#N/A</v>
      </c>
    </row>
    <row r="131" spans="1:96" s="7" customFormat="1" ht="21" hidden="1" x14ac:dyDescent="0.25">
      <c r="A131" s="75" t="str">
        <f t="shared" si="75"/>
        <v/>
      </c>
      <c r="B131" s="91"/>
      <c r="C131" s="82"/>
      <c r="D131" s="75" t="str">
        <f>IF(C131="","",VLOOKUP(C131,listaBolsa!$D$2:$H$1118,2,0))</f>
        <v/>
      </c>
      <c r="E131" s="91" t="str">
        <f>IF(C131="","",VLOOKUP(C131,listaBolsa!$D$2:$H$1118,3,0))</f>
        <v/>
      </c>
      <c r="F131" s="92"/>
      <c r="G131" s="86" t="str">
        <f>IF(C131="","",VLOOKUP(C131,listaBolsa!$D$2:$H$1118,5,0))</f>
        <v/>
      </c>
      <c r="H131" s="89" t="str">
        <f>IF(C131="","",VLOOKUP(C131,listaBolsa!$D$2:$W$1118,10,0))</f>
        <v/>
      </c>
      <c r="I131" s="128" t="str">
        <f>IF(C131="","",VLOOKUP(C131,listaBolsa!$D$2:$W$1118,14,0))</f>
        <v/>
      </c>
      <c r="J131" s="129" t="e">
        <f t="shared" si="76"/>
        <v>#VALUE!</v>
      </c>
      <c r="K131" s="129" t="e">
        <f t="shared" si="77"/>
        <v>#VALUE!</v>
      </c>
      <c r="L131" s="129" t="str">
        <f t="shared" si="78"/>
        <v/>
      </c>
      <c r="M131" s="129" t="str">
        <f t="shared" si="79"/>
        <v/>
      </c>
      <c r="N131" s="90" t="str">
        <f>IF(C131="","",VLOOKUP(C131,listaBolsa!$D$2:$AZ$1276,23,0))</f>
        <v/>
      </c>
      <c r="O131" s="130" t="str">
        <f>IF(C131="","",VLOOKUP(C131,listaBolsa!$D$2:$AZ$1276,27,0))</f>
        <v/>
      </c>
      <c r="P131" s="131" t="e">
        <f t="shared" si="80"/>
        <v>#VALUE!</v>
      </c>
      <c r="Q131" s="131" t="e">
        <f t="shared" si="81"/>
        <v>#VALUE!</v>
      </c>
      <c r="R131" s="131" t="str">
        <f t="shared" si="82"/>
        <v/>
      </c>
      <c r="S131" s="131" t="str">
        <f t="shared" si="83"/>
        <v/>
      </c>
      <c r="T131" s="83" t="str">
        <f>IF(C131="","",VLOOKUP(C131,listaBolsa!$D$2:$BB$1276,36,0))</f>
        <v/>
      </c>
      <c r="U131" s="132" t="str">
        <f>IF(C131="","",VLOOKUP(C131,listaBolsa!$D$2:$BB$1276,40,0))</f>
        <v/>
      </c>
      <c r="V131" s="133" t="e">
        <f t="shared" si="84"/>
        <v>#VALUE!</v>
      </c>
      <c r="W131" s="133" t="e">
        <f t="shared" si="85"/>
        <v>#VALUE!</v>
      </c>
      <c r="X131" s="133" t="str">
        <f t="shared" si="86"/>
        <v/>
      </c>
      <c r="Y131" s="133" t="str">
        <f t="shared" si="87"/>
        <v/>
      </c>
      <c r="Z131" s="134" t="str">
        <f t="shared" si="88"/>
        <v/>
      </c>
      <c r="AA131" s="134" t="str">
        <f t="shared" si="89"/>
        <v/>
      </c>
      <c r="AB131" s="135" t="str">
        <f t="shared" si="90"/>
        <v/>
      </c>
      <c r="AC131" s="85" t="str">
        <f t="shared" si="91"/>
        <v/>
      </c>
      <c r="AD131" s="5"/>
      <c r="AF131" s="7" t="str">
        <f>IF(C131="","",VLOOKUP(C131,listaBolsa!$D$2:$BB$276,51,0))</f>
        <v/>
      </c>
      <c r="BG131" s="7">
        <v>121</v>
      </c>
      <c r="CA131" s="7" t="e">
        <f>VLOOKUP(C131,listaBolsa!$D$2:$BA$1248,1,0)</f>
        <v>#N/A</v>
      </c>
      <c r="CB131" s="7" t="e">
        <f>VLOOKUP(C131,listaBolsa!$D$2:$BA$1248,2,0)</f>
        <v>#N/A</v>
      </c>
      <c r="CC131" s="7" t="e">
        <f>VLOOKUP(C131,listaBolsa!$D$2:$BA$1248,10,0)</f>
        <v>#N/A</v>
      </c>
      <c r="CD131" s="7" t="e">
        <f>VLOOKUP(C131,listaBolsa!$D$2:$BA$1248,14,0)</f>
        <v>#N/A</v>
      </c>
      <c r="CE131" s="7" t="e">
        <f>VLOOKUP(C131,listaBolsa!$D$2:$BA$1248,23,0)</f>
        <v>#N/A</v>
      </c>
      <c r="CF131" s="7" t="e">
        <f>VLOOKUP(C131,listaBolsa!$D$2:$BA$1248,29,0)</f>
        <v>#N/A</v>
      </c>
      <c r="CG131" s="7" t="e">
        <f>VLOOKUP(C131,listaBolsa!$D$2:$BA$1248,36,0)</f>
        <v>#N/A</v>
      </c>
      <c r="CH131" s="7" t="e">
        <f>VLOOKUP(C131,listaBolsa!$D$2:$BA$1248,40,0)</f>
        <v>#N/A</v>
      </c>
      <c r="CI131" s="7" t="e">
        <f>VLOOKUP(C131,listaBolsa!$D$2:$BA$1248,48,0)</f>
        <v>#N/A</v>
      </c>
      <c r="CJ131" s="7" t="e">
        <f t="shared" si="92"/>
        <v>#N/A</v>
      </c>
      <c r="CK131" s="7" t="e">
        <f t="shared" si="93"/>
        <v>#N/A</v>
      </c>
      <c r="CL131" s="7" t="e">
        <f t="shared" si="94"/>
        <v>#N/A</v>
      </c>
      <c r="CM131" s="7" t="e">
        <f t="shared" si="95"/>
        <v>#N/A</v>
      </c>
      <c r="CN131" s="7" t="e">
        <f t="shared" si="96"/>
        <v>#N/A</v>
      </c>
      <c r="CO131" s="7" t="e">
        <f t="shared" si="97"/>
        <v>#N/A</v>
      </c>
      <c r="CP131" s="7" t="e">
        <f t="shared" si="98"/>
        <v>#N/A</v>
      </c>
      <c r="CQ131" s="7" t="e">
        <f t="shared" si="99"/>
        <v>#N/A</v>
      </c>
      <c r="CR131" s="7" t="e">
        <f t="shared" si="100"/>
        <v>#N/A</v>
      </c>
    </row>
    <row r="132" spans="1:96" s="7" customFormat="1" ht="21" hidden="1" x14ac:dyDescent="0.25">
      <c r="A132" s="75" t="str">
        <f t="shared" si="75"/>
        <v/>
      </c>
      <c r="B132" s="91"/>
      <c r="C132" s="82"/>
      <c r="D132" s="75" t="str">
        <f>IF(C132="","",VLOOKUP(C132,listaBolsa!$D$2:$H$1118,2,0))</f>
        <v/>
      </c>
      <c r="E132" s="91" t="str">
        <f>IF(C132="","",VLOOKUP(C132,listaBolsa!$D$2:$H$1118,3,0))</f>
        <v/>
      </c>
      <c r="F132" s="92"/>
      <c r="G132" s="86" t="str">
        <f>IF(C132="","",VLOOKUP(C132,listaBolsa!$D$2:$H$1118,5,0))</f>
        <v/>
      </c>
      <c r="H132" s="89" t="str">
        <f>IF(C132="","",VLOOKUP(C132,listaBolsa!$D$2:$W$1118,10,0))</f>
        <v/>
      </c>
      <c r="I132" s="128" t="str">
        <f>IF(C132="","",VLOOKUP(C132,listaBolsa!$D$2:$W$1118,14,0))</f>
        <v/>
      </c>
      <c r="J132" s="129" t="e">
        <f t="shared" si="76"/>
        <v>#VALUE!</v>
      </c>
      <c r="K132" s="129" t="e">
        <f t="shared" si="77"/>
        <v>#VALUE!</v>
      </c>
      <c r="L132" s="129" t="str">
        <f t="shared" si="78"/>
        <v/>
      </c>
      <c r="M132" s="129" t="str">
        <f t="shared" si="79"/>
        <v/>
      </c>
      <c r="N132" s="90" t="str">
        <f>IF(C132="","",VLOOKUP(C132,listaBolsa!$D$2:$AZ$1276,23,0))</f>
        <v/>
      </c>
      <c r="O132" s="130" t="str">
        <f>IF(C132="","",VLOOKUP(C132,listaBolsa!$D$2:$AZ$1276,27,0))</f>
        <v/>
      </c>
      <c r="P132" s="131" t="e">
        <f t="shared" si="80"/>
        <v>#VALUE!</v>
      </c>
      <c r="Q132" s="131" t="e">
        <f t="shared" si="81"/>
        <v>#VALUE!</v>
      </c>
      <c r="R132" s="131" t="str">
        <f t="shared" si="82"/>
        <v/>
      </c>
      <c r="S132" s="131" t="str">
        <f t="shared" si="83"/>
        <v/>
      </c>
      <c r="T132" s="83" t="str">
        <f>IF(C132="","",VLOOKUP(C132,listaBolsa!$D$2:$BB$1276,36,0))</f>
        <v/>
      </c>
      <c r="U132" s="132" t="str">
        <f>IF(C132="","",VLOOKUP(C132,listaBolsa!$D$2:$BB$1276,40,0))</f>
        <v/>
      </c>
      <c r="V132" s="133" t="e">
        <f t="shared" si="84"/>
        <v>#VALUE!</v>
      </c>
      <c r="W132" s="133" t="e">
        <f t="shared" si="85"/>
        <v>#VALUE!</v>
      </c>
      <c r="X132" s="133" t="str">
        <f t="shared" si="86"/>
        <v/>
      </c>
      <c r="Y132" s="133" t="str">
        <f t="shared" si="87"/>
        <v/>
      </c>
      <c r="Z132" s="134" t="str">
        <f t="shared" si="88"/>
        <v/>
      </c>
      <c r="AA132" s="134" t="str">
        <f t="shared" si="89"/>
        <v/>
      </c>
      <c r="AB132" s="135" t="str">
        <f t="shared" si="90"/>
        <v/>
      </c>
      <c r="AC132" s="85" t="str">
        <f t="shared" si="91"/>
        <v/>
      </c>
      <c r="AD132" s="5"/>
      <c r="AF132" s="7" t="str">
        <f>IF(C132="","",VLOOKUP(C132,listaBolsa!$D$2:$BB$276,51,0))</f>
        <v/>
      </c>
      <c r="BG132" s="7">
        <v>122</v>
      </c>
      <c r="CA132" s="7" t="e">
        <f>VLOOKUP(C132,listaBolsa!$D$2:$BA$1248,1,0)</f>
        <v>#N/A</v>
      </c>
      <c r="CB132" s="7" t="e">
        <f>VLOOKUP(C132,listaBolsa!$D$2:$BA$1248,2,0)</f>
        <v>#N/A</v>
      </c>
      <c r="CC132" s="7" t="e">
        <f>VLOOKUP(C132,listaBolsa!$D$2:$BA$1248,10,0)</f>
        <v>#N/A</v>
      </c>
      <c r="CD132" s="7" t="e">
        <f>VLOOKUP(C132,listaBolsa!$D$2:$BA$1248,14,0)</f>
        <v>#N/A</v>
      </c>
      <c r="CE132" s="7" t="e">
        <f>VLOOKUP(C132,listaBolsa!$D$2:$BA$1248,23,0)</f>
        <v>#N/A</v>
      </c>
      <c r="CF132" s="7" t="e">
        <f>VLOOKUP(C132,listaBolsa!$D$2:$BA$1248,29,0)</f>
        <v>#N/A</v>
      </c>
      <c r="CG132" s="7" t="e">
        <f>VLOOKUP(C132,listaBolsa!$D$2:$BA$1248,36,0)</f>
        <v>#N/A</v>
      </c>
      <c r="CH132" s="7" t="e">
        <f>VLOOKUP(C132,listaBolsa!$D$2:$BA$1248,40,0)</f>
        <v>#N/A</v>
      </c>
      <c r="CI132" s="7" t="e">
        <f>VLOOKUP(C132,listaBolsa!$D$2:$BA$1248,48,0)</f>
        <v>#N/A</v>
      </c>
      <c r="CJ132" s="7" t="e">
        <f t="shared" si="92"/>
        <v>#N/A</v>
      </c>
      <c r="CK132" s="7" t="e">
        <f t="shared" si="93"/>
        <v>#N/A</v>
      </c>
      <c r="CL132" s="7" t="e">
        <f t="shared" si="94"/>
        <v>#N/A</v>
      </c>
      <c r="CM132" s="7" t="e">
        <f t="shared" si="95"/>
        <v>#N/A</v>
      </c>
      <c r="CN132" s="7" t="e">
        <f t="shared" si="96"/>
        <v>#N/A</v>
      </c>
      <c r="CO132" s="7" t="e">
        <f t="shared" si="97"/>
        <v>#N/A</v>
      </c>
      <c r="CP132" s="7" t="e">
        <f t="shared" si="98"/>
        <v>#N/A</v>
      </c>
      <c r="CQ132" s="7" t="e">
        <f t="shared" si="99"/>
        <v>#N/A</v>
      </c>
      <c r="CR132" s="7" t="e">
        <f t="shared" si="100"/>
        <v>#N/A</v>
      </c>
    </row>
    <row r="133" spans="1:96" s="7" customFormat="1" ht="21" hidden="1" x14ac:dyDescent="0.25">
      <c r="A133" s="75" t="str">
        <f t="shared" si="75"/>
        <v/>
      </c>
      <c r="B133" s="91"/>
      <c r="C133" s="82"/>
      <c r="D133" s="75" t="str">
        <f>IF(C133="","",VLOOKUP(C133,listaBolsa!$D$2:$H$1118,2,0))</f>
        <v/>
      </c>
      <c r="E133" s="91" t="str">
        <f>IF(C133="","",VLOOKUP(C133,listaBolsa!$D$2:$H$1118,3,0))</f>
        <v/>
      </c>
      <c r="F133" s="92"/>
      <c r="G133" s="86" t="str">
        <f>IF(C133="","",VLOOKUP(C133,listaBolsa!$D$2:$H$1118,5,0))</f>
        <v/>
      </c>
      <c r="H133" s="89" t="str">
        <f>IF(C133="","",VLOOKUP(C133,listaBolsa!$D$2:$W$1118,10,0))</f>
        <v/>
      </c>
      <c r="I133" s="128" t="str">
        <f>IF(C133="","",VLOOKUP(C133,listaBolsa!$D$2:$W$1118,14,0))</f>
        <v/>
      </c>
      <c r="J133" s="129" t="e">
        <f t="shared" si="76"/>
        <v>#VALUE!</v>
      </c>
      <c r="K133" s="129" t="e">
        <f t="shared" si="77"/>
        <v>#VALUE!</v>
      </c>
      <c r="L133" s="129" t="str">
        <f t="shared" si="78"/>
        <v/>
      </c>
      <c r="M133" s="129" t="str">
        <f t="shared" si="79"/>
        <v/>
      </c>
      <c r="N133" s="90" t="str">
        <f>IF(C133="","",VLOOKUP(C133,listaBolsa!$D$2:$AZ$1276,23,0))</f>
        <v/>
      </c>
      <c r="O133" s="130" t="str">
        <f>IF(C133="","",VLOOKUP(C133,listaBolsa!$D$2:$AZ$1276,27,0))</f>
        <v/>
      </c>
      <c r="P133" s="131" t="e">
        <f t="shared" si="80"/>
        <v>#VALUE!</v>
      </c>
      <c r="Q133" s="131" t="e">
        <f t="shared" si="81"/>
        <v>#VALUE!</v>
      </c>
      <c r="R133" s="131" t="str">
        <f t="shared" si="82"/>
        <v/>
      </c>
      <c r="S133" s="131" t="str">
        <f t="shared" si="83"/>
        <v/>
      </c>
      <c r="T133" s="83" t="str">
        <f>IF(C133="","",VLOOKUP(C133,listaBolsa!$D$2:$BB$1276,36,0))</f>
        <v/>
      </c>
      <c r="U133" s="132" t="str">
        <f>IF(C133="","",VLOOKUP(C133,listaBolsa!$D$2:$BB$1276,40,0))</f>
        <v/>
      </c>
      <c r="V133" s="133" t="e">
        <f t="shared" si="84"/>
        <v>#VALUE!</v>
      </c>
      <c r="W133" s="133" t="e">
        <f t="shared" si="85"/>
        <v>#VALUE!</v>
      </c>
      <c r="X133" s="133" t="str">
        <f t="shared" si="86"/>
        <v/>
      </c>
      <c r="Y133" s="133" t="str">
        <f t="shared" si="87"/>
        <v/>
      </c>
      <c r="Z133" s="134" t="str">
        <f t="shared" si="88"/>
        <v/>
      </c>
      <c r="AA133" s="134" t="str">
        <f t="shared" si="89"/>
        <v/>
      </c>
      <c r="AB133" s="135" t="str">
        <f t="shared" si="90"/>
        <v/>
      </c>
      <c r="AC133" s="85" t="str">
        <f t="shared" si="91"/>
        <v/>
      </c>
      <c r="AD133" s="5"/>
      <c r="AF133" s="7" t="str">
        <f>IF(C133="","",VLOOKUP(C133,listaBolsa!$D$2:$BB$276,51,0))</f>
        <v/>
      </c>
      <c r="BG133" s="7">
        <v>123</v>
      </c>
      <c r="CA133" s="7" t="e">
        <f>VLOOKUP(C133,listaBolsa!$D$2:$BA$1248,1,0)</f>
        <v>#N/A</v>
      </c>
      <c r="CB133" s="7" t="e">
        <f>VLOOKUP(C133,listaBolsa!$D$2:$BA$1248,2,0)</f>
        <v>#N/A</v>
      </c>
      <c r="CC133" s="7" t="e">
        <f>VLOOKUP(C133,listaBolsa!$D$2:$BA$1248,10,0)</f>
        <v>#N/A</v>
      </c>
      <c r="CD133" s="7" t="e">
        <f>VLOOKUP(C133,listaBolsa!$D$2:$BA$1248,14,0)</f>
        <v>#N/A</v>
      </c>
      <c r="CE133" s="7" t="e">
        <f>VLOOKUP(C133,listaBolsa!$D$2:$BA$1248,23,0)</f>
        <v>#N/A</v>
      </c>
      <c r="CF133" s="7" t="e">
        <f>VLOOKUP(C133,listaBolsa!$D$2:$BA$1248,29,0)</f>
        <v>#N/A</v>
      </c>
      <c r="CG133" s="7" t="e">
        <f>VLOOKUP(C133,listaBolsa!$D$2:$BA$1248,36,0)</f>
        <v>#N/A</v>
      </c>
      <c r="CH133" s="7" t="e">
        <f>VLOOKUP(C133,listaBolsa!$D$2:$BA$1248,40,0)</f>
        <v>#N/A</v>
      </c>
      <c r="CI133" s="7" t="e">
        <f>VLOOKUP(C133,listaBolsa!$D$2:$BA$1248,48,0)</f>
        <v>#N/A</v>
      </c>
      <c r="CJ133" s="7" t="e">
        <f t="shared" si="92"/>
        <v>#N/A</v>
      </c>
      <c r="CK133" s="7" t="e">
        <f t="shared" si="93"/>
        <v>#N/A</v>
      </c>
      <c r="CL133" s="7" t="e">
        <f t="shared" si="94"/>
        <v>#N/A</v>
      </c>
      <c r="CM133" s="7" t="e">
        <f t="shared" si="95"/>
        <v>#N/A</v>
      </c>
      <c r="CN133" s="7" t="e">
        <f t="shared" si="96"/>
        <v>#N/A</v>
      </c>
      <c r="CO133" s="7" t="e">
        <f t="shared" si="97"/>
        <v>#N/A</v>
      </c>
      <c r="CP133" s="7" t="e">
        <f t="shared" si="98"/>
        <v>#N/A</v>
      </c>
      <c r="CQ133" s="7" t="e">
        <f t="shared" si="99"/>
        <v>#N/A</v>
      </c>
      <c r="CR133" s="7" t="e">
        <f t="shared" si="100"/>
        <v>#N/A</v>
      </c>
    </row>
    <row r="134" spans="1:96" s="7" customFormat="1" ht="21" hidden="1" x14ac:dyDescent="0.25">
      <c r="A134" s="75" t="str">
        <f t="shared" si="75"/>
        <v/>
      </c>
      <c r="B134" s="91"/>
      <c r="C134" s="82"/>
      <c r="D134" s="75" t="str">
        <f>IF(C134="","",VLOOKUP(C134,listaBolsa!$D$2:$H$1118,2,0))</f>
        <v/>
      </c>
      <c r="E134" s="91" t="str">
        <f>IF(C134="","",VLOOKUP(C134,listaBolsa!$D$2:$H$1118,3,0))</f>
        <v/>
      </c>
      <c r="F134" s="92"/>
      <c r="G134" s="86" t="str">
        <f>IF(C134="","",VLOOKUP(C134,listaBolsa!$D$2:$H$1118,5,0))</f>
        <v/>
      </c>
      <c r="H134" s="89" t="str">
        <f>IF(C134="","",VLOOKUP(C134,listaBolsa!$D$2:$W$1118,10,0))</f>
        <v/>
      </c>
      <c r="I134" s="128" t="str">
        <f>IF(C134="","",VLOOKUP(C134,listaBolsa!$D$2:$W$1118,14,0))</f>
        <v/>
      </c>
      <c r="J134" s="129" t="e">
        <f t="shared" si="76"/>
        <v>#VALUE!</v>
      </c>
      <c r="K134" s="129" t="e">
        <f t="shared" si="77"/>
        <v>#VALUE!</v>
      </c>
      <c r="L134" s="129" t="str">
        <f t="shared" si="78"/>
        <v/>
      </c>
      <c r="M134" s="129" t="str">
        <f t="shared" si="79"/>
        <v/>
      </c>
      <c r="N134" s="90" t="str">
        <f>IF(C134="","",VLOOKUP(C134,listaBolsa!$D$2:$AZ$1276,23,0))</f>
        <v/>
      </c>
      <c r="O134" s="130" t="str">
        <f>IF(C134="","",VLOOKUP(C134,listaBolsa!$D$2:$AZ$1276,27,0))</f>
        <v/>
      </c>
      <c r="P134" s="131" t="e">
        <f t="shared" si="80"/>
        <v>#VALUE!</v>
      </c>
      <c r="Q134" s="131" t="e">
        <f t="shared" si="81"/>
        <v>#VALUE!</v>
      </c>
      <c r="R134" s="131" t="str">
        <f t="shared" si="82"/>
        <v/>
      </c>
      <c r="S134" s="131" t="str">
        <f t="shared" si="83"/>
        <v/>
      </c>
      <c r="T134" s="83" t="str">
        <f>IF(C134="","",VLOOKUP(C134,listaBolsa!$D$2:$BB$1276,36,0))</f>
        <v/>
      </c>
      <c r="U134" s="132" t="str">
        <f>IF(C134="","",VLOOKUP(C134,listaBolsa!$D$2:$BB$1276,40,0))</f>
        <v/>
      </c>
      <c r="V134" s="133" t="e">
        <f t="shared" si="84"/>
        <v>#VALUE!</v>
      </c>
      <c r="W134" s="133" t="e">
        <f t="shared" si="85"/>
        <v>#VALUE!</v>
      </c>
      <c r="X134" s="133" t="str">
        <f t="shared" si="86"/>
        <v/>
      </c>
      <c r="Y134" s="133" t="str">
        <f t="shared" si="87"/>
        <v/>
      </c>
      <c r="Z134" s="134" t="str">
        <f t="shared" si="88"/>
        <v/>
      </c>
      <c r="AA134" s="134" t="str">
        <f t="shared" si="89"/>
        <v/>
      </c>
      <c r="AB134" s="135" t="str">
        <f t="shared" si="90"/>
        <v/>
      </c>
      <c r="AC134" s="85" t="str">
        <f t="shared" si="91"/>
        <v/>
      </c>
      <c r="AD134" s="5"/>
      <c r="AF134" s="7" t="str">
        <f>IF(C134="","",VLOOKUP(C134,listaBolsa!$D$2:$BB$276,51,0))</f>
        <v/>
      </c>
      <c r="BG134" s="7">
        <v>124</v>
      </c>
      <c r="CA134" s="7" t="e">
        <f>VLOOKUP(C134,listaBolsa!$D$2:$BA$1248,1,0)</f>
        <v>#N/A</v>
      </c>
      <c r="CB134" s="7" t="e">
        <f>VLOOKUP(C134,listaBolsa!$D$2:$BA$1248,2,0)</f>
        <v>#N/A</v>
      </c>
      <c r="CC134" s="7" t="e">
        <f>VLOOKUP(C134,listaBolsa!$D$2:$BA$1248,10,0)</f>
        <v>#N/A</v>
      </c>
      <c r="CD134" s="7" t="e">
        <f>VLOOKUP(C134,listaBolsa!$D$2:$BA$1248,14,0)</f>
        <v>#N/A</v>
      </c>
      <c r="CE134" s="7" t="e">
        <f>VLOOKUP(C134,listaBolsa!$D$2:$BA$1248,23,0)</f>
        <v>#N/A</v>
      </c>
      <c r="CF134" s="7" t="e">
        <f>VLOOKUP(C134,listaBolsa!$D$2:$BA$1248,29,0)</f>
        <v>#N/A</v>
      </c>
      <c r="CG134" s="7" t="e">
        <f>VLOOKUP(C134,listaBolsa!$D$2:$BA$1248,36,0)</f>
        <v>#N/A</v>
      </c>
      <c r="CH134" s="7" t="e">
        <f>VLOOKUP(C134,listaBolsa!$D$2:$BA$1248,40,0)</f>
        <v>#N/A</v>
      </c>
      <c r="CI134" s="7" t="e">
        <f>VLOOKUP(C134,listaBolsa!$D$2:$BA$1248,48,0)</f>
        <v>#N/A</v>
      </c>
      <c r="CJ134" s="7" t="e">
        <f t="shared" si="92"/>
        <v>#N/A</v>
      </c>
      <c r="CK134" s="7" t="e">
        <f t="shared" si="93"/>
        <v>#N/A</v>
      </c>
      <c r="CL134" s="7" t="e">
        <f t="shared" si="94"/>
        <v>#N/A</v>
      </c>
      <c r="CM134" s="7" t="e">
        <f t="shared" si="95"/>
        <v>#N/A</v>
      </c>
      <c r="CN134" s="7" t="e">
        <f t="shared" si="96"/>
        <v>#N/A</v>
      </c>
      <c r="CO134" s="7" t="e">
        <f t="shared" si="97"/>
        <v>#N/A</v>
      </c>
      <c r="CP134" s="7" t="e">
        <f t="shared" si="98"/>
        <v>#N/A</v>
      </c>
      <c r="CQ134" s="7" t="e">
        <f t="shared" si="99"/>
        <v>#N/A</v>
      </c>
      <c r="CR134" s="7" t="e">
        <f t="shared" si="100"/>
        <v>#N/A</v>
      </c>
    </row>
    <row r="135" spans="1:96" s="7" customFormat="1" ht="21" hidden="1" x14ac:dyDescent="0.25">
      <c r="A135" s="75" t="str">
        <f t="shared" si="75"/>
        <v/>
      </c>
      <c r="B135" s="91"/>
      <c r="C135" s="82"/>
      <c r="D135" s="75" t="str">
        <f>IF(C135="","",VLOOKUP(C135,listaBolsa!$D$2:$H$1118,2,0))</f>
        <v/>
      </c>
      <c r="E135" s="91" t="str">
        <f>IF(C135="","",VLOOKUP(C135,listaBolsa!$D$2:$H$1118,3,0))</f>
        <v/>
      </c>
      <c r="F135" s="92"/>
      <c r="G135" s="86" t="str">
        <f>IF(C135="","",VLOOKUP(C135,listaBolsa!$D$2:$H$1118,5,0))</f>
        <v/>
      </c>
      <c r="H135" s="89" t="str">
        <f>IF(C135="","",VLOOKUP(C135,listaBolsa!$D$2:$W$1118,10,0))</f>
        <v/>
      </c>
      <c r="I135" s="128" t="str">
        <f>IF(C135="","",VLOOKUP(C135,listaBolsa!$D$2:$W$1118,14,0))</f>
        <v/>
      </c>
      <c r="J135" s="129" t="e">
        <f t="shared" si="76"/>
        <v>#VALUE!</v>
      </c>
      <c r="K135" s="129" t="e">
        <f t="shared" si="77"/>
        <v>#VALUE!</v>
      </c>
      <c r="L135" s="129" t="str">
        <f t="shared" si="78"/>
        <v/>
      </c>
      <c r="M135" s="129" t="str">
        <f t="shared" si="79"/>
        <v/>
      </c>
      <c r="N135" s="90" t="str">
        <f>IF(C135="","",VLOOKUP(C135,listaBolsa!$D$2:$AZ$1276,23,0))</f>
        <v/>
      </c>
      <c r="O135" s="130" t="str">
        <f>IF(C135="","",VLOOKUP(C135,listaBolsa!$D$2:$AZ$1276,27,0))</f>
        <v/>
      </c>
      <c r="P135" s="131" t="e">
        <f t="shared" si="80"/>
        <v>#VALUE!</v>
      </c>
      <c r="Q135" s="131" t="e">
        <f t="shared" si="81"/>
        <v>#VALUE!</v>
      </c>
      <c r="R135" s="131" t="str">
        <f t="shared" si="82"/>
        <v/>
      </c>
      <c r="S135" s="131" t="str">
        <f t="shared" si="83"/>
        <v/>
      </c>
      <c r="T135" s="83" t="str">
        <f>IF(C135="","",VLOOKUP(C135,listaBolsa!$D$2:$BB$1276,36,0))</f>
        <v/>
      </c>
      <c r="U135" s="132" t="str">
        <f>IF(C135="","",VLOOKUP(C135,listaBolsa!$D$2:$BB$1276,40,0))</f>
        <v/>
      </c>
      <c r="V135" s="133" t="e">
        <f t="shared" si="84"/>
        <v>#VALUE!</v>
      </c>
      <c r="W135" s="133" t="e">
        <f t="shared" si="85"/>
        <v>#VALUE!</v>
      </c>
      <c r="X135" s="133" t="str">
        <f t="shared" si="86"/>
        <v/>
      </c>
      <c r="Y135" s="133" t="str">
        <f t="shared" si="87"/>
        <v/>
      </c>
      <c r="Z135" s="134" t="str">
        <f t="shared" si="88"/>
        <v/>
      </c>
      <c r="AA135" s="134" t="str">
        <f t="shared" si="89"/>
        <v/>
      </c>
      <c r="AB135" s="135" t="str">
        <f t="shared" si="90"/>
        <v/>
      </c>
      <c r="AC135" s="85" t="str">
        <f t="shared" si="91"/>
        <v/>
      </c>
      <c r="AD135" s="5"/>
      <c r="AF135" s="7" t="str">
        <f>IF(C135="","",VLOOKUP(C135,listaBolsa!$D$2:$BB$276,51,0))</f>
        <v/>
      </c>
      <c r="BG135" s="7">
        <v>125</v>
      </c>
      <c r="CA135" s="7" t="e">
        <f>VLOOKUP(C135,listaBolsa!$D$2:$BA$1248,1,0)</f>
        <v>#N/A</v>
      </c>
      <c r="CB135" s="7" t="e">
        <f>VLOOKUP(C135,listaBolsa!$D$2:$BA$1248,2,0)</f>
        <v>#N/A</v>
      </c>
      <c r="CC135" s="7" t="e">
        <f>VLOOKUP(C135,listaBolsa!$D$2:$BA$1248,10,0)</f>
        <v>#N/A</v>
      </c>
      <c r="CD135" s="7" t="e">
        <f>VLOOKUP(C135,listaBolsa!$D$2:$BA$1248,14,0)</f>
        <v>#N/A</v>
      </c>
      <c r="CE135" s="7" t="e">
        <f>VLOOKUP(C135,listaBolsa!$D$2:$BA$1248,23,0)</f>
        <v>#N/A</v>
      </c>
      <c r="CF135" s="7" t="e">
        <f>VLOOKUP(C135,listaBolsa!$D$2:$BA$1248,29,0)</f>
        <v>#N/A</v>
      </c>
      <c r="CG135" s="7" t="e">
        <f>VLOOKUP(C135,listaBolsa!$D$2:$BA$1248,36,0)</f>
        <v>#N/A</v>
      </c>
      <c r="CH135" s="7" t="e">
        <f>VLOOKUP(C135,listaBolsa!$D$2:$BA$1248,40,0)</f>
        <v>#N/A</v>
      </c>
      <c r="CI135" s="7" t="e">
        <f>VLOOKUP(C135,listaBolsa!$D$2:$BA$1248,48,0)</f>
        <v>#N/A</v>
      </c>
      <c r="CJ135" s="7" t="e">
        <f t="shared" si="92"/>
        <v>#N/A</v>
      </c>
      <c r="CK135" s="7" t="e">
        <f t="shared" si="93"/>
        <v>#N/A</v>
      </c>
      <c r="CL135" s="7" t="e">
        <f t="shared" si="94"/>
        <v>#N/A</v>
      </c>
      <c r="CM135" s="7" t="e">
        <f t="shared" si="95"/>
        <v>#N/A</v>
      </c>
      <c r="CN135" s="7" t="e">
        <f t="shared" si="96"/>
        <v>#N/A</v>
      </c>
      <c r="CO135" s="7" t="e">
        <f t="shared" si="97"/>
        <v>#N/A</v>
      </c>
      <c r="CP135" s="7" t="e">
        <f t="shared" si="98"/>
        <v>#N/A</v>
      </c>
      <c r="CQ135" s="7" t="e">
        <f t="shared" si="99"/>
        <v>#N/A</v>
      </c>
      <c r="CR135" s="7" t="e">
        <f t="shared" si="100"/>
        <v>#N/A</v>
      </c>
    </row>
    <row r="136" spans="1:96" s="7" customFormat="1" ht="21" hidden="1" x14ac:dyDescent="0.25">
      <c r="A136" s="75" t="str">
        <f t="shared" si="75"/>
        <v/>
      </c>
      <c r="B136" s="91"/>
      <c r="C136" s="82"/>
      <c r="D136" s="75" t="str">
        <f>IF(C136="","",VLOOKUP(C136,listaBolsa!$D$2:$H$1118,2,0))</f>
        <v/>
      </c>
      <c r="E136" s="91" t="str">
        <f>IF(C136="","",VLOOKUP(C136,listaBolsa!$D$2:$H$1118,3,0))</f>
        <v/>
      </c>
      <c r="F136" s="92"/>
      <c r="G136" s="86" t="str">
        <f>IF(C136="","",VLOOKUP(C136,listaBolsa!$D$2:$H$1118,5,0))</f>
        <v/>
      </c>
      <c r="H136" s="89" t="str">
        <f>IF(C136="","",VLOOKUP(C136,listaBolsa!$D$2:$W$1118,10,0))</f>
        <v/>
      </c>
      <c r="I136" s="128" t="str">
        <f>IF(C136="","",VLOOKUP(C136,listaBolsa!$D$2:$W$1118,14,0))</f>
        <v/>
      </c>
      <c r="J136" s="129" t="e">
        <f t="shared" si="76"/>
        <v>#VALUE!</v>
      </c>
      <c r="K136" s="129" t="e">
        <f t="shared" si="77"/>
        <v>#VALUE!</v>
      </c>
      <c r="L136" s="129" t="str">
        <f t="shared" si="78"/>
        <v/>
      </c>
      <c r="M136" s="129" t="str">
        <f t="shared" si="79"/>
        <v/>
      </c>
      <c r="N136" s="90" t="str">
        <f>IF(C136="","",VLOOKUP(C136,listaBolsa!$D$2:$AZ$1276,23,0))</f>
        <v/>
      </c>
      <c r="O136" s="130" t="str">
        <f>IF(C136="","",VLOOKUP(C136,listaBolsa!$D$2:$AZ$1276,27,0))</f>
        <v/>
      </c>
      <c r="P136" s="131" t="e">
        <f t="shared" si="80"/>
        <v>#VALUE!</v>
      </c>
      <c r="Q136" s="131" t="e">
        <f t="shared" si="81"/>
        <v>#VALUE!</v>
      </c>
      <c r="R136" s="131" t="str">
        <f t="shared" si="82"/>
        <v/>
      </c>
      <c r="S136" s="131" t="str">
        <f t="shared" si="83"/>
        <v/>
      </c>
      <c r="T136" s="83" t="str">
        <f>IF(C136="","",VLOOKUP(C136,listaBolsa!$D$2:$BB$1276,36,0))</f>
        <v/>
      </c>
      <c r="U136" s="132" t="str">
        <f>IF(C136="","",VLOOKUP(C136,listaBolsa!$D$2:$BB$1276,40,0))</f>
        <v/>
      </c>
      <c r="V136" s="133" t="e">
        <f t="shared" si="84"/>
        <v>#VALUE!</v>
      </c>
      <c r="W136" s="133" t="e">
        <f t="shared" si="85"/>
        <v>#VALUE!</v>
      </c>
      <c r="X136" s="133" t="str">
        <f t="shared" si="86"/>
        <v/>
      </c>
      <c r="Y136" s="133" t="str">
        <f t="shared" si="87"/>
        <v/>
      </c>
      <c r="Z136" s="134" t="str">
        <f t="shared" si="88"/>
        <v/>
      </c>
      <c r="AA136" s="134" t="str">
        <f t="shared" si="89"/>
        <v/>
      </c>
      <c r="AB136" s="135" t="str">
        <f t="shared" si="90"/>
        <v/>
      </c>
      <c r="AC136" s="85" t="str">
        <f t="shared" si="91"/>
        <v/>
      </c>
      <c r="AD136" s="5"/>
      <c r="AF136" s="7" t="str">
        <f>IF(C136="","",VLOOKUP(C136,listaBolsa!$D$2:$BB$276,51,0))</f>
        <v/>
      </c>
      <c r="BG136" s="7">
        <v>126</v>
      </c>
      <c r="CA136" s="7" t="e">
        <f>VLOOKUP(C136,listaBolsa!$D$2:$BA$1248,1,0)</f>
        <v>#N/A</v>
      </c>
      <c r="CB136" s="7" t="e">
        <f>VLOOKUP(C136,listaBolsa!$D$2:$BA$1248,2,0)</f>
        <v>#N/A</v>
      </c>
      <c r="CC136" s="7" t="e">
        <f>VLOOKUP(C136,listaBolsa!$D$2:$BA$1248,10,0)</f>
        <v>#N/A</v>
      </c>
      <c r="CD136" s="7" t="e">
        <f>VLOOKUP(C136,listaBolsa!$D$2:$BA$1248,14,0)</f>
        <v>#N/A</v>
      </c>
      <c r="CE136" s="7" t="e">
        <f>VLOOKUP(C136,listaBolsa!$D$2:$BA$1248,23,0)</f>
        <v>#N/A</v>
      </c>
      <c r="CF136" s="7" t="e">
        <f>VLOOKUP(C136,listaBolsa!$D$2:$BA$1248,29,0)</f>
        <v>#N/A</v>
      </c>
      <c r="CG136" s="7" t="e">
        <f>VLOOKUP(C136,listaBolsa!$D$2:$BA$1248,36,0)</f>
        <v>#N/A</v>
      </c>
      <c r="CH136" s="7" t="e">
        <f>VLOOKUP(C136,listaBolsa!$D$2:$BA$1248,40,0)</f>
        <v>#N/A</v>
      </c>
      <c r="CI136" s="7" t="e">
        <f>VLOOKUP(C136,listaBolsa!$D$2:$BA$1248,48,0)</f>
        <v>#N/A</v>
      </c>
      <c r="CJ136" s="7" t="e">
        <f t="shared" si="92"/>
        <v>#N/A</v>
      </c>
      <c r="CK136" s="7" t="e">
        <f t="shared" si="93"/>
        <v>#N/A</v>
      </c>
      <c r="CL136" s="7" t="e">
        <f t="shared" si="94"/>
        <v>#N/A</v>
      </c>
      <c r="CM136" s="7" t="e">
        <f t="shared" si="95"/>
        <v>#N/A</v>
      </c>
      <c r="CN136" s="7" t="e">
        <f t="shared" si="96"/>
        <v>#N/A</v>
      </c>
      <c r="CO136" s="7" t="e">
        <f t="shared" si="97"/>
        <v>#N/A</v>
      </c>
      <c r="CP136" s="7" t="e">
        <f t="shared" si="98"/>
        <v>#N/A</v>
      </c>
      <c r="CQ136" s="7" t="e">
        <f t="shared" si="99"/>
        <v>#N/A</v>
      </c>
      <c r="CR136" s="7" t="e">
        <f t="shared" si="100"/>
        <v>#N/A</v>
      </c>
    </row>
    <row r="137" spans="1:96" s="7" customFormat="1" ht="21" hidden="1" x14ac:dyDescent="0.25">
      <c r="A137" s="75" t="str">
        <f t="shared" si="75"/>
        <v/>
      </c>
      <c r="B137" s="91"/>
      <c r="C137" s="82"/>
      <c r="D137" s="75" t="str">
        <f>IF(C137="","",VLOOKUP(C137,listaBolsa!$D$2:$H$1118,2,0))</f>
        <v/>
      </c>
      <c r="E137" s="91" t="str">
        <f>IF(C137="","",VLOOKUP(C137,listaBolsa!$D$2:$H$1118,3,0))</f>
        <v/>
      </c>
      <c r="F137" s="92"/>
      <c r="G137" s="86" t="str">
        <f>IF(C137="","",VLOOKUP(C137,listaBolsa!$D$2:$H$1118,5,0))</f>
        <v/>
      </c>
      <c r="H137" s="89" t="str">
        <f>IF(C137="","",VLOOKUP(C137,listaBolsa!$D$2:$W$1118,10,0))</f>
        <v/>
      </c>
      <c r="I137" s="128" t="str">
        <f>IF(C137="","",VLOOKUP(C137,listaBolsa!$D$2:$W$1118,14,0))</f>
        <v/>
      </c>
      <c r="J137" s="129" t="e">
        <f t="shared" si="76"/>
        <v>#VALUE!</v>
      </c>
      <c r="K137" s="129" t="e">
        <f t="shared" si="77"/>
        <v>#VALUE!</v>
      </c>
      <c r="L137" s="129" t="str">
        <f t="shared" si="78"/>
        <v/>
      </c>
      <c r="M137" s="129" t="str">
        <f t="shared" si="79"/>
        <v/>
      </c>
      <c r="N137" s="90" t="str">
        <f>IF(C137="","",VLOOKUP(C137,listaBolsa!$D$2:$AZ$1276,23,0))</f>
        <v/>
      </c>
      <c r="O137" s="130" t="str">
        <f>IF(C137="","",VLOOKUP(C137,listaBolsa!$D$2:$AZ$1276,27,0))</f>
        <v/>
      </c>
      <c r="P137" s="131" t="e">
        <f t="shared" si="80"/>
        <v>#VALUE!</v>
      </c>
      <c r="Q137" s="131" t="e">
        <f t="shared" si="81"/>
        <v>#VALUE!</v>
      </c>
      <c r="R137" s="131" t="str">
        <f t="shared" si="82"/>
        <v/>
      </c>
      <c r="S137" s="131" t="str">
        <f t="shared" si="83"/>
        <v/>
      </c>
      <c r="T137" s="83" t="str">
        <f>IF(C137="","",VLOOKUP(C137,listaBolsa!$D$2:$BB$1276,36,0))</f>
        <v/>
      </c>
      <c r="U137" s="132" t="str">
        <f>IF(C137="","",VLOOKUP(C137,listaBolsa!$D$2:$BB$1276,40,0))</f>
        <v/>
      </c>
      <c r="V137" s="133" t="e">
        <f t="shared" si="84"/>
        <v>#VALUE!</v>
      </c>
      <c r="W137" s="133" t="e">
        <f t="shared" si="85"/>
        <v>#VALUE!</v>
      </c>
      <c r="X137" s="133" t="str">
        <f t="shared" si="86"/>
        <v/>
      </c>
      <c r="Y137" s="133" t="str">
        <f t="shared" si="87"/>
        <v/>
      </c>
      <c r="Z137" s="134" t="str">
        <f t="shared" si="88"/>
        <v/>
      </c>
      <c r="AA137" s="134" t="str">
        <f t="shared" si="89"/>
        <v/>
      </c>
      <c r="AB137" s="135" t="str">
        <f t="shared" si="90"/>
        <v/>
      </c>
      <c r="AC137" s="85" t="str">
        <f t="shared" si="91"/>
        <v/>
      </c>
      <c r="AD137" s="5"/>
      <c r="AF137" s="7" t="str">
        <f>IF(C137="","",VLOOKUP(C137,listaBolsa!$D$2:$BB$276,51,0))</f>
        <v/>
      </c>
      <c r="BG137" s="7">
        <v>127</v>
      </c>
      <c r="CA137" s="7" t="e">
        <f>VLOOKUP(C137,listaBolsa!$D$2:$BA$1248,1,0)</f>
        <v>#N/A</v>
      </c>
      <c r="CB137" s="7" t="e">
        <f>VLOOKUP(C137,listaBolsa!$D$2:$BA$1248,2,0)</f>
        <v>#N/A</v>
      </c>
      <c r="CC137" s="7" t="e">
        <f>VLOOKUP(C137,listaBolsa!$D$2:$BA$1248,10,0)</f>
        <v>#N/A</v>
      </c>
      <c r="CD137" s="7" t="e">
        <f>VLOOKUP(C137,listaBolsa!$D$2:$BA$1248,14,0)</f>
        <v>#N/A</v>
      </c>
      <c r="CE137" s="7" t="e">
        <f>VLOOKUP(C137,listaBolsa!$D$2:$BA$1248,23,0)</f>
        <v>#N/A</v>
      </c>
      <c r="CF137" s="7" t="e">
        <f>VLOOKUP(C137,listaBolsa!$D$2:$BA$1248,29,0)</f>
        <v>#N/A</v>
      </c>
      <c r="CG137" s="7" t="e">
        <f>VLOOKUP(C137,listaBolsa!$D$2:$BA$1248,36,0)</f>
        <v>#N/A</v>
      </c>
      <c r="CH137" s="7" t="e">
        <f>VLOOKUP(C137,listaBolsa!$D$2:$BA$1248,40,0)</f>
        <v>#N/A</v>
      </c>
      <c r="CI137" s="7" t="e">
        <f>VLOOKUP(C137,listaBolsa!$D$2:$BA$1248,48,0)</f>
        <v>#N/A</v>
      </c>
      <c r="CJ137" s="7" t="e">
        <f t="shared" si="92"/>
        <v>#N/A</v>
      </c>
      <c r="CK137" s="7" t="e">
        <f t="shared" si="93"/>
        <v>#N/A</v>
      </c>
      <c r="CL137" s="7" t="e">
        <f t="shared" si="94"/>
        <v>#N/A</v>
      </c>
      <c r="CM137" s="7" t="e">
        <f t="shared" si="95"/>
        <v>#N/A</v>
      </c>
      <c r="CN137" s="7" t="e">
        <f t="shared" si="96"/>
        <v>#N/A</v>
      </c>
      <c r="CO137" s="7" t="e">
        <f t="shared" si="97"/>
        <v>#N/A</v>
      </c>
      <c r="CP137" s="7" t="e">
        <f t="shared" si="98"/>
        <v>#N/A</v>
      </c>
      <c r="CQ137" s="7" t="e">
        <f t="shared" si="99"/>
        <v>#N/A</v>
      </c>
      <c r="CR137" s="7" t="e">
        <f t="shared" si="100"/>
        <v>#N/A</v>
      </c>
    </row>
    <row r="138" spans="1:96" s="7" customFormat="1" ht="21" x14ac:dyDescent="0.25">
      <c r="A138" s="292" t="s">
        <v>52</v>
      </c>
      <c r="B138" s="292"/>
      <c r="C138" s="292"/>
      <c r="D138" s="292"/>
      <c r="E138" s="292"/>
      <c r="F138" s="292"/>
      <c r="G138" s="292"/>
      <c r="H138" s="292"/>
      <c r="I138" s="292"/>
      <c r="J138" s="292"/>
      <c r="K138" s="292"/>
      <c r="L138" s="292"/>
      <c r="M138" s="292"/>
      <c r="N138" s="292"/>
      <c r="O138" s="292"/>
      <c r="P138" s="292"/>
      <c r="Q138" s="292"/>
      <c r="R138" s="292"/>
      <c r="S138" s="292"/>
      <c r="T138" s="292"/>
      <c r="U138" s="292"/>
      <c r="V138" s="292"/>
      <c r="W138" s="292"/>
      <c r="X138" s="292"/>
      <c r="Y138" s="292"/>
      <c r="Z138" s="292"/>
      <c r="AA138" s="78">
        <f>SUM(AA11:AA18)</f>
        <v>678339602</v>
      </c>
    </row>
    <row r="139" spans="1:96" x14ac:dyDescent="0.25">
      <c r="L139" s="70"/>
      <c r="M139" s="70"/>
    </row>
    <row r="140" spans="1:96" s="7" customFormat="1" ht="28.9" customHeight="1" x14ac:dyDescent="0.25">
      <c r="A140" s="276" t="s">
        <v>53</v>
      </c>
      <c r="B140" s="276"/>
      <c r="C140" s="276"/>
      <c r="D140" s="276"/>
      <c r="E140" s="276"/>
      <c r="F140" s="276"/>
      <c r="G140" s="276"/>
      <c r="H140" s="3"/>
      <c r="I140" s="3"/>
      <c r="J140" s="3"/>
      <c r="K140" s="3"/>
      <c r="L140" s="70"/>
      <c r="M140" s="70"/>
      <c r="N140" s="3"/>
      <c r="O140" s="3"/>
      <c r="P140" s="3"/>
      <c r="Q140" s="3"/>
      <c r="R140" s="3"/>
      <c r="S140" s="3"/>
      <c r="T140" s="3"/>
      <c r="U140" s="3"/>
      <c r="V140" s="3"/>
      <c r="W140" s="3"/>
      <c r="X140" s="3"/>
      <c r="Y140" s="3"/>
      <c r="Z140" s="3"/>
      <c r="AA140" s="3"/>
      <c r="AB140" s="3"/>
      <c r="AC140" s="3"/>
      <c r="AD140" s="3"/>
      <c r="AE140" s="3"/>
      <c r="AF140" s="3"/>
    </row>
    <row r="141" spans="1:96" s="7" customFormat="1" x14ac:dyDescent="0.25">
      <c r="A141" s="84"/>
      <c r="B141" s="84"/>
      <c r="C141" s="84"/>
      <c r="D141" s="84"/>
      <c r="E141" s="84"/>
      <c r="F141" s="84"/>
      <c r="G141" s="84"/>
      <c r="H141" s="3"/>
      <c r="I141" s="3"/>
      <c r="J141" s="3"/>
      <c r="K141" s="3"/>
      <c r="L141" s="70"/>
      <c r="M141" s="70"/>
      <c r="N141" s="3"/>
      <c r="O141" s="3"/>
      <c r="P141" s="3"/>
      <c r="Q141" s="3"/>
      <c r="R141" s="3"/>
      <c r="S141" s="3"/>
      <c r="T141" s="3"/>
      <c r="U141" s="3"/>
      <c r="V141" s="3"/>
      <c r="W141" s="3"/>
      <c r="X141" s="3"/>
      <c r="Y141" s="3"/>
      <c r="Z141" s="3"/>
      <c r="AA141" s="3"/>
      <c r="AB141" s="3"/>
      <c r="AC141" s="3"/>
      <c r="AD141" s="3"/>
      <c r="AE141" s="3"/>
      <c r="AF141" s="3"/>
    </row>
    <row r="142" spans="1:96" s="10" customFormat="1" ht="72" x14ac:dyDescent="0.25">
      <c r="A142" s="79" t="s">
        <v>27</v>
      </c>
      <c r="B142" s="79" t="s">
        <v>28</v>
      </c>
      <c r="C142" s="79" t="s">
        <v>54</v>
      </c>
      <c r="D142" s="79" t="s">
        <v>55</v>
      </c>
      <c r="E142" s="79" t="s">
        <v>30</v>
      </c>
      <c r="F142" s="79" t="s">
        <v>31</v>
      </c>
      <c r="G142" s="80" t="s">
        <v>56</v>
      </c>
      <c r="H142" s="80" t="s">
        <v>57</v>
      </c>
      <c r="I142" s="80" t="s">
        <v>58</v>
      </c>
      <c r="J142" s="80" t="s">
        <v>59</v>
      </c>
      <c r="K142" s="272" t="s">
        <v>41</v>
      </c>
      <c r="L142" s="272"/>
      <c r="M142" s="272"/>
      <c r="N142" s="272"/>
      <c r="O142" s="70"/>
      <c r="P142" s="70"/>
      <c r="Q142" s="70"/>
      <c r="R142" s="70"/>
      <c r="S142" s="70"/>
      <c r="T142" s="70"/>
      <c r="U142" s="70"/>
      <c r="V142" s="70"/>
      <c r="AR142" s="7"/>
    </row>
    <row r="143" spans="1:96" s="7" customFormat="1" ht="195.4" customHeight="1" x14ac:dyDescent="0.25">
      <c r="A143" s="75" t="s">
        <v>1366</v>
      </c>
      <c r="B143" s="91" t="s">
        <v>1371</v>
      </c>
      <c r="C143" s="75" t="s">
        <v>1372</v>
      </c>
      <c r="D143" s="75" t="s">
        <v>1373</v>
      </c>
      <c r="E143" s="91" t="s">
        <v>60</v>
      </c>
      <c r="F143" s="92">
        <v>1</v>
      </c>
      <c r="G143" s="81">
        <v>7</v>
      </c>
      <c r="H143" s="76" t="s">
        <v>61</v>
      </c>
      <c r="I143" s="77">
        <v>8760000</v>
      </c>
      <c r="J143" s="77">
        <f t="shared" ref="J143" si="101">I143*F143*G143</f>
        <v>61320000</v>
      </c>
      <c r="K143" s="273" t="s">
        <v>1391</v>
      </c>
      <c r="L143" s="273"/>
      <c r="M143" s="273"/>
      <c r="N143" s="273"/>
      <c r="O143" s="70"/>
      <c r="P143" s="70"/>
      <c r="Q143" s="70"/>
      <c r="R143" s="70"/>
      <c r="S143" s="70"/>
      <c r="T143" s="295" t="s">
        <v>1392</v>
      </c>
      <c r="U143" s="295"/>
      <c r="V143" s="295"/>
      <c r="W143" s="295"/>
      <c r="X143" s="295"/>
      <c r="Y143" s="295"/>
      <c r="Z143" s="298" t="s">
        <v>63</v>
      </c>
      <c r="AA143" s="300">
        <f>SUM(AA138,J148)</f>
        <v>899999995</v>
      </c>
      <c r="AR143" s="7">
        <v>1</v>
      </c>
    </row>
    <row r="144" spans="1:96" s="7" customFormat="1" ht="129" customHeight="1" x14ac:dyDescent="0.25">
      <c r="A144" s="75" t="s">
        <v>1367</v>
      </c>
      <c r="B144" s="91" t="s">
        <v>1371</v>
      </c>
      <c r="C144" s="75" t="s">
        <v>1374</v>
      </c>
      <c r="D144" s="75" t="s">
        <v>1378</v>
      </c>
      <c r="E144" s="91" t="s">
        <v>60</v>
      </c>
      <c r="F144" s="92">
        <v>1</v>
      </c>
      <c r="G144" s="81">
        <v>7</v>
      </c>
      <c r="H144" s="76" t="s">
        <v>61</v>
      </c>
      <c r="I144" s="77">
        <f>6550000+207199</f>
        <v>6757199</v>
      </c>
      <c r="J144" s="77">
        <f t="shared" ref="J144:J147" si="102">I144*F144*G144</f>
        <v>47300393</v>
      </c>
      <c r="K144" s="273" t="s">
        <v>1391</v>
      </c>
      <c r="L144" s="273"/>
      <c r="M144" s="273"/>
      <c r="N144" s="273"/>
      <c r="O144" s="70"/>
      <c r="P144" s="70"/>
      <c r="Q144" s="70"/>
      <c r="R144" s="70"/>
      <c r="S144" s="70"/>
      <c r="T144" s="296"/>
      <c r="U144" s="296"/>
      <c r="V144" s="296"/>
      <c r="W144" s="296"/>
      <c r="X144" s="296"/>
      <c r="Y144" s="296"/>
      <c r="Z144" s="299"/>
      <c r="AA144" s="301"/>
      <c r="AR144" s="7">
        <v>2</v>
      </c>
    </row>
    <row r="145" spans="1:27" s="7" customFormat="1" ht="91.15" customHeight="1" x14ac:dyDescent="0.25">
      <c r="A145" s="75" t="s">
        <v>1368</v>
      </c>
      <c r="B145" s="91" t="s">
        <v>1371</v>
      </c>
      <c r="C145" s="75" t="s">
        <v>1375</v>
      </c>
      <c r="D145" s="75" t="s">
        <v>1379</v>
      </c>
      <c r="E145" s="91" t="s">
        <v>60</v>
      </c>
      <c r="F145" s="92">
        <v>2</v>
      </c>
      <c r="G145" s="81">
        <v>6</v>
      </c>
      <c r="H145" s="76" t="s">
        <v>61</v>
      </c>
      <c r="I145" s="77">
        <v>3095000</v>
      </c>
      <c r="J145" s="77">
        <f t="shared" si="102"/>
        <v>37140000</v>
      </c>
      <c r="K145" s="273" t="s">
        <v>1391</v>
      </c>
      <c r="L145" s="273"/>
      <c r="M145" s="273"/>
      <c r="N145" s="273"/>
      <c r="O145" s="70"/>
      <c r="P145" s="70"/>
      <c r="Q145" s="70"/>
      <c r="R145" s="70"/>
      <c r="S145" s="70"/>
      <c r="T145" s="297"/>
      <c r="U145" s="297"/>
      <c r="V145" s="297"/>
      <c r="W145" s="297"/>
      <c r="X145" s="297"/>
      <c r="Y145" s="297"/>
      <c r="Z145" s="299"/>
      <c r="AA145" s="301"/>
    </row>
    <row r="146" spans="1:27" s="7" customFormat="1" ht="409.5" customHeight="1" x14ac:dyDescent="0.25">
      <c r="A146" s="75" t="s">
        <v>1369</v>
      </c>
      <c r="B146" s="91" t="s">
        <v>1371</v>
      </c>
      <c r="C146" s="75" t="s">
        <v>1376</v>
      </c>
      <c r="D146" s="75" t="s">
        <v>1381</v>
      </c>
      <c r="E146" s="91" t="s">
        <v>60</v>
      </c>
      <c r="F146" s="92">
        <v>1</v>
      </c>
      <c r="G146" s="81">
        <v>5</v>
      </c>
      <c r="H146" s="76" t="s">
        <v>61</v>
      </c>
      <c r="I146" s="77">
        <v>7590000</v>
      </c>
      <c r="J146" s="77">
        <f t="shared" si="102"/>
        <v>37950000</v>
      </c>
      <c r="K146" s="275" t="s">
        <v>1393</v>
      </c>
      <c r="L146" s="275"/>
      <c r="M146" s="275"/>
      <c r="N146" s="275"/>
      <c r="O146" s="70"/>
      <c r="P146" s="70"/>
      <c r="Q146" s="70"/>
      <c r="R146" s="70"/>
      <c r="S146" s="70"/>
      <c r="T146" s="297"/>
      <c r="U146" s="297"/>
      <c r="V146" s="297"/>
      <c r="W146" s="297"/>
      <c r="X146" s="297"/>
      <c r="Y146" s="297"/>
      <c r="Z146" s="299"/>
      <c r="AA146" s="301"/>
    </row>
    <row r="147" spans="1:27" s="7" customFormat="1" ht="381.75" customHeight="1" x14ac:dyDescent="0.25">
      <c r="A147" s="75" t="s">
        <v>1370</v>
      </c>
      <c r="B147" s="91" t="s">
        <v>1371</v>
      </c>
      <c r="C147" s="75" t="s">
        <v>1377</v>
      </c>
      <c r="D147" s="75" t="s">
        <v>1380</v>
      </c>
      <c r="E147" s="91" t="s">
        <v>60</v>
      </c>
      <c r="F147" s="92">
        <v>1</v>
      </c>
      <c r="G147" s="81">
        <v>5</v>
      </c>
      <c r="H147" s="76" t="s">
        <v>61</v>
      </c>
      <c r="I147" s="77">
        <v>7590000</v>
      </c>
      <c r="J147" s="77">
        <f t="shared" si="102"/>
        <v>37950000</v>
      </c>
      <c r="K147" s="275" t="s">
        <v>1393</v>
      </c>
      <c r="L147" s="275"/>
      <c r="M147" s="275"/>
      <c r="N147" s="275"/>
      <c r="O147" s="70"/>
      <c r="P147" s="70"/>
      <c r="Q147" s="70"/>
      <c r="R147" s="70"/>
      <c r="S147" s="70"/>
      <c r="T147" s="297"/>
      <c r="U147" s="297"/>
      <c r="V147" s="297"/>
      <c r="W147" s="297"/>
      <c r="X147" s="297"/>
      <c r="Y147" s="297"/>
      <c r="Z147" s="299"/>
      <c r="AA147" s="301"/>
    </row>
    <row r="148" spans="1:27" s="7" customFormat="1" ht="63" customHeight="1" x14ac:dyDescent="0.25">
      <c r="A148" s="269" t="s">
        <v>64</v>
      </c>
      <c r="B148" s="269"/>
      <c r="C148" s="269"/>
      <c r="D148" s="269"/>
      <c r="E148" s="269"/>
      <c r="F148" s="269"/>
      <c r="G148" s="269"/>
      <c r="H148" s="269"/>
      <c r="I148" s="78">
        <f>SUM(I143:I147)</f>
        <v>33792199</v>
      </c>
      <c r="J148" s="78">
        <f>SUM(J143:J147)</f>
        <v>221660393</v>
      </c>
      <c r="K148" s="70"/>
      <c r="L148" s="70"/>
    </row>
    <row r="149" spans="1:27" x14ac:dyDescent="0.25">
      <c r="L149" s="70"/>
      <c r="M149" s="70"/>
    </row>
    <row r="150" spans="1:27" x14ac:dyDescent="0.25">
      <c r="L150" s="70"/>
      <c r="M150" s="70"/>
    </row>
    <row r="151" spans="1:27" x14ac:dyDescent="0.25">
      <c r="L151" s="70"/>
      <c r="M151" s="70"/>
      <c r="P151" s="93"/>
      <c r="Q151" s="93"/>
      <c r="R151" s="93"/>
    </row>
    <row r="152" spans="1:27" x14ac:dyDescent="0.25">
      <c r="L152" s="70"/>
      <c r="M152" s="70"/>
    </row>
    <row r="153" spans="1:27" x14ac:dyDescent="0.25"/>
    <row r="154" spans="1:27" x14ac:dyDescent="0.25">
      <c r="N154" s="3" t="s">
        <v>65</v>
      </c>
    </row>
  </sheetData>
  <sheetProtection formatColumns="0" formatRows="0" insertColumns="0" insertRows="0" autoFilter="0"/>
  <mergeCells count="29">
    <mergeCell ref="T144:Y147"/>
    <mergeCell ref="Z143:Z147"/>
    <mergeCell ref="AA143:AA147"/>
    <mergeCell ref="A148:H148"/>
    <mergeCell ref="A140:G140"/>
    <mergeCell ref="K146:N146"/>
    <mergeCell ref="K147:N147"/>
    <mergeCell ref="K144:N144"/>
    <mergeCell ref="K145:N145"/>
    <mergeCell ref="Z4:AA4"/>
    <mergeCell ref="Z5:AA5"/>
    <mergeCell ref="Z6:AA6"/>
    <mergeCell ref="N9:S9"/>
    <mergeCell ref="T9:Y9"/>
    <mergeCell ref="N3:W6"/>
    <mergeCell ref="A3:M3"/>
    <mergeCell ref="A4:B6"/>
    <mergeCell ref="D4:I4"/>
    <mergeCell ref="J4:K4"/>
    <mergeCell ref="L4:M4"/>
    <mergeCell ref="F6:M6"/>
    <mergeCell ref="D5:M5"/>
    <mergeCell ref="A7:M7"/>
    <mergeCell ref="A138:Z138"/>
    <mergeCell ref="T143:Y143"/>
    <mergeCell ref="H9:M9"/>
    <mergeCell ref="Z9:AC9"/>
    <mergeCell ref="K143:N143"/>
    <mergeCell ref="K142:N142"/>
  </mergeCells>
  <phoneticPr fontId="55" type="noConversion"/>
  <conditionalFormatting sqref="AC11:AC137">
    <cfRule type="cellIs" dxfId="5" priority="18" stopIfTrue="1" operator="greaterThan">
      <formula>0.2</formula>
    </cfRule>
  </conditionalFormatting>
  <dataValidations count="1">
    <dataValidation type="list" allowBlank="1" showInputMessage="1" sqref="G12:G137" xr:uid="{4CC2BC95-6C7B-467E-B94E-803DA1489329}">
      <formula1>"Compra,Alquiler,PrestaciónServicio"</formula1>
    </dataValidation>
  </dataValidations>
  <pageMargins left="0.25" right="0.25" top="0.75" bottom="0.75" header="0.3" footer="0.3"/>
  <pageSetup paperSize="3" scale="18"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750C36C-53AB-4024-94CE-11C3C31AE4C6}">
          <x14:formula1>
            <xm:f>Lista!$V$8:$V$14</xm:f>
          </x14:formula1>
          <xm:sqref>D5 J4</xm:sqref>
        </x14:dataValidation>
        <x14:dataValidation type="list" allowBlank="1" showInputMessage="1" promptTitle="Seleccione Item " prompt="Si es un ítem de la bolsa básica, seleccione de la lista" xr:uid="{A7F407A3-6C48-4EDF-BD2A-226B53F935CB}">
          <x14:formula1>
            <xm:f>listaBolsa!$D$3:$D$290</xm:f>
          </x14:formula1>
          <xm:sqref>C12:C137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D39A3-7116-4968-821C-EC9B553FD5A2}">
  <sheetPr codeName="Hoja5">
    <pageSetUpPr fitToPage="1"/>
  </sheetPr>
  <dimension ref="A2:CR35"/>
  <sheetViews>
    <sheetView tabSelected="1" view="pageBreakPreview" topLeftCell="A21" zoomScale="40" zoomScaleNormal="40" zoomScaleSheetLayoutView="40" workbookViewId="0">
      <selection activeCell="AD6" sqref="AD6"/>
    </sheetView>
  </sheetViews>
  <sheetFormatPr baseColWidth="10" defaultColWidth="11.42578125" defaultRowHeight="15" customHeight="1" x14ac:dyDescent="0.25"/>
  <cols>
    <col min="1" max="1" width="17.140625" style="3" customWidth="1"/>
    <col min="2" max="2" width="28.28515625" style="3" customWidth="1"/>
    <col min="3" max="3" width="52.42578125" style="3" customWidth="1"/>
    <col min="4" max="4" width="166.140625" style="3" customWidth="1"/>
    <col min="5" max="7" width="28.42578125" style="3" customWidth="1"/>
    <col min="8" max="8" width="31.42578125" style="3" customWidth="1"/>
    <col min="9" max="9" width="25.42578125" style="3" customWidth="1"/>
    <col min="10" max="10" width="32.28515625" style="3" customWidth="1"/>
    <col min="11" max="13" width="25.42578125" style="3" customWidth="1"/>
    <col min="14" max="14" width="44.7109375"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43.425781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2" spans="1:96" ht="15" customHeight="1" x14ac:dyDescent="0.35">
      <c r="A2" s="232"/>
      <c r="B2" s="232"/>
      <c r="C2" s="232"/>
      <c r="D2" s="232"/>
      <c r="E2" s="232"/>
      <c r="F2" s="232"/>
      <c r="G2" s="232"/>
      <c r="H2" s="232"/>
      <c r="I2" s="232"/>
      <c r="J2" s="232"/>
      <c r="K2" s="232"/>
      <c r="L2" s="232"/>
      <c r="M2" s="232"/>
      <c r="N2" s="232"/>
      <c r="O2" s="232"/>
      <c r="P2" s="232"/>
      <c r="Q2" s="232"/>
      <c r="R2" s="232"/>
      <c r="S2" s="232"/>
      <c r="T2" s="232"/>
      <c r="U2" s="232"/>
      <c r="V2" s="232"/>
      <c r="W2" s="232"/>
    </row>
    <row r="3" spans="1:96" s="1" customFormat="1" ht="93.75" x14ac:dyDescent="0.25">
      <c r="A3" s="293" t="s">
        <v>0</v>
      </c>
      <c r="B3" s="293"/>
      <c r="C3" s="293"/>
      <c r="D3" s="293"/>
      <c r="E3" s="293"/>
      <c r="F3" s="293"/>
      <c r="G3" s="293"/>
      <c r="H3" s="293"/>
      <c r="I3" s="293"/>
      <c r="J3" s="293"/>
      <c r="K3" s="293"/>
      <c r="L3" s="293"/>
      <c r="M3" s="293"/>
      <c r="N3" s="293" t="s">
        <v>1</v>
      </c>
      <c r="O3" s="293"/>
      <c r="P3" s="293"/>
      <c r="Q3" s="293"/>
      <c r="R3" s="293"/>
      <c r="S3" s="293"/>
      <c r="T3" s="293"/>
      <c r="U3" s="293"/>
      <c r="V3" s="293"/>
      <c r="W3" s="293"/>
      <c r="X3" s="33"/>
      <c r="Y3" s="33"/>
      <c r="Z3" s="33"/>
      <c r="AA3" s="33"/>
      <c r="AB3" s="33"/>
      <c r="AC3" s="33"/>
    </row>
    <row r="4" spans="1:96" s="2" customFormat="1" ht="93.75" x14ac:dyDescent="0.25">
      <c r="A4" s="293"/>
      <c r="B4" s="293"/>
      <c r="C4" s="45" t="s">
        <v>2</v>
      </c>
      <c r="D4" s="279" t="s">
        <v>1359</v>
      </c>
      <c r="E4" s="279"/>
      <c r="F4" s="279"/>
      <c r="G4" s="279"/>
      <c r="H4" s="279"/>
      <c r="I4" s="279"/>
      <c r="J4" s="279" t="s">
        <v>3</v>
      </c>
      <c r="K4" s="279"/>
      <c r="L4" s="294">
        <v>46282</v>
      </c>
      <c r="M4" s="293"/>
      <c r="N4" s="293"/>
      <c r="O4" s="293"/>
      <c r="P4" s="293"/>
      <c r="Q4" s="293"/>
      <c r="R4" s="293"/>
      <c r="S4" s="293"/>
      <c r="T4" s="293"/>
      <c r="U4" s="293"/>
      <c r="V4" s="293"/>
      <c r="W4" s="293"/>
      <c r="Z4" s="277" t="s">
        <v>4</v>
      </c>
      <c r="AA4" s="277"/>
      <c r="AB4" s="267">
        <f>IF(B11="","",AA19)</f>
        <v>678333577</v>
      </c>
      <c r="AC4" s="38"/>
    </row>
    <row r="5" spans="1:96" s="2" customFormat="1" ht="93.75" x14ac:dyDescent="0.25">
      <c r="A5" s="293"/>
      <c r="B5" s="293"/>
      <c r="C5" s="45" t="s">
        <v>5</v>
      </c>
      <c r="D5" s="278" t="s">
        <v>138</v>
      </c>
      <c r="E5" s="278"/>
      <c r="F5" s="278"/>
      <c r="G5" s="278"/>
      <c r="H5" s="278"/>
      <c r="I5" s="278"/>
      <c r="J5" s="278"/>
      <c r="K5" s="278"/>
      <c r="L5" s="278"/>
      <c r="M5" s="278"/>
      <c r="N5" s="293"/>
      <c r="O5" s="293"/>
      <c r="P5" s="293"/>
      <c r="Q5" s="293"/>
      <c r="R5" s="293"/>
      <c r="S5" s="293"/>
      <c r="T5" s="293"/>
      <c r="U5" s="293"/>
      <c r="V5" s="293"/>
      <c r="W5" s="293"/>
      <c r="Z5" s="277" t="s">
        <v>6</v>
      </c>
      <c r="AA5" s="277"/>
      <c r="AB5" s="267">
        <f>+J29</f>
        <v>221666423</v>
      </c>
      <c r="AC5" s="38"/>
      <c r="AD5" s="136" t="s">
        <v>7</v>
      </c>
    </row>
    <row r="6" spans="1:96" s="2" customFormat="1" ht="47.45" customHeight="1" x14ac:dyDescent="0.25">
      <c r="A6" s="293"/>
      <c r="B6" s="293"/>
      <c r="C6" s="94" t="s">
        <v>8</v>
      </c>
      <c r="D6" s="107" t="s">
        <v>1360</v>
      </c>
      <c r="E6" s="94" t="s">
        <v>9</v>
      </c>
      <c r="F6" s="279" t="s">
        <v>1395</v>
      </c>
      <c r="G6" s="279"/>
      <c r="H6" s="279"/>
      <c r="I6" s="279"/>
      <c r="J6" s="279"/>
      <c r="K6" s="279"/>
      <c r="L6" s="279"/>
      <c r="M6" s="279"/>
      <c r="N6" s="293"/>
      <c r="O6" s="293"/>
      <c r="P6" s="293"/>
      <c r="Q6" s="293"/>
      <c r="R6" s="293"/>
      <c r="S6" s="293"/>
      <c r="T6" s="293"/>
      <c r="U6" s="293"/>
      <c r="V6" s="293"/>
      <c r="W6" s="293"/>
      <c r="Z6" s="277" t="s">
        <v>10</v>
      </c>
      <c r="AA6" s="277"/>
      <c r="AB6" s="268">
        <f>IF(B11="","",(AB4+AB5))</f>
        <v>900000000</v>
      </c>
      <c r="AD6" s="87"/>
      <c r="AE6" s="88"/>
      <c r="CA6">
        <v>1</v>
      </c>
      <c r="CB6">
        <v>2</v>
      </c>
      <c r="CC6">
        <v>10</v>
      </c>
      <c r="CD6">
        <v>14</v>
      </c>
      <c r="CE6">
        <v>23</v>
      </c>
      <c r="CF6">
        <v>29</v>
      </c>
      <c r="CG6">
        <v>36</v>
      </c>
      <c r="CH6">
        <v>40</v>
      </c>
      <c r="CI6"/>
      <c r="CJ6">
        <v>48</v>
      </c>
    </row>
    <row r="7" spans="1:96" ht="59.45" customHeight="1" x14ac:dyDescent="0.35">
      <c r="A7" s="280"/>
      <c r="B7" s="280"/>
      <c r="C7" s="280"/>
      <c r="D7" s="280"/>
      <c r="E7" s="280"/>
      <c r="F7" s="280"/>
      <c r="G7" s="280"/>
      <c r="H7" s="280"/>
      <c r="I7" s="280"/>
      <c r="J7" s="280"/>
      <c r="K7" s="280"/>
      <c r="L7" s="280"/>
      <c r="M7" s="280"/>
      <c r="N7" s="233"/>
      <c r="O7" s="233"/>
      <c r="P7" s="232"/>
      <c r="Q7" s="232"/>
      <c r="R7" s="232"/>
      <c r="S7" s="232"/>
      <c r="T7" s="232"/>
      <c r="U7" s="232"/>
      <c r="V7" s="232"/>
      <c r="W7" s="232"/>
      <c r="AE7" s="253"/>
      <c r="CA7" t="s">
        <v>12</v>
      </c>
      <c r="CB7" t="s">
        <v>13</v>
      </c>
      <c r="CC7" t="s">
        <v>14</v>
      </c>
      <c r="CD7" t="s">
        <v>15</v>
      </c>
      <c r="CE7" t="s">
        <v>16</v>
      </c>
      <c r="CF7" t="s">
        <v>17</v>
      </c>
      <c r="CG7" t="s">
        <v>18</v>
      </c>
      <c r="CH7" t="s">
        <v>19</v>
      </c>
      <c r="CI7"/>
      <c r="CJ7" t="s">
        <v>20</v>
      </c>
    </row>
    <row r="8" spans="1:96" x14ac:dyDescent="0.25">
      <c r="J8" s="16"/>
      <c r="K8" s="16"/>
      <c r="L8" s="16"/>
      <c r="M8" s="16"/>
      <c r="P8" s="16"/>
      <c r="Q8" s="16"/>
      <c r="R8" s="16"/>
      <c r="S8" s="16"/>
      <c r="V8" s="16"/>
      <c r="W8" s="16"/>
      <c r="X8" s="16"/>
      <c r="Y8" s="16"/>
      <c r="Z8" s="16"/>
      <c r="AE8" s="253"/>
    </row>
    <row r="9" spans="1:96" s="18" customFormat="1" ht="24" x14ac:dyDescent="0.4">
      <c r="H9" s="281" t="s">
        <v>21</v>
      </c>
      <c r="I9" s="282"/>
      <c r="J9" s="282"/>
      <c r="K9" s="282"/>
      <c r="L9" s="282"/>
      <c r="M9" s="283"/>
      <c r="N9" s="284" t="s">
        <v>22</v>
      </c>
      <c r="O9" s="285"/>
      <c r="P9" s="285"/>
      <c r="Q9" s="285"/>
      <c r="R9" s="285"/>
      <c r="S9" s="286"/>
      <c r="T9" s="287" t="s">
        <v>23</v>
      </c>
      <c r="U9" s="288"/>
      <c r="V9" s="288"/>
      <c r="W9" s="288"/>
      <c r="X9" s="288"/>
      <c r="Y9" s="289"/>
      <c r="Z9" s="290" t="s">
        <v>24</v>
      </c>
      <c r="AA9" s="291"/>
      <c r="AB9" s="291"/>
      <c r="AC9" s="291"/>
      <c r="CA9" s="18" t="s">
        <v>25</v>
      </c>
      <c r="CJ9" s="18" t="s">
        <v>26</v>
      </c>
    </row>
    <row r="10" spans="1:96" s="102" customFormat="1" ht="103.35" customHeight="1" x14ac:dyDescent="0.4">
      <c r="A10" s="103" t="s">
        <v>27</v>
      </c>
      <c r="B10" s="103" t="s">
        <v>28</v>
      </c>
      <c r="C10" s="103" t="s">
        <v>29</v>
      </c>
      <c r="D10" s="103" t="s">
        <v>13</v>
      </c>
      <c r="E10" s="103" t="s">
        <v>30</v>
      </c>
      <c r="F10" s="103" t="s">
        <v>31</v>
      </c>
      <c r="G10" s="103" t="s">
        <v>32</v>
      </c>
      <c r="H10" s="104" t="s">
        <v>14</v>
      </c>
      <c r="I10" s="104" t="s">
        <v>19</v>
      </c>
      <c r="J10" s="104" t="s">
        <v>33</v>
      </c>
      <c r="K10" s="104" t="s">
        <v>17</v>
      </c>
      <c r="L10" s="104" t="s">
        <v>34</v>
      </c>
      <c r="M10" s="104" t="s">
        <v>35</v>
      </c>
      <c r="N10" s="103" t="s">
        <v>16</v>
      </c>
      <c r="O10" s="103" t="s">
        <v>19</v>
      </c>
      <c r="P10" s="103" t="s">
        <v>36</v>
      </c>
      <c r="Q10" s="103" t="s">
        <v>17</v>
      </c>
      <c r="R10" s="103" t="s">
        <v>34</v>
      </c>
      <c r="S10" s="103" t="s">
        <v>35</v>
      </c>
      <c r="T10" s="105" t="s">
        <v>18</v>
      </c>
      <c r="U10" s="105" t="s">
        <v>19</v>
      </c>
      <c r="V10" s="105" t="s">
        <v>37</v>
      </c>
      <c r="W10" s="105" t="s">
        <v>17</v>
      </c>
      <c r="X10" s="105" t="s">
        <v>34</v>
      </c>
      <c r="Y10" s="105" t="s">
        <v>35</v>
      </c>
      <c r="Z10" s="104" t="s">
        <v>38</v>
      </c>
      <c r="AA10" s="104" t="s">
        <v>39</v>
      </c>
      <c r="AB10" s="104" t="s">
        <v>40</v>
      </c>
      <c r="AC10" s="104" t="s">
        <v>20</v>
      </c>
      <c r="AD10" s="106" t="s">
        <v>41</v>
      </c>
      <c r="CA10" s="102" t="s">
        <v>42</v>
      </c>
      <c r="CB10" s="102" t="s">
        <v>43</v>
      </c>
      <c r="CC10" s="102" t="s">
        <v>44</v>
      </c>
      <c r="CD10" s="102" t="s">
        <v>45</v>
      </c>
      <c r="CE10" s="102" t="s">
        <v>46</v>
      </c>
      <c r="CF10" s="102" t="s">
        <v>47</v>
      </c>
      <c r="CG10" s="102" t="s">
        <v>48</v>
      </c>
      <c r="CH10" s="102" t="s">
        <v>49</v>
      </c>
      <c r="CI10" s="102" t="s">
        <v>50</v>
      </c>
      <c r="CJ10" s="102" t="s">
        <v>42</v>
      </c>
      <c r="CK10" s="102" t="s">
        <v>43</v>
      </c>
      <c r="CL10" s="102" t="s">
        <v>44</v>
      </c>
      <c r="CM10" s="102" t="s">
        <v>45</v>
      </c>
      <c r="CN10" s="102" t="s">
        <v>46</v>
      </c>
      <c r="CO10" s="102" t="s">
        <v>47</v>
      </c>
      <c r="CP10" s="102" t="s">
        <v>48</v>
      </c>
      <c r="CQ10" s="102" t="s">
        <v>49</v>
      </c>
      <c r="CR10" s="102" t="s">
        <v>50</v>
      </c>
    </row>
    <row r="11" spans="1:96" s="7" customFormat="1" ht="81" customHeight="1" x14ac:dyDescent="0.25">
      <c r="A11" s="75">
        <v>1</v>
      </c>
      <c r="B11" s="91" t="s">
        <v>1361</v>
      </c>
      <c r="C11" s="241" t="s">
        <v>997</v>
      </c>
      <c r="D11" s="242" t="s">
        <v>1363</v>
      </c>
      <c r="E11" s="239" t="s">
        <v>233</v>
      </c>
      <c r="F11" s="240">
        <v>1</v>
      </c>
      <c r="G11" s="238" t="s">
        <v>335</v>
      </c>
      <c r="H11" s="250" t="s">
        <v>988</v>
      </c>
      <c r="I11" s="252">
        <v>302522</v>
      </c>
      <c r="J11" s="263">
        <f>I11*19%</f>
        <v>57479.18</v>
      </c>
      <c r="K11" s="263">
        <f>I11+J11</f>
        <v>360001.18</v>
      </c>
      <c r="L11" s="129">
        <f>IF(B11="","",(I11*F11))</f>
        <v>302522</v>
      </c>
      <c r="M11" s="129">
        <f t="shared" ref="M11:M12" si="0">IF(B11="","",(K11*F11))</f>
        <v>360001.18</v>
      </c>
      <c r="N11" s="90" t="str">
        <f>IF(C11="","",VLOOKUP(C11,listaBolsa!$D$2:$AZ$1276,23,0))</f>
        <v>JAC URBANIZACION EL LAGUITO DE SUBA</v>
      </c>
      <c r="O11" s="130">
        <f>IF(C11="","",VLOOKUP(C11,listaBolsa!$D$2:$AZ$1276,27,0))</f>
        <v>252101</v>
      </c>
      <c r="P11" s="131">
        <f t="shared" ref="P11" si="1">O11*19%</f>
        <v>47899.19</v>
      </c>
      <c r="Q11" s="131">
        <f t="shared" ref="Q11:Q13" si="2">O11+P11</f>
        <v>300000.19</v>
      </c>
      <c r="R11" s="131">
        <f t="shared" ref="R11:R13" si="3">IF(B11="","",(O11*F11))</f>
        <v>252101</v>
      </c>
      <c r="S11" s="131">
        <f t="shared" ref="S11:S13" si="4">IF(B11="","",(Q11*F11))</f>
        <v>300000.19</v>
      </c>
      <c r="T11" s="83"/>
      <c r="U11" s="132"/>
      <c r="V11" s="133"/>
      <c r="W11" s="133"/>
      <c r="X11" s="133"/>
      <c r="Y11" s="133"/>
      <c r="Z11" s="134">
        <f>IF(A11="","",ROUND(AVERAGE(K11,Q11),0))</f>
        <v>330001</v>
      </c>
      <c r="AA11" s="134">
        <f t="shared" ref="AA11:AA17" si="5">IF(B11="","",Z11*F11)</f>
        <v>330001</v>
      </c>
      <c r="AB11" s="135">
        <f>IF(B11="","",ROUND(STDEV(M11,S11),0))</f>
        <v>42427</v>
      </c>
      <c r="AC11" s="85">
        <f t="shared" ref="AC11:AC15" si="6">IF(B11="","",(AB11/AA11))</f>
        <v>0.12856627707188767</v>
      </c>
      <c r="AD11" s="234" t="s">
        <v>1364</v>
      </c>
      <c r="AF11" s="7">
        <f>IF(C11="","",VLOOKUP(C11,listaBolsa!$D$2:$BB$276,51,0))</f>
        <v>0</v>
      </c>
      <c r="BG11" s="7">
        <v>1</v>
      </c>
      <c r="CA11" s="7" t="str">
        <f>VLOOKUP(C11,listaBolsa!$D$2:$BA$1248,1,0)</f>
        <v>Salón - Espacio Apto para 50 personas  (media jornada más equipos audiovisuales)</v>
      </c>
      <c r="CB11" s="7" t="str">
        <f>VLOOKUP(C11,listaBolsa!$D$2:$BA$1248,2,0)</f>
        <v>Espacio físico para 50 personas con baño, sillas y mesas, ubicado en la localidad de Suba, con disponibilidad de espacio exterior para desarrollo de actividades_x000D_
Dotado con equipo de computo, video beam y sonido_x000D_
Jornada de 4 horas</v>
      </c>
      <c r="CC11" s="7" t="str">
        <f>VLOOKUP(C11,listaBolsa!$D$2:$BA$1248,10,0)</f>
        <v xml:space="preserve">JAC PRADO PINZON </v>
      </c>
      <c r="CD11" s="7">
        <f>VLOOKUP(C11,listaBolsa!$D$2:$BA$1248,14,0)</f>
        <v>302522</v>
      </c>
      <c r="CE11" s="7" t="str">
        <f>VLOOKUP(C11,listaBolsa!$D$2:$BA$1248,23,0)</f>
        <v>JAC URBANIZACION EL LAGUITO DE SUBA</v>
      </c>
      <c r="CF11" s="7">
        <f>VLOOKUP(C11,listaBolsa!$D$2:$BA$1248,29,0)</f>
        <v>300000.19</v>
      </c>
      <c r="CG11" s="7">
        <f>VLOOKUP(C11,listaBolsa!$D$2:$BA$1248,36,0)</f>
        <v>0</v>
      </c>
      <c r="CH11" s="7">
        <f>VLOOKUP(C11,listaBolsa!$D$2:$BA$1248,40,0)</f>
        <v>0</v>
      </c>
      <c r="CI11" s="7">
        <f>VLOOKUP(C11,listaBolsa!$D$2:$BA$1248,48,0)</f>
        <v>0.12856627707188767</v>
      </c>
      <c r="CJ11" s="7" t="b">
        <f t="shared" ref="CJ11:CK18" si="7">CA11=C11</f>
        <v>1</v>
      </c>
      <c r="CK11" s="7" t="b">
        <f t="shared" si="7"/>
        <v>0</v>
      </c>
      <c r="CL11" s="7" t="b">
        <f t="shared" ref="CL11:CM18" si="8">CC11=H11</f>
        <v>1</v>
      </c>
      <c r="CM11" s="7" t="b">
        <f t="shared" si="8"/>
        <v>1</v>
      </c>
      <c r="CN11" s="7" t="b">
        <f t="shared" ref="CN11:CO18" si="9">CE11=N11</f>
        <v>1</v>
      </c>
      <c r="CO11" s="7" t="b">
        <f t="shared" si="9"/>
        <v>0</v>
      </c>
      <c r="CP11" s="7" t="b">
        <f t="shared" ref="CP11:CQ18" si="10">CG11=T11</f>
        <v>1</v>
      </c>
      <c r="CQ11" s="7" t="b">
        <f t="shared" si="10"/>
        <v>1</v>
      </c>
      <c r="CR11" s="7" t="b">
        <f t="shared" ref="CR11:CR18" si="11">CI11=AC11</f>
        <v>1</v>
      </c>
    </row>
    <row r="12" spans="1:96" s="7" customFormat="1" ht="242.25" customHeight="1" x14ac:dyDescent="0.25">
      <c r="A12" s="75">
        <v>2</v>
      </c>
      <c r="B12" s="91" t="s">
        <v>1361</v>
      </c>
      <c r="C12" s="82" t="s">
        <v>969</v>
      </c>
      <c r="D12" s="75" t="str">
        <f>IF(C12="","",VLOOKUP(C12,listaBolsa!$D$2:$H$1118,2,0))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2" s="91" t="s">
        <v>233</v>
      </c>
      <c r="F12" s="92">
        <v>50</v>
      </c>
      <c r="G12" s="249" t="s">
        <v>51</v>
      </c>
      <c r="H12" s="250" t="s">
        <v>319</v>
      </c>
      <c r="I12" s="252">
        <v>11700</v>
      </c>
      <c r="J12" s="263">
        <f>I12*8%</f>
        <v>936</v>
      </c>
      <c r="K12" s="263">
        <f t="shared" ref="K12:K13" si="12">I12+J12</f>
        <v>12636</v>
      </c>
      <c r="L12" s="129">
        <f t="shared" ref="L12:L13" si="13">IF(B12="","",(I12*F12))</f>
        <v>585000</v>
      </c>
      <c r="M12" s="129">
        <f t="shared" si="0"/>
        <v>631800</v>
      </c>
      <c r="N12" s="246" t="s">
        <v>972</v>
      </c>
      <c r="O12" s="247">
        <v>8570</v>
      </c>
      <c r="P12" s="248">
        <f>O12*8%</f>
        <v>685.6</v>
      </c>
      <c r="Q12" s="248">
        <f t="shared" si="2"/>
        <v>9255.6</v>
      </c>
      <c r="R12" s="131">
        <f t="shared" si="3"/>
        <v>428500</v>
      </c>
      <c r="S12" s="131">
        <f t="shared" si="4"/>
        <v>462780</v>
      </c>
      <c r="T12" s="243" t="s">
        <v>304</v>
      </c>
      <c r="U12" s="244">
        <v>12843.4</v>
      </c>
      <c r="V12" s="245">
        <f>U12*8%</f>
        <v>1027.472</v>
      </c>
      <c r="W12" s="245">
        <f t="shared" ref="W12" si="14">U12+V12</f>
        <v>13870.871999999999</v>
      </c>
      <c r="X12" s="133">
        <f t="shared" ref="X12" si="15">IF(B12="","",(U12*F12))</f>
        <v>642170</v>
      </c>
      <c r="Y12" s="133">
        <f t="shared" ref="Y12" si="16">IF(B12="","",(W12*F12))</f>
        <v>693543.6</v>
      </c>
      <c r="Z12" s="134">
        <f t="shared" ref="Z12:Z15" si="17">IF(A12="","",ROUND(AVERAGE(K12,Q12,W12),0))</f>
        <v>11921</v>
      </c>
      <c r="AA12" s="134">
        <f t="shared" si="5"/>
        <v>596050</v>
      </c>
      <c r="AB12" s="135">
        <f>IF(B12="","",ROUND(STDEV(M12,S12,Y12),0))</f>
        <v>119465</v>
      </c>
      <c r="AC12" s="85">
        <f t="shared" si="6"/>
        <v>0.20042781645835081</v>
      </c>
      <c r="AD12" s="234" t="s">
        <v>1394</v>
      </c>
      <c r="AF12" s="7">
        <f>IF(C12="","",VLOOKUP(C12,listaBolsa!$D$2:$BB$276,51,0))</f>
        <v>0</v>
      </c>
      <c r="BG12" s="7">
        <v>2</v>
      </c>
      <c r="CA12" s="7" t="str">
        <f>VLOOKUP(C12,listaBolsa!$D$2:$BA$1248,1,0)</f>
        <v>Refrigerio Tipo 1</v>
      </c>
      <c r="CB12" s="7" t="str">
        <f>VLOOKUP(C12,listaBolsa!$D$2:$BA$1248,2,0)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CC12" s="7" t="str">
        <f>VLOOKUP(C12,listaBolsa!$D$2:$BA$1248,10,0)</f>
        <v>INVERSIONES BECORATI E Y O SAS</v>
      </c>
      <c r="CD12" s="7">
        <f>VLOOKUP(C12,listaBolsa!$D$2:$BA$1248,14,0)</f>
        <v>11700</v>
      </c>
      <c r="CE12" s="7" t="str">
        <f>VLOOKUP(C12,listaBolsa!$D$2:$BA$1248,23,0)</f>
        <v>ENTERPRISE INVESTMENT DEVELOPMENT S.A.S.</v>
      </c>
      <c r="CF12" s="7">
        <f>VLOOKUP(C12,listaBolsa!$D$2:$BA$1248,29,0)</f>
        <v>9255.6</v>
      </c>
      <c r="CG12" s="7" t="str">
        <f>VLOOKUP(C12,listaBolsa!$D$2:$BA$1248,36,0)</f>
        <v>Estimación de precios con base en el proceso FDLSUBA-LP-013-2025 (140689) – Contrato 1000 – 2025, indexando el incremento de precios en el mercado con base en el Índice de Precios al Consumidor (IPC) para el mes de marzo de 2026, el cual fue de 5,56%.</v>
      </c>
      <c r="CH12" s="7">
        <f>VLOOKUP(C12,listaBolsa!$D$2:$BA$1248,40,0)</f>
        <v>12843.518518518518</v>
      </c>
      <c r="CI12" s="7">
        <f>VLOOKUP(C12,listaBolsa!$D$2:$BA$1248,48,0)</f>
        <v>0.20040265078433017</v>
      </c>
      <c r="CJ12" s="7" t="b">
        <f t="shared" si="7"/>
        <v>1</v>
      </c>
      <c r="CK12" s="7" t="b">
        <f t="shared" si="7"/>
        <v>1</v>
      </c>
      <c r="CL12" s="7" t="b">
        <f t="shared" si="8"/>
        <v>1</v>
      </c>
      <c r="CM12" s="7" t="b">
        <f t="shared" si="8"/>
        <v>1</v>
      </c>
      <c r="CN12" s="7" t="b">
        <f t="shared" si="9"/>
        <v>1</v>
      </c>
      <c r="CO12" s="7" t="b">
        <f t="shared" si="9"/>
        <v>0</v>
      </c>
      <c r="CP12" s="7" t="b">
        <f t="shared" si="10"/>
        <v>1</v>
      </c>
      <c r="CQ12" s="7" t="b">
        <f t="shared" si="10"/>
        <v>0</v>
      </c>
      <c r="CR12" s="7" t="b">
        <f t="shared" si="11"/>
        <v>0</v>
      </c>
    </row>
    <row r="13" spans="1:96" s="7" customFormat="1" ht="169.5" customHeight="1" x14ac:dyDescent="0.25">
      <c r="A13" s="75">
        <v>3</v>
      </c>
      <c r="B13" s="236" t="s">
        <v>1361</v>
      </c>
      <c r="C13" s="82" t="s">
        <v>717</v>
      </c>
      <c r="D13" s="75" t="str">
        <f>IF(C13="","",VLOOKUP(C13,listaBolsa!$D$2:$H$1118,2,0))</f>
        <v>Servicio de cafetería para 50 personas (tinto, aromática y agua): Operario + presentación mesa + vasos de cartón bebida caliente 4 oz. + mezclador + azúcar + crema para café). Incluye galletas tipo avena o integrales. Duración del evento aprox. 6 horas. Transporte incluido.</v>
      </c>
      <c r="E13" s="91" t="s">
        <v>302</v>
      </c>
      <c r="F13" s="92">
        <v>1</v>
      </c>
      <c r="G13" s="235" t="s">
        <v>1163</v>
      </c>
      <c r="H13" s="89" t="str">
        <f>IF(C13="","",VLOOKUP(C13,listaBolsa!$D$2:$W$1118,10,0))</f>
        <v>D&amp;R PRODUCCIONES SAS</v>
      </c>
      <c r="I13" s="128">
        <f>IF(C13="","",VLOOKUP(C13,listaBolsa!$D$2:$W$1118,14,0))</f>
        <v>641250</v>
      </c>
      <c r="J13" s="129">
        <f>I13*8%</f>
        <v>51300</v>
      </c>
      <c r="K13" s="129">
        <f t="shared" si="12"/>
        <v>692550</v>
      </c>
      <c r="L13" s="129">
        <f t="shared" si="13"/>
        <v>641250</v>
      </c>
      <c r="M13" s="129">
        <f>IF(B13="","",(K13*F13))</f>
        <v>692550</v>
      </c>
      <c r="N13" s="90" t="str">
        <f>IF(C13="","",VLOOKUP(C13,listaBolsa!$D$2:$AZ$1276,23,0))</f>
        <v>LOGISTBOX L&amp;L SAS</v>
      </c>
      <c r="O13" s="130">
        <v>544444.43999999994</v>
      </c>
      <c r="P13" s="131">
        <f>O13*8%</f>
        <v>43555.555199999995</v>
      </c>
      <c r="Q13" s="248">
        <f t="shared" si="2"/>
        <v>587999.99519999989</v>
      </c>
      <c r="R13" s="131">
        <f t="shared" si="3"/>
        <v>544444.43999999994</v>
      </c>
      <c r="S13" s="131">
        <f t="shared" si="4"/>
        <v>587999.99519999989</v>
      </c>
      <c r="T13" s="83"/>
      <c r="U13" s="132"/>
      <c r="V13" s="133"/>
      <c r="W13" s="133"/>
      <c r="X13" s="133"/>
      <c r="Y13" s="133"/>
      <c r="Z13" s="134">
        <f>IF(A13="","",ROUND(AVERAGE(K13,Q13),0))</f>
        <v>640275</v>
      </c>
      <c r="AA13" s="134">
        <f t="shared" si="5"/>
        <v>640275</v>
      </c>
      <c r="AB13" s="135">
        <f>IF(B13="","",ROUND(STDEV(M13,S13),0))</f>
        <v>73928</v>
      </c>
      <c r="AC13" s="85">
        <f t="shared" si="6"/>
        <v>0.11546288704072469</v>
      </c>
      <c r="AD13" s="234" t="s">
        <v>1364</v>
      </c>
      <c r="AF13" s="7" t="str">
        <f>IF(C13="","",VLOOKUP(C13,listaBolsa!$D$2:$BB$276,51,0))</f>
        <v>Tercer ítem sin IVA</v>
      </c>
      <c r="BG13" s="7">
        <v>3</v>
      </c>
      <c r="CA13" s="7" t="str">
        <f>VLOOKUP(C13,listaBolsa!$D$2:$BA$1248,1,0)</f>
        <v>Estación de café tipo 3</v>
      </c>
      <c r="CB13" s="7" t="str">
        <f>VLOOKUP(C13,listaBolsa!$D$2:$BA$1248,2,0)</f>
        <v>Servicio de cafetería para 50 personas (tinto, aromática y agua): Operario + presentación mesa + vasos de cartón bebida caliente 4 oz. + mezclador + azúcar + crema para café). Incluye galletas tipo avena o integrales. Duración del evento aprox. 6 horas. Transporte incluido.</v>
      </c>
      <c r="CC13" s="7" t="str">
        <f>VLOOKUP(C13,listaBolsa!$D$2:$BA$1248,10,0)</f>
        <v>D&amp;R PRODUCCIONES SAS</v>
      </c>
      <c r="CD13" s="7">
        <f>VLOOKUP(C13,listaBolsa!$D$2:$BA$1248,14,0)</f>
        <v>641250</v>
      </c>
      <c r="CE13" s="7" t="str">
        <f>VLOOKUP(C13,listaBolsa!$D$2:$BA$1248,23,0)</f>
        <v>LOGISTBOX L&amp;L SAS</v>
      </c>
      <c r="CF13" s="7">
        <f>VLOOKUP(C13,listaBolsa!$D$2:$BA$1248,29,0)</f>
        <v>587999.99999999988</v>
      </c>
      <c r="CG13" s="7">
        <f>VLOOKUP(C13,listaBolsa!$D$2:$BA$1248,36,0)</f>
        <v>0</v>
      </c>
      <c r="CH13" s="7">
        <f>VLOOKUP(C13,listaBolsa!$D$2:$BA$1248,40,0)</f>
        <v>0</v>
      </c>
      <c r="CI13" s="7">
        <f>VLOOKUP(C13,listaBolsa!$D$2:$BA$1248,48,0)</f>
        <v>0.8746421459529109</v>
      </c>
      <c r="CJ13" s="7" t="b">
        <f t="shared" si="7"/>
        <v>1</v>
      </c>
      <c r="CK13" s="7" t="b">
        <f t="shared" si="7"/>
        <v>1</v>
      </c>
      <c r="CL13" s="7" t="b">
        <f t="shared" si="8"/>
        <v>1</v>
      </c>
      <c r="CM13" s="7" t="b">
        <f t="shared" si="8"/>
        <v>1</v>
      </c>
      <c r="CN13" s="7" t="b">
        <f t="shared" si="9"/>
        <v>1</v>
      </c>
      <c r="CO13" s="7" t="b">
        <f t="shared" si="9"/>
        <v>0</v>
      </c>
      <c r="CP13" s="7" t="b">
        <f t="shared" si="10"/>
        <v>1</v>
      </c>
      <c r="CQ13" s="7" t="b">
        <f t="shared" si="10"/>
        <v>1</v>
      </c>
      <c r="CR13" s="7" t="b">
        <f t="shared" si="11"/>
        <v>0</v>
      </c>
    </row>
    <row r="14" spans="1:96" s="7" customFormat="1" ht="140.25" customHeight="1" x14ac:dyDescent="0.25">
      <c r="A14" s="75">
        <v>4</v>
      </c>
      <c r="B14" s="236" t="s">
        <v>1382</v>
      </c>
      <c r="C14" s="82" t="s">
        <v>1383</v>
      </c>
      <c r="D14" s="75" t="s">
        <v>1397</v>
      </c>
      <c r="E14" s="91" t="s">
        <v>233</v>
      </c>
      <c r="F14" s="92">
        <v>1</v>
      </c>
      <c r="G14" s="235" t="s">
        <v>1163</v>
      </c>
      <c r="H14" s="89" t="s">
        <v>1385</v>
      </c>
      <c r="I14" s="128"/>
      <c r="J14" s="129"/>
      <c r="K14" s="129"/>
      <c r="L14" s="129"/>
      <c r="M14" s="129"/>
      <c r="N14" s="90" t="s">
        <v>1385</v>
      </c>
      <c r="O14" s="130"/>
      <c r="P14" s="131"/>
      <c r="Q14" s="131"/>
      <c r="R14" s="131"/>
      <c r="S14" s="131"/>
      <c r="T14" s="83" t="s">
        <v>1385</v>
      </c>
      <c r="U14" s="132"/>
      <c r="V14" s="133"/>
      <c r="W14" s="133"/>
      <c r="X14" s="133"/>
      <c r="Y14" s="133"/>
      <c r="Z14" s="134"/>
      <c r="AA14" s="134">
        <f>12000000*25</f>
        <v>300000000</v>
      </c>
      <c r="AB14" s="135"/>
      <c r="AC14" s="85"/>
      <c r="AD14" s="234" t="s">
        <v>1386</v>
      </c>
    </row>
    <row r="15" spans="1:96" s="7" customFormat="1" ht="118.5" customHeight="1" x14ac:dyDescent="0.25">
      <c r="A15" s="75">
        <v>4</v>
      </c>
      <c r="B15" s="254" t="s">
        <v>1362</v>
      </c>
      <c r="C15" s="75" t="s">
        <v>636</v>
      </c>
      <c r="D15" s="75" t="str">
        <f>IF(C15="","",VLOOKUP(C15,listaBolsa!$D$2:$H$1118,2,0))</f>
        <v xml:space="preserve">Impresión a media carta 4 tintas en papel _x000D_
propalcote o kimberly 200 gr, tamaño 22x28 cm con nombres individuales o espacio para el mismo, refilados._x000D_
</v>
      </c>
      <c r="E15" s="254" t="s">
        <v>233</v>
      </c>
      <c r="F15" s="92">
        <v>25</v>
      </c>
      <c r="G15" s="255" t="s">
        <v>51</v>
      </c>
      <c r="H15" s="89" t="str">
        <f>IF(C15="","",VLOOKUP(C15,listaBolsa!$D$2:$W$1118,10,0))</f>
        <v>GUERRA EDITORES</v>
      </c>
      <c r="I15" s="128">
        <f>IF(C15="","",VLOOKUP(C15,listaBolsa!$D$2:$W$1118,14,0))</f>
        <v>2200</v>
      </c>
      <c r="J15" s="129">
        <f t="shared" ref="J15:J16" si="18">I15*19%</f>
        <v>418</v>
      </c>
      <c r="K15" s="129">
        <f t="shared" ref="K15:K17" si="19">I15+J15</f>
        <v>2618</v>
      </c>
      <c r="L15" s="129">
        <f t="shared" ref="L15:L17" si="20">IF(B15="","",(I15*F15))</f>
        <v>55000</v>
      </c>
      <c r="M15" s="129">
        <f t="shared" ref="M15:M17" si="21">IF(B15="","",(K15*F15))</f>
        <v>65450</v>
      </c>
      <c r="N15" s="90" t="str">
        <f>IF(C15="","",VLOOKUP(C15,listaBolsa!$D$2:$AZ$1276,23,0))</f>
        <v>SG DIGITAL S.A.S</v>
      </c>
      <c r="O15" s="130">
        <f>IF(C15="","",VLOOKUP(C15,listaBolsa!$D$2:$AZ$1276,27,0))</f>
        <v>2689.0756302521008</v>
      </c>
      <c r="P15" s="131">
        <f t="shared" ref="P15:P16" si="22">O15*19%</f>
        <v>510.92436974789916</v>
      </c>
      <c r="Q15" s="131">
        <f t="shared" ref="Q15:Q17" si="23">O15+P15</f>
        <v>3200</v>
      </c>
      <c r="R15" s="131">
        <f t="shared" ref="R15:R17" si="24">IF(B15="","",(O15*F15))</f>
        <v>67226.890756302528</v>
      </c>
      <c r="S15" s="131">
        <f t="shared" ref="S15:S17" si="25">IF(B15="","",(Q15*F15))</f>
        <v>80000</v>
      </c>
      <c r="T15" s="83" t="str">
        <f>IF(C15="","",VLOOKUP(C15,listaBolsa!$D$2:$BB$1276,36,0))</f>
        <v>JEGAR PUBLICIDAD MISIONES</v>
      </c>
      <c r="U15" s="132">
        <f>IF(C15="","",VLOOKUP(C15,listaBolsa!$D$2:$BB$1276,40,0))</f>
        <v>3800</v>
      </c>
      <c r="V15" s="133"/>
      <c r="W15" s="133">
        <f t="shared" ref="W15:W17" si="26">U15+V15</f>
        <v>3800</v>
      </c>
      <c r="X15" s="133">
        <f t="shared" ref="X15:X17" si="27">IF(B15="","",(U15*F15))</f>
        <v>95000</v>
      </c>
      <c r="Y15" s="133">
        <f t="shared" ref="Y15:Y17" si="28">IF(B15="","",(W15*F15))</f>
        <v>95000</v>
      </c>
      <c r="Z15" s="134">
        <f t="shared" si="17"/>
        <v>3206</v>
      </c>
      <c r="AA15" s="134">
        <f t="shared" si="5"/>
        <v>80150</v>
      </c>
      <c r="AB15" s="135">
        <f t="shared" ref="AB15" si="29">IF(B15="","",ROUND(STDEV(M15,S15,Y15),0))</f>
        <v>14776</v>
      </c>
      <c r="AC15" s="85">
        <f t="shared" si="6"/>
        <v>0.18435433562071116</v>
      </c>
      <c r="AD15" s="234" t="s">
        <v>1394</v>
      </c>
      <c r="AF15" s="7" t="str">
        <f>IF(C15="","",VLOOKUP(C15,listaBolsa!$D$2:$BB$276,51,0))</f>
        <v>Tercer ítem sin IVA</v>
      </c>
      <c r="BG15" s="7">
        <v>6</v>
      </c>
      <c r="CA15" s="7" t="str">
        <f>VLOOKUP(C15,listaBolsa!$D$2:$BA$1248,1,0)</f>
        <v>Certificado de participación</v>
      </c>
      <c r="CB15" s="7" t="str">
        <f>VLOOKUP(C15,listaBolsa!$D$2:$BA$1248,2,0)</f>
        <v xml:space="preserve">Impresión a media carta 4 tintas en papel _x000D_
propalcote o kimberly 200 gr, tamaño 22x28 cm con nombres individuales o espacio para el mismo, refilados._x000D_
</v>
      </c>
      <c r="CC15" s="7" t="str">
        <f>VLOOKUP(C15,listaBolsa!$D$2:$BA$1248,10,0)</f>
        <v>GUERRA EDITORES</v>
      </c>
      <c r="CD15" s="7">
        <f>VLOOKUP(C15,listaBolsa!$D$2:$BA$1248,14,0)</f>
        <v>2200</v>
      </c>
      <c r="CE15" s="7" t="str">
        <f>VLOOKUP(C15,listaBolsa!$D$2:$BA$1248,23,0)</f>
        <v>SG DIGITAL S.A.S</v>
      </c>
      <c r="CF15" s="7">
        <f>VLOOKUP(C15,listaBolsa!$D$2:$BA$1248,29,0)</f>
        <v>3200</v>
      </c>
      <c r="CG15" s="7" t="str">
        <f>VLOOKUP(C15,listaBolsa!$D$2:$BA$1248,36,0)</f>
        <v>JEGAR PUBLICIDAD MISIONES</v>
      </c>
      <c r="CH15" s="7">
        <f>VLOOKUP(C15,listaBolsa!$D$2:$BA$1248,40,0)</f>
        <v>3800</v>
      </c>
      <c r="CI15" s="7">
        <f>VLOOKUP(C15,listaBolsa!$D$2:$BA$1248,48,0)</f>
        <v>0.1843418590143481</v>
      </c>
      <c r="CJ15" s="7" t="b">
        <f t="shared" si="7"/>
        <v>1</v>
      </c>
      <c r="CK15" s="7" t="b">
        <f t="shared" si="7"/>
        <v>1</v>
      </c>
      <c r="CL15" s="7" t="b">
        <f t="shared" si="8"/>
        <v>1</v>
      </c>
      <c r="CM15" s="7" t="b">
        <f t="shared" si="8"/>
        <v>1</v>
      </c>
      <c r="CN15" s="7" t="b">
        <f t="shared" si="9"/>
        <v>1</v>
      </c>
      <c r="CO15" s="7" t="b">
        <f t="shared" si="9"/>
        <v>0</v>
      </c>
      <c r="CP15" s="7" t="b">
        <f t="shared" si="10"/>
        <v>1</v>
      </c>
      <c r="CQ15" s="7" t="b">
        <f t="shared" si="10"/>
        <v>1</v>
      </c>
      <c r="CR15" s="7" t="b">
        <f t="shared" si="11"/>
        <v>0</v>
      </c>
    </row>
    <row r="16" spans="1:96" s="7" customFormat="1" ht="105" x14ac:dyDescent="0.25">
      <c r="A16" s="75">
        <v>5</v>
      </c>
      <c r="B16" s="91" t="s">
        <v>1362</v>
      </c>
      <c r="C16" s="82" t="s">
        <v>985</v>
      </c>
      <c r="D16" s="75" t="str">
        <f>IF(C16="","",VLOOKUP(C16,listaBolsa!$D$2:$H$1118,2,0))</f>
        <v>Espacio físico para 100 personas con baño, sillas y mesas, ubicado en la localidad de Suba, con disponibilidad de espacio exterior para desarrollo de actividades_x000D_
Dotado con equipo de computo, video beam y sonido_x000D_
Jornada de 8 horas</v>
      </c>
      <c r="E16" s="91" t="s">
        <v>233</v>
      </c>
      <c r="F16" s="92">
        <v>1</v>
      </c>
      <c r="G16" s="235" t="s">
        <v>335</v>
      </c>
      <c r="H16" s="89" t="str">
        <f>IF(C16="","",VLOOKUP(C16,listaBolsa!$D$2:$W$1118,10,0))</f>
        <v xml:space="preserve">JAC PRADO PINZON </v>
      </c>
      <c r="I16" s="128">
        <f>IF(C16="","",VLOOKUP(C16,listaBolsa!$D$2:$W$1118,14,0))</f>
        <v>470589</v>
      </c>
      <c r="J16" s="129">
        <f t="shared" si="18"/>
        <v>89411.91</v>
      </c>
      <c r="K16" s="129">
        <f t="shared" si="19"/>
        <v>560000.91</v>
      </c>
      <c r="L16" s="129">
        <f t="shared" si="20"/>
        <v>470589</v>
      </c>
      <c r="M16" s="129">
        <f t="shared" si="21"/>
        <v>560000.91</v>
      </c>
      <c r="N16" s="90" t="str">
        <f>IF(C16="","",VLOOKUP(C16,listaBolsa!$D$2:$AZ$1276,23,0))</f>
        <v>JAC URBANIZACION EL LAGUITO DE SUBA</v>
      </c>
      <c r="O16" s="130">
        <f>IF(C16="","",VLOOKUP(C16,listaBolsa!$D$2:$AZ$1276,27,0))</f>
        <v>361345</v>
      </c>
      <c r="P16" s="131">
        <f t="shared" si="22"/>
        <v>68655.55</v>
      </c>
      <c r="Q16" s="131">
        <f t="shared" si="23"/>
        <v>430000.55</v>
      </c>
      <c r="R16" s="131">
        <f t="shared" si="24"/>
        <v>361345</v>
      </c>
      <c r="S16" s="131">
        <f t="shared" si="25"/>
        <v>430000.55</v>
      </c>
      <c r="T16" s="83"/>
      <c r="U16" s="132"/>
      <c r="V16" s="133"/>
      <c r="W16" s="133"/>
      <c r="X16" s="133"/>
      <c r="Y16" s="133"/>
      <c r="Z16" s="134">
        <f>IF(A16="","",ROUND(AVERAGE(K16,Q16),0))</f>
        <v>495001</v>
      </c>
      <c r="AA16" s="134">
        <f t="shared" si="5"/>
        <v>495001</v>
      </c>
      <c r="AB16" s="135">
        <f>IF(B16="","",ROUND(STDEV(M16,S16),0))</f>
        <v>91924</v>
      </c>
      <c r="AC16" s="85">
        <f>IF(B16="","",(AB16/AA16))</f>
        <v>0.18570467534409021</v>
      </c>
      <c r="AD16" s="234" t="s">
        <v>1364</v>
      </c>
      <c r="AF16" s="7">
        <f>IF(C16="","",VLOOKUP(C16,listaBolsa!$D$2:$BB$276,51,0))</f>
        <v>0</v>
      </c>
      <c r="BG16" s="7">
        <v>7</v>
      </c>
      <c r="CA16" s="7" t="str">
        <f>VLOOKUP(C16,listaBolsa!$D$2:$BA$1248,1,0)</f>
        <v>Salón - Espacio Apto para 100 personas   (jornada completa más equipos audiovisuales)</v>
      </c>
      <c r="CB16" s="7" t="str">
        <f>VLOOKUP(C16,listaBolsa!$D$2:$BA$1248,2,0)</f>
        <v>Espacio físico para 100 personas con baño, sillas y mesas, ubicado en la localidad de Suba, con disponibilidad de espacio exterior para desarrollo de actividades_x000D_
Dotado con equipo de computo, video beam y sonido_x000D_
Jornada de 8 horas</v>
      </c>
      <c r="CC16" s="7" t="str">
        <f>VLOOKUP(C16,listaBolsa!$D$2:$BA$1248,10,0)</f>
        <v xml:space="preserve">JAC PRADO PINZON </v>
      </c>
      <c r="CD16" s="7">
        <f>VLOOKUP(C16,listaBolsa!$D$2:$BA$1248,14,0)</f>
        <v>470589</v>
      </c>
      <c r="CE16" s="7" t="str">
        <f>VLOOKUP(C16,listaBolsa!$D$2:$BA$1248,23,0)</f>
        <v>JAC URBANIZACION EL LAGUITO DE SUBA</v>
      </c>
      <c r="CF16" s="7">
        <f>VLOOKUP(C16,listaBolsa!$D$2:$BA$1248,29,0)</f>
        <v>430000.55</v>
      </c>
      <c r="CG16" s="7">
        <f>VLOOKUP(C16,listaBolsa!$D$2:$BA$1248,36,0)</f>
        <v>0</v>
      </c>
      <c r="CH16" s="7">
        <f>VLOOKUP(C16,listaBolsa!$D$2:$BA$1248,40,0)</f>
        <v>0</v>
      </c>
      <c r="CI16" s="7">
        <f>VLOOKUP(C16,listaBolsa!$D$2:$BA$1248,48,0)</f>
        <v>0.18570467534409021</v>
      </c>
      <c r="CJ16" s="7" t="b">
        <f t="shared" si="7"/>
        <v>1</v>
      </c>
      <c r="CK16" s="7" t="b">
        <f t="shared" si="7"/>
        <v>1</v>
      </c>
      <c r="CL16" s="7" t="b">
        <f t="shared" si="8"/>
        <v>1</v>
      </c>
      <c r="CM16" s="7" t="b">
        <f t="shared" si="8"/>
        <v>1</v>
      </c>
      <c r="CN16" s="7" t="b">
        <f t="shared" si="9"/>
        <v>1</v>
      </c>
      <c r="CO16" s="7" t="b">
        <f t="shared" si="9"/>
        <v>0</v>
      </c>
      <c r="CP16" s="7" t="b">
        <f t="shared" si="10"/>
        <v>1</v>
      </c>
      <c r="CQ16" s="7" t="b">
        <f t="shared" si="10"/>
        <v>1</v>
      </c>
      <c r="CR16" s="7" t="b">
        <f t="shared" si="11"/>
        <v>1</v>
      </c>
    </row>
    <row r="17" spans="1:96" s="7" customFormat="1" ht="236.65" customHeight="1" x14ac:dyDescent="0.25">
      <c r="A17" s="75">
        <v>6</v>
      </c>
      <c r="B17" s="91" t="s">
        <v>1362</v>
      </c>
      <c r="C17" s="82" t="s">
        <v>969</v>
      </c>
      <c r="D17" s="75" t="str">
        <f>IF(C17="","",VLOOKUP(C17,listaBolsa!$D$2:$H$1118,2,0))</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7" s="91" t="s">
        <v>233</v>
      </c>
      <c r="F17" s="92">
        <v>100</v>
      </c>
      <c r="G17" s="235" t="s">
        <v>51</v>
      </c>
      <c r="H17" s="250" t="s">
        <v>319</v>
      </c>
      <c r="I17" s="252">
        <v>11700</v>
      </c>
      <c r="J17" s="263">
        <f>I17*8%</f>
        <v>936</v>
      </c>
      <c r="K17" s="263">
        <f t="shared" si="19"/>
        <v>12636</v>
      </c>
      <c r="L17" s="129">
        <f t="shared" si="20"/>
        <v>1170000</v>
      </c>
      <c r="M17" s="129">
        <f t="shared" si="21"/>
        <v>1263600</v>
      </c>
      <c r="N17" s="246" t="s">
        <v>972</v>
      </c>
      <c r="O17" s="247">
        <v>8570</v>
      </c>
      <c r="P17" s="248">
        <f>O17*8%</f>
        <v>685.6</v>
      </c>
      <c r="Q17" s="248">
        <f t="shared" si="23"/>
        <v>9255.6</v>
      </c>
      <c r="R17" s="131">
        <f t="shared" si="24"/>
        <v>857000</v>
      </c>
      <c r="S17" s="131">
        <f t="shared" si="25"/>
        <v>925560</v>
      </c>
      <c r="T17" s="243" t="s">
        <v>304</v>
      </c>
      <c r="U17" s="244">
        <v>12843.4</v>
      </c>
      <c r="V17" s="245">
        <f>U17*8%</f>
        <v>1027.472</v>
      </c>
      <c r="W17" s="245">
        <f t="shared" si="26"/>
        <v>13870.871999999999</v>
      </c>
      <c r="X17" s="133">
        <f t="shared" si="27"/>
        <v>1284340</v>
      </c>
      <c r="Y17" s="133">
        <f t="shared" si="28"/>
        <v>1387087.2</v>
      </c>
      <c r="Z17" s="134">
        <f t="shared" ref="Z17" si="30">IF(A17="","",ROUND(AVERAGE(K17,Q17,W17),0))</f>
        <v>11921</v>
      </c>
      <c r="AA17" s="134">
        <f t="shared" si="5"/>
        <v>1192100</v>
      </c>
      <c r="AB17" s="135">
        <f t="shared" ref="AB17" si="31">IF(B17="","",ROUND(STDEV(M17,S17,Y17),0))</f>
        <v>238931</v>
      </c>
      <c r="AC17" s="85">
        <f t="shared" ref="AC17" si="32">IF(B17="","",(AB17/AA17))</f>
        <v>0.20042865531415149</v>
      </c>
      <c r="AD17" s="234" t="s">
        <v>1394</v>
      </c>
    </row>
    <row r="18" spans="1:96" s="7" customFormat="1" ht="131.25" customHeight="1" x14ac:dyDescent="0.25">
      <c r="A18" s="75">
        <v>7</v>
      </c>
      <c r="B18" s="91" t="s">
        <v>1387</v>
      </c>
      <c r="C18" s="82" t="s">
        <v>1399</v>
      </c>
      <c r="D18" s="75" t="s">
        <v>1398</v>
      </c>
      <c r="E18" s="91" t="s">
        <v>233</v>
      </c>
      <c r="F18" s="92">
        <v>1</v>
      </c>
      <c r="G18" s="235" t="s">
        <v>51</v>
      </c>
      <c r="H18" s="89" t="s">
        <v>1385</v>
      </c>
      <c r="I18" s="128"/>
      <c r="J18" s="129"/>
      <c r="K18" s="129"/>
      <c r="L18" s="129"/>
      <c r="M18" s="129"/>
      <c r="N18" s="90" t="s">
        <v>1385</v>
      </c>
      <c r="O18" s="130"/>
      <c r="P18" s="131"/>
      <c r="Q18" s="131"/>
      <c r="R18" s="131"/>
      <c r="S18" s="131"/>
      <c r="T18" s="83" t="s">
        <v>1385</v>
      </c>
      <c r="U18" s="132"/>
      <c r="V18" s="133"/>
      <c r="W18" s="133"/>
      <c r="X18" s="133"/>
      <c r="Y18" s="133"/>
      <c r="Z18" s="134"/>
      <c r="AA18" s="134">
        <f>15000000*25</f>
        <v>375000000</v>
      </c>
      <c r="AB18" s="135"/>
      <c r="AC18" s="85"/>
      <c r="AD18" s="234" t="s">
        <v>1386</v>
      </c>
      <c r="AF18" s="7" t="e">
        <f>IF(C18="","",VLOOKUP(C18,listaBolsa!$D$2:$BB$276,51,0))</f>
        <v>#N/A</v>
      </c>
      <c r="BG18" s="7">
        <v>8</v>
      </c>
      <c r="CA18" s="7" t="e">
        <f>VLOOKUP(C18,listaBolsa!$D$2:$BA$1248,1,0)</f>
        <v>#N/A</v>
      </c>
      <c r="CB18" s="7" t="e">
        <f>VLOOKUP(C18,listaBolsa!$D$2:$BA$1248,2,0)</f>
        <v>#N/A</v>
      </c>
      <c r="CC18" s="7" t="e">
        <f>VLOOKUP(C18,listaBolsa!$D$2:$BA$1248,10,0)</f>
        <v>#N/A</v>
      </c>
      <c r="CD18" s="7" t="e">
        <f>VLOOKUP(C18,listaBolsa!$D$2:$BA$1248,14,0)</f>
        <v>#N/A</v>
      </c>
      <c r="CE18" s="7" t="e">
        <f>VLOOKUP(C18,listaBolsa!$D$2:$BA$1248,23,0)</f>
        <v>#N/A</v>
      </c>
      <c r="CF18" s="7" t="e">
        <f>VLOOKUP(C18,listaBolsa!$D$2:$BA$1248,29,0)</f>
        <v>#N/A</v>
      </c>
      <c r="CG18" s="7" t="e">
        <f>VLOOKUP(C18,listaBolsa!$D$2:$BA$1248,36,0)</f>
        <v>#N/A</v>
      </c>
      <c r="CH18" s="7" t="e">
        <f>VLOOKUP(C18,listaBolsa!$D$2:$BA$1248,40,0)</f>
        <v>#N/A</v>
      </c>
      <c r="CI18" s="7" t="e">
        <f>VLOOKUP(C18,listaBolsa!$D$2:$BA$1248,48,0)</f>
        <v>#N/A</v>
      </c>
      <c r="CJ18" s="7" t="e">
        <f t="shared" si="7"/>
        <v>#N/A</v>
      </c>
      <c r="CK18" s="7" t="e">
        <f t="shared" si="7"/>
        <v>#N/A</v>
      </c>
      <c r="CL18" s="7" t="e">
        <f t="shared" si="8"/>
        <v>#N/A</v>
      </c>
      <c r="CM18" s="7" t="e">
        <f t="shared" si="8"/>
        <v>#N/A</v>
      </c>
      <c r="CN18" s="7" t="e">
        <f t="shared" si="9"/>
        <v>#N/A</v>
      </c>
      <c r="CO18" s="7" t="e">
        <f t="shared" si="9"/>
        <v>#N/A</v>
      </c>
      <c r="CP18" s="7" t="e">
        <f t="shared" si="10"/>
        <v>#N/A</v>
      </c>
      <c r="CQ18" s="7" t="e">
        <f t="shared" si="10"/>
        <v>#N/A</v>
      </c>
      <c r="CR18" s="7" t="e">
        <f t="shared" si="11"/>
        <v>#N/A</v>
      </c>
    </row>
    <row r="19" spans="1:96" s="7" customFormat="1" ht="21" x14ac:dyDescent="0.25">
      <c r="A19" s="292" t="s">
        <v>52</v>
      </c>
      <c r="B19" s="292"/>
      <c r="C19" s="292"/>
      <c r="D19" s="292"/>
      <c r="E19" s="292"/>
      <c r="F19" s="292"/>
      <c r="G19" s="292"/>
      <c r="H19" s="292"/>
      <c r="I19" s="292"/>
      <c r="J19" s="292"/>
      <c r="K19" s="292"/>
      <c r="L19" s="292"/>
      <c r="M19" s="292"/>
      <c r="N19" s="292"/>
      <c r="O19" s="292"/>
      <c r="P19" s="292"/>
      <c r="Q19" s="292"/>
      <c r="R19" s="292"/>
      <c r="S19" s="292"/>
      <c r="T19" s="292"/>
      <c r="U19" s="292"/>
      <c r="V19" s="292"/>
      <c r="W19" s="292"/>
      <c r="X19" s="292"/>
      <c r="Y19" s="292"/>
      <c r="Z19" s="292"/>
      <c r="AA19" s="265">
        <f>SUM(AA11:AA18)</f>
        <v>678333577</v>
      </c>
    </row>
    <row r="20" spans="1:96" x14ac:dyDescent="0.25">
      <c r="L20" s="70"/>
      <c r="M20" s="70"/>
    </row>
    <row r="21" spans="1:96" s="7" customFormat="1" ht="28.9" customHeight="1" x14ac:dyDescent="0.25">
      <c r="A21" s="276" t="s">
        <v>53</v>
      </c>
      <c r="B21" s="276"/>
      <c r="C21" s="276"/>
      <c r="D21" s="276"/>
      <c r="E21" s="276"/>
      <c r="F21" s="276"/>
      <c r="G21" s="276"/>
      <c r="H21" s="3"/>
      <c r="I21" s="3"/>
      <c r="J21" s="3"/>
      <c r="K21" s="3"/>
      <c r="L21" s="70"/>
      <c r="M21" s="70"/>
      <c r="N21" s="3"/>
      <c r="O21" s="3"/>
      <c r="P21" s="3"/>
      <c r="Q21" s="3"/>
      <c r="R21" s="3"/>
      <c r="S21" s="3"/>
      <c r="T21" s="3"/>
      <c r="U21" s="3"/>
      <c r="V21" s="3"/>
      <c r="W21" s="3"/>
      <c r="X21" s="3"/>
      <c r="Y21" s="3"/>
      <c r="Z21" s="3"/>
      <c r="AA21" s="3"/>
      <c r="AB21" s="3"/>
      <c r="AC21" s="3"/>
      <c r="AD21" s="3"/>
      <c r="AE21" s="3"/>
      <c r="AF21" s="3"/>
    </row>
    <row r="22" spans="1:96" s="7" customFormat="1" x14ac:dyDescent="0.25">
      <c r="A22" s="84"/>
      <c r="B22" s="84"/>
      <c r="C22" s="84"/>
      <c r="D22" s="84"/>
      <c r="E22" s="84"/>
      <c r="F22" s="84"/>
      <c r="G22" s="84"/>
      <c r="H22" s="3"/>
      <c r="I22" s="3"/>
      <c r="J22" s="3"/>
      <c r="K22" s="3"/>
      <c r="L22" s="70"/>
      <c r="M22" s="70"/>
      <c r="N22" s="3"/>
      <c r="O22" s="3"/>
      <c r="P22" s="3"/>
      <c r="Q22" s="3"/>
      <c r="R22" s="3"/>
      <c r="S22" s="3"/>
      <c r="T22" s="3"/>
      <c r="U22" s="3"/>
      <c r="V22" s="3"/>
      <c r="W22" s="3"/>
      <c r="X22" s="3"/>
      <c r="Y22" s="3"/>
      <c r="Z22" s="3"/>
      <c r="AA22" s="3"/>
      <c r="AB22" s="3"/>
      <c r="AC22" s="3"/>
      <c r="AD22" s="3"/>
      <c r="AE22" s="3"/>
      <c r="AF22" s="3"/>
    </row>
    <row r="23" spans="1:96" s="10" customFormat="1" ht="72" x14ac:dyDescent="0.25">
      <c r="A23" s="79" t="s">
        <v>27</v>
      </c>
      <c r="B23" s="79" t="s">
        <v>28</v>
      </c>
      <c r="C23" s="79" t="s">
        <v>54</v>
      </c>
      <c r="D23" s="79" t="s">
        <v>55</v>
      </c>
      <c r="E23" s="79" t="s">
        <v>30</v>
      </c>
      <c r="F23" s="79" t="s">
        <v>31</v>
      </c>
      <c r="G23" s="80" t="s">
        <v>56</v>
      </c>
      <c r="H23" s="80" t="s">
        <v>57</v>
      </c>
      <c r="I23" s="80" t="s">
        <v>58</v>
      </c>
      <c r="J23" s="80" t="s">
        <v>59</v>
      </c>
      <c r="K23" s="272" t="s">
        <v>41</v>
      </c>
      <c r="L23" s="272"/>
      <c r="M23" s="272"/>
      <c r="N23" s="272"/>
      <c r="O23" s="70"/>
      <c r="P23" s="70"/>
      <c r="Q23" s="70"/>
      <c r="R23" s="70"/>
      <c r="S23" s="70"/>
      <c r="T23" s="70"/>
      <c r="U23" s="70"/>
      <c r="V23" s="70"/>
      <c r="AR23" s="7"/>
    </row>
    <row r="24" spans="1:96" s="7" customFormat="1" ht="195.4" customHeight="1" x14ac:dyDescent="0.25">
      <c r="A24" s="75" t="s">
        <v>1366</v>
      </c>
      <c r="B24" s="91" t="s">
        <v>1371</v>
      </c>
      <c r="C24" s="75" t="s">
        <v>1372</v>
      </c>
      <c r="D24" s="75" t="s">
        <v>1373</v>
      </c>
      <c r="E24" s="91" t="s">
        <v>60</v>
      </c>
      <c r="F24" s="92">
        <v>1</v>
      </c>
      <c r="G24" s="81">
        <v>7</v>
      </c>
      <c r="H24" s="76" t="s">
        <v>61</v>
      </c>
      <c r="I24" s="264">
        <v>8940704</v>
      </c>
      <c r="J24" s="264">
        <f t="shared" ref="J24:J28" si="33">I24*F24*G24</f>
        <v>62584928</v>
      </c>
      <c r="K24" s="273" t="s">
        <v>1400</v>
      </c>
      <c r="L24" s="273"/>
      <c r="M24" s="273"/>
      <c r="N24" s="273"/>
      <c r="O24" s="70"/>
      <c r="P24" s="70"/>
      <c r="Q24" s="70"/>
      <c r="R24" s="70"/>
      <c r="S24" s="70"/>
      <c r="T24" s="274" t="s">
        <v>1392</v>
      </c>
      <c r="U24" s="274"/>
      <c r="V24" s="274"/>
      <c r="W24" s="274"/>
      <c r="X24" s="274"/>
      <c r="Y24" s="274"/>
      <c r="Z24" s="257" t="s">
        <v>63</v>
      </c>
      <c r="AA24" s="266">
        <f>SUM(AA19,J29)</f>
        <v>900000000</v>
      </c>
      <c r="AR24" s="7">
        <v>1</v>
      </c>
    </row>
    <row r="25" spans="1:96" s="7" customFormat="1" ht="129" customHeight="1" x14ac:dyDescent="0.25">
      <c r="A25" s="75" t="s">
        <v>1367</v>
      </c>
      <c r="B25" s="91" t="s">
        <v>1371</v>
      </c>
      <c r="C25" s="75" t="s">
        <v>1374</v>
      </c>
      <c r="D25" s="75" t="s">
        <v>1378</v>
      </c>
      <c r="E25" s="91" t="s">
        <v>60</v>
      </c>
      <c r="F25" s="92">
        <v>1</v>
      </c>
      <c r="G25" s="81">
        <v>7</v>
      </c>
      <c r="H25" s="76" t="s">
        <v>61</v>
      </c>
      <c r="I25" s="264">
        <f>6758057</f>
        <v>6758057</v>
      </c>
      <c r="J25" s="264">
        <f t="shared" si="33"/>
        <v>47306399</v>
      </c>
      <c r="K25" s="273" t="s">
        <v>1400</v>
      </c>
      <c r="L25" s="273"/>
      <c r="M25" s="273"/>
      <c r="N25" s="273"/>
      <c r="O25" s="70"/>
      <c r="P25" s="70"/>
      <c r="Q25" s="70"/>
      <c r="R25" s="70"/>
      <c r="S25" s="70"/>
      <c r="T25" s="270" t="s">
        <v>1396</v>
      </c>
      <c r="U25" s="271"/>
      <c r="V25" s="271"/>
      <c r="W25" s="271"/>
      <c r="X25" s="271"/>
      <c r="Y25" s="271"/>
      <c r="Z25" s="271"/>
      <c r="AA25" s="271"/>
      <c r="AR25" s="7">
        <v>2</v>
      </c>
    </row>
    <row r="26" spans="1:96" s="7" customFormat="1" ht="91.15" customHeight="1" x14ac:dyDescent="0.25">
      <c r="A26" s="75" t="s">
        <v>1368</v>
      </c>
      <c r="B26" s="91" t="s">
        <v>1371</v>
      </c>
      <c r="C26" s="75" t="s">
        <v>1375</v>
      </c>
      <c r="D26" s="75" t="s">
        <v>1379</v>
      </c>
      <c r="E26" s="91" t="s">
        <v>60</v>
      </c>
      <c r="F26" s="92">
        <v>2</v>
      </c>
      <c r="G26" s="81">
        <v>6</v>
      </c>
      <c r="H26" s="76" t="s">
        <v>61</v>
      </c>
      <c r="I26" s="264">
        <v>3095008</v>
      </c>
      <c r="J26" s="264">
        <f t="shared" si="33"/>
        <v>37140096</v>
      </c>
      <c r="K26" s="273" t="s">
        <v>1400</v>
      </c>
      <c r="L26" s="273"/>
      <c r="M26" s="273"/>
      <c r="N26" s="273"/>
      <c r="O26" s="70"/>
      <c r="P26" s="70"/>
      <c r="Q26" s="70"/>
      <c r="R26" s="70"/>
      <c r="S26" s="70"/>
      <c r="T26" s="271"/>
      <c r="U26" s="271"/>
      <c r="V26" s="271"/>
      <c r="W26" s="271"/>
      <c r="X26" s="271"/>
      <c r="Y26" s="271"/>
      <c r="Z26" s="271"/>
      <c r="AA26" s="271"/>
    </row>
    <row r="27" spans="1:96" s="7" customFormat="1" ht="409.5" customHeight="1" x14ac:dyDescent="0.25">
      <c r="A27" s="75" t="s">
        <v>1369</v>
      </c>
      <c r="B27" s="91" t="s">
        <v>1371</v>
      </c>
      <c r="C27" s="75" t="s">
        <v>1376</v>
      </c>
      <c r="D27" s="75" t="s">
        <v>1403</v>
      </c>
      <c r="E27" s="91" t="s">
        <v>60</v>
      </c>
      <c r="F27" s="92">
        <v>1</v>
      </c>
      <c r="G27" s="81">
        <v>5</v>
      </c>
      <c r="H27" s="76" t="s">
        <v>61</v>
      </c>
      <c r="I27" s="264">
        <v>7463500</v>
      </c>
      <c r="J27" s="264">
        <f t="shared" si="33"/>
        <v>37317500</v>
      </c>
      <c r="K27" s="275" t="s">
        <v>1401</v>
      </c>
      <c r="L27" s="275"/>
      <c r="M27" s="275"/>
      <c r="N27" s="275"/>
      <c r="O27" s="70"/>
      <c r="P27" s="70"/>
      <c r="Q27" s="70"/>
      <c r="R27" s="70"/>
      <c r="S27" s="70"/>
      <c r="T27" s="256"/>
      <c r="U27" s="256"/>
      <c r="V27" s="256"/>
      <c r="W27" s="256"/>
      <c r="X27" s="256"/>
      <c r="Y27" s="256"/>
    </row>
    <row r="28" spans="1:96" s="7" customFormat="1" ht="381.75" customHeight="1" x14ac:dyDescent="0.25">
      <c r="A28" s="75" t="s">
        <v>1370</v>
      </c>
      <c r="B28" s="91" t="s">
        <v>1371</v>
      </c>
      <c r="C28" s="75" t="s">
        <v>1402</v>
      </c>
      <c r="D28" s="75" t="s">
        <v>1380</v>
      </c>
      <c r="E28" s="91" t="s">
        <v>60</v>
      </c>
      <c r="F28" s="92">
        <v>1</v>
      </c>
      <c r="G28" s="81">
        <v>5</v>
      </c>
      <c r="H28" s="76" t="s">
        <v>61</v>
      </c>
      <c r="I28" s="264">
        <v>7463500</v>
      </c>
      <c r="J28" s="264">
        <f t="shared" si="33"/>
        <v>37317500</v>
      </c>
      <c r="K28" s="275" t="s">
        <v>1401</v>
      </c>
      <c r="L28" s="275"/>
      <c r="M28" s="275"/>
      <c r="N28" s="275"/>
      <c r="O28" s="70"/>
      <c r="P28" s="70"/>
      <c r="Q28" s="70"/>
      <c r="R28" s="70"/>
      <c r="S28" s="70"/>
      <c r="T28" s="256"/>
      <c r="U28" s="256"/>
      <c r="V28" s="256"/>
      <c r="W28" s="256"/>
      <c r="X28" s="256"/>
      <c r="Y28" s="256"/>
    </row>
    <row r="29" spans="1:96" s="7" customFormat="1" ht="63" customHeight="1" x14ac:dyDescent="0.25">
      <c r="A29" s="269" t="s">
        <v>64</v>
      </c>
      <c r="B29" s="269"/>
      <c r="C29" s="269"/>
      <c r="D29" s="269"/>
      <c r="E29" s="269"/>
      <c r="F29" s="269"/>
      <c r="G29" s="269"/>
      <c r="H29" s="269"/>
      <c r="I29" s="265">
        <f>SUM(I24:I28)</f>
        <v>33720769</v>
      </c>
      <c r="J29" s="265">
        <f>SUM(J24:J28)</f>
        <v>221666423</v>
      </c>
      <c r="K29" s="70"/>
      <c r="L29" s="70"/>
    </row>
    <row r="30" spans="1:96" x14ac:dyDescent="0.25">
      <c r="L30" s="70"/>
      <c r="M30" s="70"/>
      <c r="Z30" s="7"/>
      <c r="AA30" s="7"/>
    </row>
    <row r="31" spans="1:96" x14ac:dyDescent="0.25">
      <c r="L31" s="70"/>
      <c r="M31" s="70"/>
      <c r="Z31" s="7"/>
      <c r="AA31" s="7"/>
    </row>
    <row r="32" spans="1:96" x14ac:dyDescent="0.25">
      <c r="L32" s="70"/>
      <c r="M32" s="70"/>
      <c r="P32" s="93"/>
      <c r="Q32" s="93"/>
      <c r="R32" s="93"/>
      <c r="Z32" s="7"/>
      <c r="AA32" s="7"/>
    </row>
    <row r="33" spans="12:27" x14ac:dyDescent="0.25">
      <c r="L33" s="70"/>
      <c r="M33" s="70"/>
      <c r="Z33" s="7"/>
      <c r="AA33" s="7"/>
    </row>
    <row r="34" spans="12:27" x14ac:dyDescent="0.25"/>
    <row r="35" spans="12:27" x14ac:dyDescent="0.25">
      <c r="N35" s="3" t="s">
        <v>65</v>
      </c>
    </row>
  </sheetData>
  <sheetProtection formatColumns="0" formatRows="0" insertColumns="0" insertRows="0" autoFilter="0"/>
  <autoFilter ref="A10:CR19" xr:uid="{A87D39A3-7116-4968-821C-EC9B553FD5A2}"/>
  <mergeCells count="27">
    <mergeCell ref="A3:M3"/>
    <mergeCell ref="N3:W6"/>
    <mergeCell ref="A4:B6"/>
    <mergeCell ref="D4:I4"/>
    <mergeCell ref="J4:K4"/>
    <mergeCell ref="L4:M4"/>
    <mergeCell ref="A21:G21"/>
    <mergeCell ref="Z4:AA4"/>
    <mergeCell ref="D5:M5"/>
    <mergeCell ref="Z5:AA5"/>
    <mergeCell ref="F6:M6"/>
    <mergeCell ref="Z6:AA6"/>
    <mergeCell ref="A7:M7"/>
    <mergeCell ref="H9:M9"/>
    <mergeCell ref="N9:S9"/>
    <mergeCell ref="T9:Y9"/>
    <mergeCell ref="Z9:AC9"/>
    <mergeCell ref="A19:Z19"/>
    <mergeCell ref="A29:H29"/>
    <mergeCell ref="T25:AA26"/>
    <mergeCell ref="K23:N23"/>
    <mergeCell ref="K24:N24"/>
    <mergeCell ref="T24:Y24"/>
    <mergeCell ref="K25:N25"/>
    <mergeCell ref="K26:N26"/>
    <mergeCell ref="K27:N27"/>
    <mergeCell ref="K28:N28"/>
  </mergeCells>
  <conditionalFormatting sqref="AC11:AC18">
    <cfRule type="cellIs" dxfId="6" priority="1" stopIfTrue="1" operator="greaterThan">
      <formula>0.2</formula>
    </cfRule>
  </conditionalFormatting>
  <dataValidations count="1">
    <dataValidation type="list" allowBlank="1" showInputMessage="1" sqref="G12:G18" xr:uid="{458EB971-6E5D-4C27-A0FC-F7B1FED94C69}">
      <formula1>"Compra,Alquiler,PrestaciónServicio"</formula1>
    </dataValidation>
  </dataValidations>
  <pageMargins left="0.25" right="0.25" top="0.75" bottom="0.75" header="0.3" footer="0.3"/>
  <pageSetup paperSize="3" scale="18"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2">
        <x14:dataValidation type="list" allowBlank="1" showInputMessage="1" promptTitle="Seleccione Item " prompt="Si es un ítem de la bolsa básica, seleccione de la lista" xr:uid="{073DDF6B-DFD7-4216-8D32-9FCF2C904A4E}">
          <x14:formula1>
            <xm:f>listaBolsa!$D$3:$D$290</xm:f>
          </x14:formula1>
          <xm:sqref>C12:C18</xm:sqref>
        </x14:dataValidation>
        <x14:dataValidation type="list" allowBlank="1" showInputMessage="1" showErrorMessage="1" xr:uid="{FF80E1BC-0445-4804-88C6-209E8FDCE994}">
          <x14:formula1>
            <xm:f>Lista!$V$8:$V$14</xm:f>
          </x14:formula1>
          <xm:sqref>D5 J4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42578125" defaultRowHeight="15" x14ac:dyDescent="0.25"/>
  <cols>
    <col min="1" max="1" width="16.5703125" bestFit="1" customWidth="1"/>
    <col min="2" max="2" width="50.140625" bestFit="1" customWidth="1"/>
  </cols>
  <sheetData>
    <row r="1" spans="1:2" x14ac:dyDescent="0.25">
      <c r="A1" t="s">
        <v>66</v>
      </c>
    </row>
    <row r="2" spans="1:2" x14ac:dyDescent="0.25">
      <c r="A2" s="61" t="s">
        <v>67</v>
      </c>
      <c r="B2" t="s">
        <v>68</v>
      </c>
    </row>
    <row r="3" spans="1:2" x14ac:dyDescent="0.25">
      <c r="A3" s="62" t="s">
        <v>69</v>
      </c>
      <c r="B3">
        <v>87</v>
      </c>
    </row>
    <row r="4" spans="1:2" x14ac:dyDescent="0.25">
      <c r="A4" s="62" t="s">
        <v>70</v>
      </c>
      <c r="B4">
        <v>87</v>
      </c>
    </row>
    <row r="100" spans="1:2" x14ac:dyDescent="0.25">
      <c r="A100" t="s">
        <v>71</v>
      </c>
    </row>
    <row r="102" spans="1:2" x14ac:dyDescent="0.25">
      <c r="A102" s="61" t="s">
        <v>67</v>
      </c>
      <c r="B102" t="s">
        <v>72</v>
      </c>
    </row>
    <row r="103" spans="1:2" x14ac:dyDescent="0.25">
      <c r="A103" s="62" t="s">
        <v>69</v>
      </c>
      <c r="B103" t="e">
        <v>#DIV/0!</v>
      </c>
    </row>
    <row r="104" spans="1:2" x14ac:dyDescent="0.25">
      <c r="A104" s="62" t="s">
        <v>70</v>
      </c>
      <c r="B104" t="e">
        <v>#DIV/0!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42578125" defaultRowHeight="15" x14ac:dyDescent="0.2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x14ac:dyDescent="0.25">
      <c r="A3" s="331" t="s">
        <v>73</v>
      </c>
      <c r="B3" s="331"/>
      <c r="C3" s="331"/>
      <c r="D3" s="331"/>
      <c r="E3" s="331"/>
      <c r="F3" s="331"/>
      <c r="G3" s="331"/>
      <c r="H3" s="331"/>
      <c r="I3" s="331"/>
      <c r="J3" s="331"/>
      <c r="K3" s="331"/>
      <c r="L3" s="331"/>
      <c r="M3" s="332" t="s">
        <v>1</v>
      </c>
      <c r="N3" s="333"/>
      <c r="O3" s="333"/>
      <c r="P3" s="333"/>
      <c r="Q3" s="333"/>
      <c r="R3" s="333"/>
      <c r="S3" s="333"/>
      <c r="T3" s="333"/>
      <c r="U3" s="333"/>
      <c r="V3" s="3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x14ac:dyDescent="0.25">
      <c r="A4" s="338"/>
      <c r="B4" s="338"/>
      <c r="C4" s="45" t="s">
        <v>74</v>
      </c>
      <c r="D4" s="17"/>
      <c r="E4" s="339" t="s">
        <v>5</v>
      </c>
      <c r="F4" s="339"/>
      <c r="G4" s="293"/>
      <c r="H4" s="293"/>
      <c r="I4" s="293"/>
      <c r="J4" s="293"/>
      <c r="K4" s="293"/>
      <c r="L4" s="293"/>
      <c r="M4" s="334"/>
      <c r="N4" s="335"/>
      <c r="O4" s="335"/>
      <c r="P4" s="335"/>
      <c r="Q4" s="335"/>
      <c r="R4" s="335"/>
      <c r="S4" s="335"/>
      <c r="T4" s="335"/>
      <c r="U4" s="335"/>
      <c r="V4" s="335"/>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25">
      <c r="A5" s="338"/>
      <c r="B5" s="338"/>
      <c r="C5" s="20" t="s">
        <v>8</v>
      </c>
      <c r="D5" s="340"/>
      <c r="E5" s="341"/>
      <c r="F5" s="342"/>
      <c r="G5" s="20" t="s">
        <v>9</v>
      </c>
      <c r="H5" s="340"/>
      <c r="I5" s="342"/>
      <c r="J5" s="20" t="s">
        <v>75</v>
      </c>
      <c r="K5" s="340"/>
      <c r="L5" s="342"/>
      <c r="M5" s="334"/>
      <c r="N5" s="335"/>
      <c r="O5" s="335"/>
      <c r="P5" s="335"/>
      <c r="Q5" s="335"/>
      <c r="R5" s="335"/>
      <c r="S5" s="335"/>
      <c r="T5" s="335"/>
      <c r="U5" s="335"/>
      <c r="V5" s="335"/>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25">
      <c r="A6" s="338"/>
      <c r="B6" s="338"/>
      <c r="C6" s="46" t="s">
        <v>2</v>
      </c>
      <c r="D6" s="339"/>
      <c r="E6" s="339"/>
      <c r="F6" s="339"/>
      <c r="G6" s="339"/>
      <c r="H6" s="339"/>
      <c r="I6" s="339"/>
      <c r="J6" s="339"/>
      <c r="K6" s="339"/>
      <c r="L6" s="339"/>
      <c r="M6" s="336"/>
      <c r="N6" s="337"/>
      <c r="O6" s="337"/>
      <c r="P6" s="337"/>
      <c r="Q6" s="337"/>
      <c r="R6" s="337"/>
      <c r="S6" s="337"/>
      <c r="T6" s="337"/>
      <c r="U6" s="337"/>
      <c r="V6" s="337"/>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315" t="s">
        <v>53</v>
      </c>
      <c r="BD6" s="315"/>
      <c r="BE6" s="315"/>
      <c r="BF6" s="315"/>
      <c r="BG6" s="315"/>
      <c r="BH6" s="315"/>
      <c r="BI6" s="315"/>
      <c r="BJ6" s="315"/>
      <c r="BK6" s="315"/>
      <c r="BL6" s="315"/>
      <c r="BM6" s="315"/>
      <c r="BN6" s="315"/>
    </row>
    <row r="8" spans="1:92" x14ac:dyDescent="0.25">
      <c r="A8" s="4"/>
      <c r="I8" s="16"/>
      <c r="J8" s="16"/>
      <c r="K8" s="16"/>
      <c r="L8" s="16"/>
      <c r="O8" s="16"/>
      <c r="P8" s="16"/>
      <c r="Q8" s="16"/>
      <c r="R8" s="16"/>
      <c r="U8" s="16"/>
      <c r="V8" s="16"/>
      <c r="W8" s="16"/>
      <c r="X8" s="16"/>
      <c r="Y8" s="16"/>
      <c r="AA8" s="16"/>
      <c r="AB8" s="16"/>
      <c r="AC8" s="16"/>
      <c r="AD8" s="16"/>
      <c r="AE8" s="16"/>
    </row>
    <row r="9" spans="1:92" s="18" customFormat="1" ht="15.6" customHeight="1" x14ac:dyDescent="0.3">
      <c r="G9" s="322" t="s">
        <v>21</v>
      </c>
      <c r="H9" s="323"/>
      <c r="I9" s="323"/>
      <c r="J9" s="323"/>
      <c r="K9" s="323"/>
      <c r="L9" s="324"/>
      <c r="M9" s="325" t="s">
        <v>22</v>
      </c>
      <c r="N9" s="326"/>
      <c r="O9" s="326"/>
      <c r="P9" s="326"/>
      <c r="Q9" s="326"/>
      <c r="R9" s="327"/>
      <c r="S9" s="328" t="s">
        <v>23</v>
      </c>
      <c r="T9" s="329"/>
      <c r="U9" s="329"/>
      <c r="V9" s="329"/>
      <c r="W9" s="329"/>
      <c r="X9" s="330"/>
      <c r="Y9" s="325" t="s">
        <v>76</v>
      </c>
      <c r="Z9" s="326"/>
      <c r="AA9" s="326"/>
      <c r="AB9" s="326"/>
      <c r="AC9" s="326"/>
      <c r="AD9" s="327"/>
      <c r="AE9" s="319" t="s">
        <v>24</v>
      </c>
      <c r="AF9" s="320"/>
      <c r="AG9" s="320"/>
      <c r="AH9" s="320"/>
      <c r="AI9" s="318" t="s">
        <v>77</v>
      </c>
      <c r="AJ9" s="318"/>
      <c r="AO9" s="319" t="s">
        <v>24</v>
      </c>
      <c r="AP9" s="320"/>
      <c r="AQ9" s="320"/>
      <c r="AR9" s="320"/>
      <c r="AS9" s="318" t="s">
        <v>77</v>
      </c>
      <c r="AT9" s="318"/>
    </row>
    <row r="10" spans="1:92" s="18" customFormat="1" ht="97.9" customHeight="1" x14ac:dyDescent="0.3">
      <c r="A10" s="19" t="s">
        <v>27</v>
      </c>
      <c r="B10" s="19" t="s">
        <v>28</v>
      </c>
      <c r="C10" s="19" t="s">
        <v>12</v>
      </c>
      <c r="D10" s="19" t="s">
        <v>13</v>
      </c>
      <c r="E10" s="19" t="s">
        <v>30</v>
      </c>
      <c r="F10" s="19" t="s">
        <v>31</v>
      </c>
      <c r="G10" s="21" t="s">
        <v>14</v>
      </c>
      <c r="H10" s="21" t="s">
        <v>19</v>
      </c>
      <c r="I10" s="21" t="s">
        <v>37</v>
      </c>
      <c r="J10" s="21" t="s">
        <v>17</v>
      </c>
      <c r="K10" s="21" t="s">
        <v>34</v>
      </c>
      <c r="L10" s="21" t="s">
        <v>35</v>
      </c>
      <c r="M10" s="19" t="s">
        <v>16</v>
      </c>
      <c r="N10" s="19" t="s">
        <v>19</v>
      </c>
      <c r="O10" s="19" t="s">
        <v>37</v>
      </c>
      <c r="P10" s="19" t="s">
        <v>17</v>
      </c>
      <c r="Q10" s="19" t="s">
        <v>34</v>
      </c>
      <c r="R10" s="19" t="s">
        <v>35</v>
      </c>
      <c r="S10" s="28" t="s">
        <v>18</v>
      </c>
      <c r="T10" s="28" t="s">
        <v>19</v>
      </c>
      <c r="U10" s="28" t="s">
        <v>37</v>
      </c>
      <c r="V10" s="28" t="s">
        <v>17</v>
      </c>
      <c r="W10" s="28" t="s">
        <v>34</v>
      </c>
      <c r="X10" s="28" t="s">
        <v>35</v>
      </c>
      <c r="Y10" s="19" t="s">
        <v>78</v>
      </c>
      <c r="Z10" s="19" t="s">
        <v>19</v>
      </c>
      <c r="AA10" s="19" t="s">
        <v>37</v>
      </c>
      <c r="AB10" s="19" t="s">
        <v>17</v>
      </c>
      <c r="AC10" s="19" t="s">
        <v>34</v>
      </c>
      <c r="AD10" s="19" t="s">
        <v>35</v>
      </c>
      <c r="AE10" s="21" t="s">
        <v>38</v>
      </c>
      <c r="AF10" s="21" t="s">
        <v>39</v>
      </c>
      <c r="AG10" s="21" t="s">
        <v>40</v>
      </c>
      <c r="AH10" s="21" t="s">
        <v>20</v>
      </c>
      <c r="AI10" s="21" t="s">
        <v>38</v>
      </c>
      <c r="AJ10" s="21" t="s">
        <v>39</v>
      </c>
      <c r="AK10" s="21" t="s">
        <v>79</v>
      </c>
      <c r="AL10" s="21" t="s">
        <v>80</v>
      </c>
      <c r="AM10" s="21" t="s">
        <v>81</v>
      </c>
      <c r="AN10" s="21" t="s">
        <v>82</v>
      </c>
      <c r="AO10" s="71" t="s">
        <v>38</v>
      </c>
      <c r="AP10" s="71" t="s">
        <v>39</v>
      </c>
      <c r="AQ10" s="71" t="s">
        <v>40</v>
      </c>
      <c r="AR10" s="71" t="s">
        <v>20</v>
      </c>
      <c r="AS10" s="71" t="s">
        <v>38</v>
      </c>
      <c r="AT10" s="71" t="s">
        <v>39</v>
      </c>
      <c r="AU10" s="71" t="s">
        <v>79</v>
      </c>
      <c r="AV10" s="71" t="s">
        <v>80</v>
      </c>
      <c r="AW10" s="71" t="s">
        <v>81</v>
      </c>
      <c r="AX10" s="71" t="s">
        <v>82</v>
      </c>
      <c r="AY10" s="71" t="s">
        <v>41</v>
      </c>
      <c r="BC10" s="21" t="s">
        <v>28</v>
      </c>
      <c r="BD10" s="21" t="s">
        <v>83</v>
      </c>
      <c r="BE10" s="21" t="s">
        <v>84</v>
      </c>
      <c r="BF10" s="21" t="s">
        <v>85</v>
      </c>
      <c r="BG10" s="21" t="s">
        <v>57</v>
      </c>
      <c r="BH10" s="21" t="s">
        <v>86</v>
      </c>
      <c r="BI10" s="21" t="s">
        <v>56</v>
      </c>
      <c r="BJ10" s="21" t="s">
        <v>87</v>
      </c>
      <c r="BK10" s="21" t="s">
        <v>88</v>
      </c>
      <c r="BL10" s="21" t="s">
        <v>22</v>
      </c>
      <c r="BM10" s="21" t="s">
        <v>23</v>
      </c>
      <c r="BN10" s="21" t="s">
        <v>89</v>
      </c>
    </row>
    <row r="11" spans="1:92" s="7" customFormat="1" x14ac:dyDescent="0.25">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x14ac:dyDescent="0.25">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x14ac:dyDescent="0.25">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x14ac:dyDescent="0.25">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x14ac:dyDescent="0.25">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x14ac:dyDescent="0.25">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x14ac:dyDescent="0.25">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x14ac:dyDescent="0.25">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x14ac:dyDescent="0.25">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x14ac:dyDescent="0.25">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x14ac:dyDescent="0.25">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x14ac:dyDescent="0.25">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x14ac:dyDescent="0.25">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x14ac:dyDescent="0.25">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x14ac:dyDescent="0.25">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x14ac:dyDescent="0.25">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x14ac:dyDescent="0.25">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x14ac:dyDescent="0.25">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x14ac:dyDescent="0.25">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x14ac:dyDescent="0.25">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x14ac:dyDescent="0.25">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x14ac:dyDescent="0.25">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x14ac:dyDescent="0.25">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x14ac:dyDescent="0.25">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x14ac:dyDescent="0.25">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x14ac:dyDescent="0.25">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x14ac:dyDescent="0.25">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316" t="s">
        <v>90</v>
      </c>
      <c r="BG37" s="316"/>
      <c r="BH37" s="316"/>
      <c r="BI37" s="316"/>
      <c r="BJ37" s="316"/>
      <c r="BK37" s="316"/>
      <c r="BL37" s="316"/>
      <c r="BM37" s="317"/>
      <c r="BN37" s="68" t="e">
        <f>SUM(BN11:BN36)</f>
        <v>#DIV/0!</v>
      </c>
      <c r="CN37" s="7">
        <v>27</v>
      </c>
    </row>
    <row r="38" spans="1:92" s="7" customFormat="1" x14ac:dyDescent="0.25">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x14ac:dyDescent="0.25">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x14ac:dyDescent="0.25">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x14ac:dyDescent="0.25">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x14ac:dyDescent="0.25">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x14ac:dyDescent="0.25">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x14ac:dyDescent="0.25">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x14ac:dyDescent="0.25">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x14ac:dyDescent="0.25">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302" t="s">
        <v>62</v>
      </c>
      <c r="BD46" s="303"/>
      <c r="BE46" s="303"/>
      <c r="BF46" s="303"/>
      <c r="BG46" s="303"/>
      <c r="BH46" s="303"/>
      <c r="BI46" s="303"/>
      <c r="BJ46" s="304"/>
      <c r="BK46" s="305" t="s">
        <v>63</v>
      </c>
      <c r="BL46" s="308" t="e">
        <f>SUM(AP98,BN37)</f>
        <v>#DIV/0!</v>
      </c>
      <c r="BM46" s="309"/>
      <c r="CN46" s="7">
        <v>36</v>
      </c>
    </row>
    <row r="47" spans="1:92" s="7" customFormat="1" ht="14.45" customHeight="1" x14ac:dyDescent="0.25">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73" t="s">
        <v>91</v>
      </c>
      <c r="BD47" s="273"/>
      <c r="BE47" s="273"/>
      <c r="BF47" s="273"/>
      <c r="BG47" s="273"/>
      <c r="BH47" s="273"/>
      <c r="BI47" s="273"/>
      <c r="BJ47" s="273"/>
      <c r="BK47" s="306"/>
      <c r="BL47" s="310"/>
      <c r="BM47" s="311"/>
      <c r="CN47" s="7">
        <v>37</v>
      </c>
    </row>
    <row r="48" spans="1:92" s="7" customFormat="1" ht="14.45" customHeight="1" x14ac:dyDescent="0.25">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73"/>
      <c r="BD48" s="273"/>
      <c r="BE48" s="273"/>
      <c r="BF48" s="273"/>
      <c r="BG48" s="273"/>
      <c r="BH48" s="273"/>
      <c r="BI48" s="273"/>
      <c r="BJ48" s="273"/>
      <c r="BK48" s="306"/>
      <c r="BL48" s="310"/>
      <c r="BM48" s="311"/>
      <c r="CN48" s="7">
        <v>38</v>
      </c>
    </row>
    <row r="49" spans="1:92" s="7" customFormat="1" ht="14.45" customHeight="1" x14ac:dyDescent="0.25">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73"/>
      <c r="BD49" s="273"/>
      <c r="BE49" s="273"/>
      <c r="BF49" s="273"/>
      <c r="BG49" s="273"/>
      <c r="BH49" s="273"/>
      <c r="BI49" s="273"/>
      <c r="BJ49" s="273"/>
      <c r="BK49" s="306"/>
      <c r="BL49" s="310"/>
      <c r="BM49" s="311"/>
      <c r="CN49" s="7">
        <v>39</v>
      </c>
    </row>
    <row r="50" spans="1:92" s="7" customFormat="1" ht="14.45" customHeight="1" x14ac:dyDescent="0.25">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73"/>
      <c r="BD50" s="273"/>
      <c r="BE50" s="273"/>
      <c r="BF50" s="273"/>
      <c r="BG50" s="273"/>
      <c r="BH50" s="273"/>
      <c r="BI50" s="273"/>
      <c r="BJ50" s="273"/>
      <c r="BK50" s="306"/>
      <c r="BL50" s="310"/>
      <c r="BM50" s="311"/>
      <c r="CN50" s="7">
        <v>40</v>
      </c>
    </row>
    <row r="51" spans="1:92" s="7" customFormat="1" ht="14.45" customHeight="1" x14ac:dyDescent="0.25">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73"/>
      <c r="BD51" s="273"/>
      <c r="BE51" s="273"/>
      <c r="BF51" s="273"/>
      <c r="BG51" s="273"/>
      <c r="BH51" s="273"/>
      <c r="BI51" s="273"/>
      <c r="BJ51" s="273"/>
      <c r="BK51" s="306"/>
      <c r="BL51" s="310"/>
      <c r="BM51" s="311"/>
      <c r="CN51" s="7">
        <v>41</v>
      </c>
    </row>
    <row r="52" spans="1:92" s="7" customFormat="1" ht="14.45" customHeight="1" x14ac:dyDescent="0.25">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73"/>
      <c r="BD52" s="273"/>
      <c r="BE52" s="273"/>
      <c r="BF52" s="273"/>
      <c r="BG52" s="273"/>
      <c r="BH52" s="273"/>
      <c r="BI52" s="273"/>
      <c r="BJ52" s="273"/>
      <c r="BK52" s="306"/>
      <c r="BL52" s="310"/>
      <c r="BM52" s="311"/>
      <c r="CN52" s="7">
        <v>42</v>
      </c>
    </row>
    <row r="53" spans="1:92" s="7" customFormat="1" ht="14.45" customHeight="1" x14ac:dyDescent="0.25">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73"/>
      <c r="BD53" s="273"/>
      <c r="BE53" s="273"/>
      <c r="BF53" s="273"/>
      <c r="BG53" s="273"/>
      <c r="BH53" s="273"/>
      <c r="BI53" s="273"/>
      <c r="BJ53" s="273"/>
      <c r="BK53" s="306"/>
      <c r="BL53" s="310"/>
      <c r="BM53" s="311"/>
      <c r="CN53" s="7">
        <v>43</v>
      </c>
    </row>
    <row r="54" spans="1:92" s="7" customFormat="1" ht="14.45" customHeight="1" x14ac:dyDescent="0.25">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73"/>
      <c r="BD54" s="273"/>
      <c r="BE54" s="273"/>
      <c r="BF54" s="273"/>
      <c r="BG54" s="273"/>
      <c r="BH54" s="273"/>
      <c r="BI54" s="273"/>
      <c r="BJ54" s="273"/>
      <c r="BK54" s="306"/>
      <c r="BL54" s="310"/>
      <c r="BM54" s="311"/>
      <c r="CN54" s="7">
        <v>44</v>
      </c>
    </row>
    <row r="55" spans="1:92" s="7" customFormat="1" ht="14.45" customHeight="1" x14ac:dyDescent="0.25">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73"/>
      <c r="BD55" s="273"/>
      <c r="BE55" s="273"/>
      <c r="BF55" s="273"/>
      <c r="BG55" s="273"/>
      <c r="BH55" s="273"/>
      <c r="BI55" s="273"/>
      <c r="BJ55" s="273"/>
      <c r="BK55" s="306"/>
      <c r="BL55" s="310"/>
      <c r="BM55" s="311"/>
      <c r="CN55" s="7">
        <v>45</v>
      </c>
    </row>
    <row r="56" spans="1:92" s="7" customFormat="1" ht="14.45" customHeight="1" x14ac:dyDescent="0.25">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73"/>
      <c r="BD56" s="273"/>
      <c r="BE56" s="273"/>
      <c r="BF56" s="273"/>
      <c r="BG56" s="273"/>
      <c r="BH56" s="273"/>
      <c r="BI56" s="273"/>
      <c r="BJ56" s="273"/>
      <c r="BK56" s="306"/>
      <c r="BL56" s="310"/>
      <c r="BM56" s="311"/>
      <c r="CN56" s="7">
        <v>46</v>
      </c>
    </row>
    <row r="57" spans="1:92" s="7" customFormat="1" ht="14.45" customHeight="1" x14ac:dyDescent="0.25">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73"/>
      <c r="BD57" s="273"/>
      <c r="BE57" s="273"/>
      <c r="BF57" s="273"/>
      <c r="BG57" s="273"/>
      <c r="BH57" s="273"/>
      <c r="BI57" s="273"/>
      <c r="BJ57" s="273"/>
      <c r="BK57" s="306"/>
      <c r="BL57" s="310"/>
      <c r="BM57" s="311"/>
      <c r="CN57" s="7">
        <v>47</v>
      </c>
    </row>
    <row r="58" spans="1:92" s="7" customFormat="1" ht="14.45" customHeight="1" x14ac:dyDescent="0.25">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73"/>
      <c r="BD58" s="273"/>
      <c r="BE58" s="273"/>
      <c r="BF58" s="273"/>
      <c r="BG58" s="273"/>
      <c r="BH58" s="273"/>
      <c r="BI58" s="273"/>
      <c r="BJ58" s="273"/>
      <c r="BK58" s="306"/>
      <c r="BL58" s="310"/>
      <c r="BM58" s="311"/>
      <c r="CN58" s="7">
        <v>48</v>
      </c>
    </row>
    <row r="59" spans="1:92" s="7" customFormat="1" ht="14.45" customHeight="1" x14ac:dyDescent="0.25">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73"/>
      <c r="BD59" s="273"/>
      <c r="BE59" s="273"/>
      <c r="BF59" s="273"/>
      <c r="BG59" s="273"/>
      <c r="BH59" s="273"/>
      <c r="BI59" s="273"/>
      <c r="BJ59" s="273"/>
      <c r="BK59" s="307"/>
      <c r="BL59" s="312"/>
      <c r="BM59" s="313"/>
      <c r="CN59" s="7">
        <v>49</v>
      </c>
    </row>
    <row r="60" spans="1:92" s="7" customFormat="1" x14ac:dyDescent="0.25">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x14ac:dyDescent="0.25">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x14ac:dyDescent="0.25">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x14ac:dyDescent="0.25">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x14ac:dyDescent="0.25">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x14ac:dyDescent="0.25">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x14ac:dyDescent="0.25">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x14ac:dyDescent="0.25">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x14ac:dyDescent="0.25">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x14ac:dyDescent="0.25">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302" t="s">
        <v>62</v>
      </c>
      <c r="BZ69" s="303"/>
      <c r="CA69" s="303"/>
      <c r="CB69" s="303"/>
      <c r="CC69" s="303"/>
      <c r="CD69" s="303"/>
      <c r="CE69" s="303"/>
      <c r="CF69" s="304"/>
      <c r="CG69" s="305" t="s">
        <v>63</v>
      </c>
      <c r="CH69" s="308">
        <f>SUM(AF120,BN59)</f>
        <v>0</v>
      </c>
      <c r="CI69" s="309"/>
      <c r="CN69" s="7">
        <v>59</v>
      </c>
    </row>
    <row r="70" spans="1:92" s="7" customFormat="1" ht="14.45" customHeight="1" x14ac:dyDescent="0.25">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73" t="s">
        <v>91</v>
      </c>
      <c r="BZ70" s="273"/>
      <c r="CA70" s="273"/>
      <c r="CB70" s="273"/>
      <c r="CC70" s="273"/>
      <c r="CD70" s="273"/>
      <c r="CE70" s="273"/>
      <c r="CF70" s="273"/>
      <c r="CG70" s="306"/>
      <c r="CH70" s="310"/>
      <c r="CI70" s="311"/>
      <c r="CN70" s="7">
        <v>60</v>
      </c>
    </row>
    <row r="71" spans="1:92" s="7" customFormat="1" ht="14.45" customHeight="1" x14ac:dyDescent="0.25">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73"/>
      <c r="BZ71" s="273"/>
      <c r="CA71" s="273"/>
      <c r="CB71" s="273"/>
      <c r="CC71" s="273"/>
      <c r="CD71" s="273"/>
      <c r="CE71" s="273"/>
      <c r="CF71" s="273"/>
      <c r="CG71" s="306"/>
      <c r="CH71" s="310"/>
      <c r="CI71" s="311"/>
      <c r="CN71" s="7">
        <v>61</v>
      </c>
    </row>
    <row r="72" spans="1:92" s="7" customFormat="1" ht="14.45" customHeight="1" x14ac:dyDescent="0.25">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73"/>
      <c r="BZ72" s="273"/>
      <c r="CA72" s="273"/>
      <c r="CB72" s="273"/>
      <c r="CC72" s="273"/>
      <c r="CD72" s="273"/>
      <c r="CE72" s="273"/>
      <c r="CF72" s="273"/>
      <c r="CG72" s="306"/>
      <c r="CH72" s="310"/>
      <c r="CI72" s="311"/>
      <c r="CN72" s="7">
        <v>62</v>
      </c>
    </row>
    <row r="73" spans="1:92" s="7" customFormat="1" ht="14.45" customHeight="1" x14ac:dyDescent="0.25">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73"/>
      <c r="BZ73" s="273"/>
      <c r="CA73" s="273"/>
      <c r="CB73" s="273"/>
      <c r="CC73" s="273"/>
      <c r="CD73" s="273"/>
      <c r="CE73" s="273"/>
      <c r="CF73" s="273"/>
      <c r="CG73" s="306"/>
      <c r="CH73" s="310"/>
      <c r="CI73" s="311"/>
      <c r="CN73" s="7">
        <v>63</v>
      </c>
    </row>
    <row r="74" spans="1:92" s="7" customFormat="1" ht="14.45" customHeight="1" x14ac:dyDescent="0.25">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73"/>
      <c r="BZ74" s="273"/>
      <c r="CA74" s="273"/>
      <c r="CB74" s="273"/>
      <c r="CC74" s="273"/>
      <c r="CD74" s="273"/>
      <c r="CE74" s="273"/>
      <c r="CF74" s="273"/>
      <c r="CG74" s="306"/>
      <c r="CH74" s="310"/>
      <c r="CI74" s="311"/>
      <c r="CN74" s="7">
        <v>64</v>
      </c>
    </row>
    <row r="75" spans="1:92" s="7" customFormat="1" ht="14.45" customHeight="1" x14ac:dyDescent="0.25">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73"/>
      <c r="BZ75" s="273"/>
      <c r="CA75" s="273"/>
      <c r="CB75" s="273"/>
      <c r="CC75" s="273"/>
      <c r="CD75" s="273"/>
      <c r="CE75" s="273"/>
      <c r="CF75" s="273"/>
      <c r="CG75" s="306"/>
      <c r="CH75" s="310"/>
      <c r="CI75" s="311"/>
      <c r="CN75" s="7">
        <v>65</v>
      </c>
    </row>
    <row r="76" spans="1:92" s="7" customFormat="1" ht="14.45" customHeight="1" x14ac:dyDescent="0.25">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73"/>
      <c r="BZ76" s="273"/>
      <c r="CA76" s="273"/>
      <c r="CB76" s="273"/>
      <c r="CC76" s="273"/>
      <c r="CD76" s="273"/>
      <c r="CE76" s="273"/>
      <c r="CF76" s="273"/>
      <c r="CG76" s="306"/>
      <c r="CH76" s="310"/>
      <c r="CI76" s="311"/>
      <c r="CN76" s="7">
        <v>66</v>
      </c>
    </row>
    <row r="77" spans="1:92" s="7" customFormat="1" ht="14.45" customHeight="1" x14ac:dyDescent="0.25">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73"/>
      <c r="BZ77" s="273"/>
      <c r="CA77" s="273"/>
      <c r="CB77" s="273"/>
      <c r="CC77" s="273"/>
      <c r="CD77" s="273"/>
      <c r="CE77" s="273"/>
      <c r="CF77" s="273"/>
      <c r="CG77" s="306"/>
      <c r="CH77" s="310"/>
      <c r="CI77" s="311"/>
      <c r="CN77" s="7">
        <v>67</v>
      </c>
    </row>
    <row r="78" spans="1:92" s="7" customFormat="1" ht="14.45" customHeight="1" x14ac:dyDescent="0.25">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73"/>
      <c r="BZ78" s="273"/>
      <c r="CA78" s="273"/>
      <c r="CB78" s="273"/>
      <c r="CC78" s="273"/>
      <c r="CD78" s="273"/>
      <c r="CE78" s="273"/>
      <c r="CF78" s="273"/>
      <c r="CG78" s="306"/>
      <c r="CH78" s="310"/>
      <c r="CI78" s="311"/>
      <c r="CN78" s="7">
        <v>68</v>
      </c>
    </row>
    <row r="79" spans="1:92" s="7" customFormat="1" ht="14.45" customHeight="1" x14ac:dyDescent="0.25">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73"/>
      <c r="BZ79" s="273"/>
      <c r="CA79" s="273"/>
      <c r="CB79" s="273"/>
      <c r="CC79" s="273"/>
      <c r="CD79" s="273"/>
      <c r="CE79" s="273"/>
      <c r="CF79" s="273"/>
      <c r="CG79" s="306"/>
      <c r="CH79" s="310"/>
      <c r="CI79" s="311"/>
      <c r="CN79" s="7">
        <v>69</v>
      </c>
    </row>
    <row r="80" spans="1:92" s="7" customFormat="1" ht="14.45" customHeight="1" x14ac:dyDescent="0.25">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73"/>
      <c r="BZ80" s="273"/>
      <c r="CA80" s="273"/>
      <c r="CB80" s="273"/>
      <c r="CC80" s="273"/>
      <c r="CD80" s="273"/>
      <c r="CE80" s="273"/>
      <c r="CF80" s="273"/>
      <c r="CG80" s="306"/>
      <c r="CH80" s="310"/>
      <c r="CI80" s="311"/>
      <c r="CN80" s="7">
        <v>70</v>
      </c>
    </row>
    <row r="81" spans="1:92" s="7" customFormat="1" x14ac:dyDescent="0.25">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73"/>
      <c r="BZ81" s="273"/>
      <c r="CA81" s="273"/>
      <c r="CB81" s="273"/>
      <c r="CC81" s="273"/>
      <c r="CD81" s="273"/>
      <c r="CE81" s="273"/>
      <c r="CF81" s="273"/>
      <c r="CG81" s="306"/>
      <c r="CH81" s="310"/>
      <c r="CI81" s="311"/>
      <c r="CN81" s="7">
        <v>71</v>
      </c>
    </row>
    <row r="82" spans="1:92" s="7" customFormat="1" x14ac:dyDescent="0.25">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73"/>
      <c r="BZ82" s="273"/>
      <c r="CA82" s="273"/>
      <c r="CB82" s="273"/>
      <c r="CC82" s="273"/>
      <c r="CD82" s="273"/>
      <c r="CE82" s="273"/>
      <c r="CF82" s="273"/>
      <c r="CG82" s="307"/>
      <c r="CH82" s="312"/>
      <c r="CI82" s="313"/>
      <c r="CN82" s="7">
        <v>72</v>
      </c>
    </row>
    <row r="83" spans="1:92" s="7" customFormat="1" x14ac:dyDescent="0.25">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x14ac:dyDescent="0.25">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x14ac:dyDescent="0.25">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x14ac:dyDescent="0.25">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x14ac:dyDescent="0.25">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x14ac:dyDescent="0.25">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x14ac:dyDescent="0.25">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x14ac:dyDescent="0.25">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x14ac:dyDescent="0.25">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x14ac:dyDescent="0.25">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x14ac:dyDescent="0.25">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x14ac:dyDescent="0.25">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x14ac:dyDescent="0.25">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x14ac:dyDescent="0.25">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x14ac:dyDescent="0.25">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x14ac:dyDescent="0.25">
      <c r="A98" s="314" t="s">
        <v>52</v>
      </c>
      <c r="B98" s="314"/>
      <c r="C98" s="314"/>
      <c r="D98" s="314"/>
      <c r="E98" s="314"/>
      <c r="F98" s="314"/>
      <c r="G98" s="314"/>
      <c r="H98" s="314"/>
      <c r="I98" s="314"/>
      <c r="J98" s="314"/>
      <c r="K98" s="314"/>
      <c r="L98" s="314"/>
      <c r="M98" s="314"/>
      <c r="N98" s="314"/>
      <c r="O98" s="314"/>
      <c r="P98" s="314"/>
      <c r="Q98" s="314"/>
      <c r="R98" s="314"/>
      <c r="S98" s="314"/>
      <c r="T98" s="314"/>
      <c r="U98" s="314"/>
      <c r="V98" s="314"/>
      <c r="W98" s="314"/>
      <c r="X98" s="314"/>
      <c r="Y98" s="314"/>
      <c r="Z98" s="314"/>
      <c r="AA98" s="314"/>
      <c r="AB98" s="314"/>
      <c r="AC98" s="314"/>
      <c r="AD98" s="314"/>
      <c r="AE98" s="314"/>
      <c r="AF98" s="60">
        <f>SUM(AF11:AF97)</f>
        <v>0</v>
      </c>
      <c r="AI98" s="60">
        <f>SUM(AI11:AI97)</f>
        <v>0</v>
      </c>
      <c r="AP98" s="60">
        <f>SUM(AP11:AP97)</f>
        <v>0</v>
      </c>
      <c r="AS98" s="60">
        <f>SUM(AS11:AS97)</f>
        <v>0</v>
      </c>
      <c r="CN98" s="7">
        <v>88</v>
      </c>
    </row>
    <row r="99" spans="1:92" s="7" customFormat="1" x14ac:dyDescent="0.25">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x14ac:dyDescent="0.25">
      <c r="A100" s="321"/>
      <c r="B100" s="321"/>
      <c r="C100" s="321"/>
      <c r="D100" s="321"/>
      <c r="E100" s="321"/>
      <c r="F100" s="321"/>
      <c r="G100" s="321"/>
      <c r="H100" s="321"/>
      <c r="I100" s="321"/>
      <c r="J100" s="321"/>
      <c r="K100" s="321"/>
      <c r="L100" s="321"/>
      <c r="M100" s="321"/>
      <c r="N100" s="321"/>
      <c r="O100" s="321"/>
      <c r="P100" s="321"/>
      <c r="Q100" s="321"/>
      <c r="R100" s="321"/>
      <c r="S100" s="321"/>
      <c r="T100" s="321"/>
      <c r="U100" s="321"/>
      <c r="V100" s="321"/>
      <c r="W100" s="321"/>
      <c r="X100" s="321"/>
      <c r="Y100" s="321"/>
      <c r="Z100" s="321"/>
      <c r="AA100" s="321"/>
      <c r="AB100" s="321"/>
      <c r="AC100" s="321"/>
      <c r="AD100" s="321"/>
      <c r="AE100" s="321"/>
      <c r="AF100" s="321"/>
      <c r="AG100" s="321"/>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25">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x14ac:dyDescent="0.25">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x14ac:dyDescent="0.25">
      <c r="AL103" s="72"/>
      <c r="AM103" s="72"/>
      <c r="AN103" s="72"/>
      <c r="AO103" s="72"/>
      <c r="AP103" s="72"/>
      <c r="AQ103" s="72"/>
      <c r="AR103" s="72"/>
      <c r="CN103" s="7">
        <v>92</v>
      </c>
    </row>
    <row r="104" spans="1:92" s="7" customFormat="1" ht="30.6" customHeight="1" x14ac:dyDescent="0.25">
      <c r="AL104" s="72"/>
      <c r="AM104" s="72"/>
      <c r="AN104" s="72"/>
      <c r="AO104" s="72"/>
      <c r="AP104" s="72"/>
      <c r="AQ104" s="72"/>
      <c r="AR104" s="72"/>
      <c r="CN104" s="7">
        <v>92</v>
      </c>
    </row>
    <row r="105" spans="1:92" s="7" customFormat="1" ht="30.6" customHeight="1" x14ac:dyDescent="0.25">
      <c r="AL105" s="72"/>
      <c r="AM105" s="72"/>
      <c r="AN105" s="72"/>
      <c r="AO105" s="72"/>
      <c r="AP105" s="72"/>
      <c r="AQ105" s="72"/>
      <c r="AR105" s="72"/>
    </row>
    <row r="106" spans="1:92" s="7" customFormat="1" ht="30.6" customHeight="1" x14ac:dyDescent="0.25">
      <c r="A106" s="72"/>
      <c r="B106" s="72"/>
      <c r="C106" s="72"/>
      <c r="D106" s="72"/>
      <c r="E106" s="72"/>
      <c r="F106" s="72"/>
      <c r="G106" s="72"/>
    </row>
    <row r="107" spans="1:92" s="7" customFormat="1" ht="30.6" customHeight="1" x14ac:dyDescent="0.25">
      <c r="A107" s="72"/>
      <c r="B107" s="72"/>
      <c r="C107" s="72"/>
      <c r="D107" s="72"/>
      <c r="E107" s="72"/>
      <c r="F107" s="72"/>
      <c r="G107" s="72"/>
    </row>
    <row r="108" spans="1:92" s="7" customFormat="1" ht="30.6" customHeight="1" x14ac:dyDescent="0.25">
      <c r="A108" s="72"/>
      <c r="B108" s="72"/>
      <c r="C108" s="72"/>
      <c r="D108" s="72"/>
      <c r="E108" s="72"/>
      <c r="F108" s="72"/>
      <c r="G108" s="72"/>
      <c r="AO108" s="59"/>
    </row>
    <row r="109" spans="1:92" s="7" customFormat="1" ht="30.6" customHeight="1" x14ac:dyDescent="0.25">
      <c r="A109" s="72"/>
      <c r="B109" s="72"/>
      <c r="C109" s="72"/>
      <c r="D109" s="72"/>
      <c r="E109" s="72"/>
      <c r="F109" s="72"/>
      <c r="G109" s="72"/>
    </row>
    <row r="110" spans="1:92" s="7" customFormat="1" ht="30.6" customHeight="1" x14ac:dyDescent="0.25">
      <c r="A110" s="72"/>
      <c r="B110" s="72"/>
      <c r="C110" s="72"/>
      <c r="D110" s="72"/>
      <c r="E110" s="72"/>
      <c r="F110" s="72"/>
      <c r="G110" s="72"/>
    </row>
    <row r="111" spans="1:92" s="7" customFormat="1" ht="30.6" customHeight="1" x14ac:dyDescent="0.25">
      <c r="A111" s="72"/>
      <c r="B111" s="72"/>
      <c r="C111" s="72"/>
      <c r="D111" s="72"/>
      <c r="E111" s="72"/>
      <c r="F111" s="72"/>
      <c r="G111" s="72"/>
    </row>
    <row r="112" spans="1:92" s="7" customFormat="1" ht="30.6" customHeight="1" x14ac:dyDescent="0.25">
      <c r="A112" s="72"/>
      <c r="B112" s="72"/>
      <c r="C112" s="72"/>
      <c r="D112" s="72"/>
      <c r="E112" s="72"/>
      <c r="F112" s="72"/>
      <c r="G112" s="72"/>
    </row>
    <row r="113" spans="1:92" s="7" customFormat="1" ht="30.6" customHeight="1" x14ac:dyDescent="0.25">
      <c r="A113" s="72"/>
      <c r="B113" s="72"/>
      <c r="C113" s="72"/>
      <c r="D113" s="72"/>
      <c r="E113" s="72"/>
      <c r="F113" s="72"/>
      <c r="G113" s="72"/>
    </row>
    <row r="114" spans="1:92" s="7" customFormat="1" ht="30.6" customHeight="1" x14ac:dyDescent="0.25">
      <c r="A114" s="72"/>
      <c r="B114" s="72"/>
      <c r="C114" s="72"/>
      <c r="D114" s="72"/>
      <c r="E114" s="72"/>
      <c r="F114" s="72"/>
      <c r="G114" s="72"/>
    </row>
    <row r="115" spans="1:92" s="7" customFormat="1" ht="30.6" customHeight="1" x14ac:dyDescent="0.25">
      <c r="A115" s="72"/>
      <c r="B115" s="72"/>
      <c r="C115" s="72"/>
      <c r="D115" s="72"/>
      <c r="E115" s="72"/>
      <c r="F115" s="72"/>
      <c r="G115" s="72"/>
    </row>
    <row r="116" spans="1:92" s="7" customFormat="1" ht="30.6" customHeight="1" x14ac:dyDescent="0.25">
      <c r="A116" s="72"/>
      <c r="B116" s="72"/>
      <c r="C116" s="72"/>
      <c r="D116" s="72"/>
      <c r="E116" s="72"/>
      <c r="F116" s="72"/>
      <c r="G116" s="72"/>
    </row>
    <row r="117" spans="1:92" s="7" customFormat="1" ht="30.6" customHeight="1" x14ac:dyDescent="0.25">
      <c r="A117" s="72"/>
      <c r="B117" s="72"/>
      <c r="C117" s="72"/>
      <c r="D117" s="72"/>
      <c r="E117" s="72"/>
      <c r="F117" s="72"/>
      <c r="G117" s="72"/>
    </row>
    <row r="118" spans="1:92" s="7" customFormat="1" ht="30.6" customHeight="1" x14ac:dyDescent="0.25">
      <c r="A118" s="72"/>
      <c r="B118" s="72"/>
      <c r="C118" s="72"/>
      <c r="D118" s="72"/>
      <c r="E118" s="72"/>
      <c r="F118" s="72"/>
      <c r="G118" s="72"/>
    </row>
    <row r="119" spans="1:92" s="7" customFormat="1" ht="30.6" customHeight="1" x14ac:dyDescent="0.25">
      <c r="A119" s="72"/>
      <c r="B119" s="72"/>
      <c r="C119" s="72"/>
      <c r="D119" s="72"/>
      <c r="E119" s="72"/>
      <c r="F119" s="72"/>
      <c r="G119" s="72"/>
    </row>
    <row r="120" spans="1:92" s="7" customFormat="1" ht="30.6" customHeight="1" x14ac:dyDescent="0.25">
      <c r="A120" s="72"/>
      <c r="B120" s="72"/>
      <c r="C120" s="72"/>
      <c r="D120" s="72"/>
      <c r="E120" s="72"/>
      <c r="F120" s="72"/>
      <c r="G120" s="72"/>
    </row>
    <row r="121" spans="1:92" s="7" customFormat="1" ht="30.6" customHeight="1" x14ac:dyDescent="0.25">
      <c r="A121" s="72"/>
      <c r="B121" s="72"/>
      <c r="C121" s="72"/>
      <c r="D121" s="72"/>
      <c r="E121" s="72"/>
      <c r="F121" s="72"/>
      <c r="G121" s="72"/>
    </row>
    <row r="122" spans="1:92" s="7" customFormat="1" ht="30.6" customHeight="1" x14ac:dyDescent="0.25">
      <c r="A122" s="72"/>
      <c r="B122" s="72"/>
      <c r="C122" s="72"/>
      <c r="D122" s="72"/>
      <c r="E122" s="72"/>
      <c r="F122" s="72"/>
      <c r="G122" s="72"/>
    </row>
    <row r="123" spans="1:92" s="7" customFormat="1" ht="30.6" customHeight="1" x14ac:dyDescent="0.25">
      <c r="A123" s="72"/>
      <c r="B123" s="72"/>
      <c r="C123" s="72"/>
      <c r="D123" s="72"/>
      <c r="E123" s="72"/>
      <c r="F123" s="72"/>
      <c r="G123" s="72"/>
      <c r="CN123" s="7">
        <v>92</v>
      </c>
    </row>
    <row r="124" spans="1:92" s="7" customFormat="1" ht="30.6" customHeight="1" x14ac:dyDescent="0.25">
      <c r="A124" s="72"/>
      <c r="B124" s="72"/>
      <c r="C124" s="72"/>
      <c r="D124" s="72"/>
      <c r="E124" s="72"/>
      <c r="F124" s="72"/>
      <c r="G124" s="72"/>
      <c r="CN124" s="7">
        <v>93</v>
      </c>
    </row>
    <row r="125" spans="1:92" s="7" customFormat="1" ht="30.6" customHeight="1" x14ac:dyDescent="0.25">
      <c r="A125" s="72"/>
      <c r="B125" s="72"/>
      <c r="C125" s="72"/>
      <c r="D125" s="72"/>
      <c r="E125" s="72"/>
      <c r="F125" s="72"/>
      <c r="G125" s="72"/>
      <c r="CN125" s="7">
        <v>94</v>
      </c>
    </row>
    <row r="126" spans="1:92" s="7" customFormat="1" ht="30.6" customHeight="1" x14ac:dyDescent="0.25">
      <c r="A126" s="72"/>
      <c r="B126" s="72"/>
      <c r="C126" s="72"/>
      <c r="D126" s="72"/>
      <c r="E126" s="72"/>
      <c r="F126" s="72"/>
      <c r="G126" s="72"/>
      <c r="CN126" s="7">
        <v>95</v>
      </c>
    </row>
    <row r="127" spans="1:92" s="7" customFormat="1" ht="30.6" customHeight="1" x14ac:dyDescent="0.25">
      <c r="A127" s="72"/>
      <c r="B127" s="72"/>
      <c r="C127" s="72"/>
      <c r="D127" s="72"/>
      <c r="E127" s="72"/>
      <c r="F127" s="72"/>
      <c r="G127" s="72"/>
      <c r="CN127" s="7">
        <v>96</v>
      </c>
    </row>
    <row r="128" spans="1:92" s="7" customFormat="1" ht="30.6" customHeight="1" x14ac:dyDescent="0.25">
      <c r="A128" s="72"/>
      <c r="B128" s="72"/>
      <c r="C128" s="72"/>
      <c r="D128" s="72"/>
      <c r="E128" s="72"/>
      <c r="F128" s="72"/>
      <c r="G128" s="72"/>
      <c r="CN128" s="7">
        <v>97</v>
      </c>
    </row>
    <row r="129" spans="1:92" s="7" customFormat="1" ht="30.6" customHeight="1" x14ac:dyDescent="0.25">
      <c r="A129" s="72"/>
      <c r="B129" s="72"/>
      <c r="C129" s="72"/>
      <c r="D129" s="72"/>
      <c r="E129" s="72"/>
      <c r="F129" s="72"/>
      <c r="G129" s="72"/>
      <c r="CN129" s="7">
        <v>98</v>
      </c>
    </row>
    <row r="130" spans="1:92" x14ac:dyDescent="0.25">
      <c r="CN130" s="3">
        <v>101</v>
      </c>
    </row>
    <row r="131" spans="1:92" x14ac:dyDescent="0.25">
      <c r="CN131" s="3">
        <v>102</v>
      </c>
    </row>
    <row r="132" spans="1:92" ht="59.25" customHeight="1" x14ac:dyDescent="0.25">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4" priority="2" stopIfTrue="1" operator="greaterThan">
      <formula>0.2</formula>
    </cfRule>
  </conditionalFormatting>
  <conditionalFormatting sqref="AR11:AR97">
    <cfRule type="cellIs" dxfId="3"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42578125" defaultRowHeight="15" x14ac:dyDescent="0.25"/>
  <sheetData>
    <row r="3" spans="1:3" x14ac:dyDescent="0.25">
      <c r="A3" s="49"/>
      <c r="B3" s="50"/>
      <c r="C3" s="51"/>
    </row>
    <row r="4" spans="1:3" x14ac:dyDescent="0.25">
      <c r="A4" s="52"/>
      <c r="B4" s="53"/>
      <c r="C4" s="54"/>
    </row>
    <row r="5" spans="1:3" x14ac:dyDescent="0.25">
      <c r="A5" s="52"/>
      <c r="B5" s="53"/>
      <c r="C5" s="54"/>
    </row>
    <row r="6" spans="1:3" x14ac:dyDescent="0.25">
      <c r="A6" s="52"/>
      <c r="B6" s="53"/>
      <c r="C6" s="54"/>
    </row>
    <row r="7" spans="1:3" x14ac:dyDescent="0.25">
      <c r="A7" s="52"/>
      <c r="B7" s="53"/>
      <c r="C7" s="54"/>
    </row>
    <row r="8" spans="1:3" x14ac:dyDescent="0.25">
      <c r="A8" s="52"/>
      <c r="B8" s="53"/>
      <c r="C8" s="54"/>
    </row>
    <row r="9" spans="1:3" x14ac:dyDescent="0.25">
      <c r="A9" s="52"/>
      <c r="B9" s="53"/>
      <c r="C9" s="54"/>
    </row>
    <row r="10" spans="1:3" x14ac:dyDescent="0.25">
      <c r="A10" s="52"/>
      <c r="B10" s="53"/>
      <c r="C10" s="54"/>
    </row>
    <row r="11" spans="1:3" x14ac:dyDescent="0.25">
      <c r="A11" s="52"/>
      <c r="B11" s="53"/>
      <c r="C11" s="54"/>
    </row>
    <row r="12" spans="1:3" x14ac:dyDescent="0.25">
      <c r="A12" s="52"/>
      <c r="B12" s="53"/>
      <c r="C12" s="54"/>
    </row>
    <row r="13" spans="1:3" x14ac:dyDescent="0.25">
      <c r="A13" s="52"/>
      <c r="B13" s="53"/>
      <c r="C13" s="54"/>
    </row>
    <row r="14" spans="1:3" x14ac:dyDescent="0.25">
      <c r="A14" s="52"/>
      <c r="B14" s="53"/>
      <c r="C14" s="54"/>
    </row>
    <row r="15" spans="1:3" x14ac:dyDescent="0.25">
      <c r="A15" s="52"/>
      <c r="B15" s="53"/>
      <c r="C15" s="54"/>
    </row>
    <row r="16" spans="1:3" x14ac:dyDescent="0.25">
      <c r="A16" s="52"/>
      <c r="B16" s="53"/>
      <c r="C16" s="54"/>
    </row>
    <row r="17" spans="1:3" x14ac:dyDescent="0.25">
      <c r="A17" s="52"/>
      <c r="B17" s="53"/>
      <c r="C17" s="54"/>
    </row>
    <row r="18" spans="1:3" x14ac:dyDescent="0.25">
      <c r="A18" s="52"/>
      <c r="B18" s="53"/>
      <c r="C18" s="54"/>
    </row>
    <row r="19" spans="1:3" x14ac:dyDescent="0.25">
      <c r="A19" s="52"/>
      <c r="B19" s="53"/>
      <c r="C19" s="54"/>
    </row>
    <row r="20" spans="1:3" x14ac:dyDescent="0.25">
      <c r="A20" s="55"/>
      <c r="B20" s="56"/>
      <c r="C20" s="5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42578125" defaultRowHeight="15" x14ac:dyDescent="0.25"/>
  <cols>
    <col min="12" max="12" width="36.42578125" customWidth="1"/>
    <col min="14" max="14" width="16.42578125" customWidth="1"/>
    <col min="16" max="16" width="49.42578125" customWidth="1"/>
  </cols>
  <sheetData>
    <row r="2" spans="1:22" x14ac:dyDescent="0.25">
      <c r="A2" t="s">
        <v>92</v>
      </c>
      <c r="C2" t="s">
        <v>93</v>
      </c>
    </row>
    <row r="3" spans="1:22" x14ac:dyDescent="0.25">
      <c r="A3" t="s">
        <v>94</v>
      </c>
      <c r="C3" t="s">
        <v>95</v>
      </c>
    </row>
    <row r="7" spans="1:22" ht="90" x14ac:dyDescent="0.25">
      <c r="A7" s="11" t="s">
        <v>96</v>
      </c>
      <c r="C7" s="11" t="s">
        <v>97</v>
      </c>
      <c r="F7" s="11" t="s">
        <v>98</v>
      </c>
      <c r="H7" s="11" t="s">
        <v>99</v>
      </c>
      <c r="J7" s="11" t="s">
        <v>100</v>
      </c>
      <c r="L7" s="48" t="s">
        <v>101</v>
      </c>
      <c r="N7" s="11" t="s">
        <v>102</v>
      </c>
      <c r="P7" s="11" t="s">
        <v>103</v>
      </c>
      <c r="R7" s="11" t="s">
        <v>104</v>
      </c>
      <c r="T7" t="s">
        <v>105</v>
      </c>
      <c r="V7" t="s">
        <v>106</v>
      </c>
    </row>
    <row r="8" spans="1:22" x14ac:dyDescent="0.25">
      <c r="A8" t="s">
        <v>107</v>
      </c>
      <c r="C8" t="s">
        <v>108</v>
      </c>
      <c r="F8" t="s">
        <v>109</v>
      </c>
      <c r="H8" t="s">
        <v>110</v>
      </c>
      <c r="J8" t="s">
        <v>111</v>
      </c>
      <c r="L8" s="14" t="s">
        <v>112</v>
      </c>
      <c r="N8" t="s">
        <v>113</v>
      </c>
      <c r="P8" s="13" t="s">
        <v>114</v>
      </c>
      <c r="R8" t="s">
        <v>115</v>
      </c>
      <c r="T8" t="s">
        <v>116</v>
      </c>
      <c r="V8" t="s">
        <v>117</v>
      </c>
    </row>
    <row r="9" spans="1:22" ht="30" x14ac:dyDescent="0.25">
      <c r="A9" t="s">
        <v>118</v>
      </c>
      <c r="C9" t="s">
        <v>119</v>
      </c>
      <c r="F9" t="s">
        <v>120</v>
      </c>
      <c r="H9" t="s">
        <v>121</v>
      </c>
      <c r="J9" t="s">
        <v>122</v>
      </c>
      <c r="L9" s="14" t="s">
        <v>123</v>
      </c>
      <c r="N9" t="s">
        <v>124</v>
      </c>
      <c r="P9" s="13" t="s">
        <v>125</v>
      </c>
      <c r="R9" t="s">
        <v>126</v>
      </c>
      <c r="T9" t="s">
        <v>127</v>
      </c>
      <c r="V9" t="s">
        <v>128</v>
      </c>
    </row>
    <row r="10" spans="1:22" x14ac:dyDescent="0.25">
      <c r="A10" t="s">
        <v>129</v>
      </c>
      <c r="C10" t="s">
        <v>130</v>
      </c>
      <c r="H10" t="s">
        <v>131</v>
      </c>
      <c r="J10" t="s">
        <v>132</v>
      </c>
      <c r="L10" s="14" t="s">
        <v>133</v>
      </c>
      <c r="N10" t="s">
        <v>134</v>
      </c>
      <c r="P10" s="13" t="s">
        <v>135</v>
      </c>
      <c r="R10" t="s">
        <v>136</v>
      </c>
      <c r="T10" t="s">
        <v>137</v>
      </c>
      <c r="V10" t="s">
        <v>138</v>
      </c>
    </row>
    <row r="11" spans="1:22" x14ac:dyDescent="0.25">
      <c r="A11" t="s">
        <v>139</v>
      </c>
      <c r="C11" t="s">
        <v>140</v>
      </c>
      <c r="H11" t="s">
        <v>141</v>
      </c>
      <c r="J11" t="s">
        <v>142</v>
      </c>
      <c r="L11" s="14" t="s">
        <v>143</v>
      </c>
      <c r="T11" t="s">
        <v>144</v>
      </c>
      <c r="V11" t="s">
        <v>145</v>
      </c>
    </row>
    <row r="12" spans="1:22" ht="30" x14ac:dyDescent="0.25">
      <c r="C12" s="7"/>
      <c r="D12" s="7"/>
      <c r="E12" s="7"/>
      <c r="F12" s="7"/>
      <c r="G12" s="7"/>
      <c r="H12" s="7" t="s">
        <v>146</v>
      </c>
      <c r="I12" s="7"/>
      <c r="J12" s="7" t="s">
        <v>147</v>
      </c>
      <c r="K12" s="7"/>
      <c r="L12" s="14" t="s">
        <v>148</v>
      </c>
      <c r="M12" s="7"/>
      <c r="N12" s="7"/>
      <c r="T12" t="s">
        <v>149</v>
      </c>
      <c r="V12" t="s">
        <v>150</v>
      </c>
    </row>
    <row r="13" spans="1:22" x14ac:dyDescent="0.25">
      <c r="H13" t="s">
        <v>151</v>
      </c>
      <c r="I13" s="15"/>
      <c r="J13" s="15" t="s">
        <v>152</v>
      </c>
      <c r="L13" s="14" t="s">
        <v>153</v>
      </c>
      <c r="T13" t="s">
        <v>154</v>
      </c>
      <c r="V13" t="s">
        <v>155</v>
      </c>
    </row>
    <row r="14" spans="1:22" x14ac:dyDescent="0.25">
      <c r="H14" t="s">
        <v>156</v>
      </c>
      <c r="I14" s="15"/>
      <c r="J14" s="15" t="s">
        <v>157</v>
      </c>
      <c r="L14" s="14" t="s">
        <v>158</v>
      </c>
      <c r="T14" t="s">
        <v>159</v>
      </c>
      <c r="V14" t="s">
        <v>160</v>
      </c>
    </row>
    <row r="15" spans="1:22" x14ac:dyDescent="0.25">
      <c r="G15" s="15"/>
      <c r="H15" s="15" t="s">
        <v>161</v>
      </c>
      <c r="I15" s="15"/>
      <c r="J15" s="15" t="s">
        <v>162</v>
      </c>
      <c r="K15" s="15"/>
      <c r="L15" s="14" t="s">
        <v>163</v>
      </c>
      <c r="M15" s="15"/>
      <c r="N15" s="15"/>
      <c r="T15" t="s">
        <v>164</v>
      </c>
    </row>
    <row r="16" spans="1:22" ht="60" x14ac:dyDescent="0.25">
      <c r="A16" s="11" t="s">
        <v>165</v>
      </c>
      <c r="J16" t="s">
        <v>166</v>
      </c>
      <c r="L16" s="14" t="s">
        <v>167</v>
      </c>
      <c r="T16" t="s">
        <v>168</v>
      </c>
    </row>
    <row r="17" spans="1:20" x14ac:dyDescent="0.25">
      <c r="A17" t="s">
        <v>169</v>
      </c>
      <c r="J17" t="s">
        <v>170</v>
      </c>
      <c r="L17" s="14" t="s">
        <v>171</v>
      </c>
      <c r="T17" t="s">
        <v>172</v>
      </c>
    </row>
    <row r="18" spans="1:20" x14ac:dyDescent="0.25">
      <c r="A18" t="s">
        <v>173</v>
      </c>
      <c r="J18" t="s">
        <v>174</v>
      </c>
      <c r="L18" s="14" t="s">
        <v>175</v>
      </c>
      <c r="T18" t="s">
        <v>176</v>
      </c>
    </row>
    <row r="19" spans="1:20" x14ac:dyDescent="0.25">
      <c r="J19" t="s">
        <v>177</v>
      </c>
      <c r="L19" s="14" t="s">
        <v>178</v>
      </c>
    </row>
    <row r="20" spans="1:20" x14ac:dyDescent="0.25">
      <c r="J20" t="s">
        <v>179</v>
      </c>
      <c r="L20" s="14" t="s">
        <v>180</v>
      </c>
    </row>
    <row r="21" spans="1:20" x14ac:dyDescent="0.25">
      <c r="J21" t="s">
        <v>181</v>
      </c>
      <c r="L21" s="12"/>
    </row>
    <row r="22" spans="1:20" x14ac:dyDescent="0.25">
      <c r="J22" t="s">
        <v>182</v>
      </c>
    </row>
    <row r="23" spans="1:20" x14ac:dyDescent="0.25">
      <c r="J23" t="s">
        <v>183</v>
      </c>
    </row>
    <row r="24" spans="1:20" x14ac:dyDescent="0.25">
      <c r="J24" t="s">
        <v>184</v>
      </c>
    </row>
    <row r="25" spans="1:20" x14ac:dyDescent="0.25">
      <c r="A25" t="s">
        <v>185</v>
      </c>
      <c r="J25" t="s">
        <v>186</v>
      </c>
    </row>
    <row r="26" spans="1:20" x14ac:dyDescent="0.25">
      <c r="J26" t="s">
        <v>187</v>
      </c>
    </row>
    <row r="27" spans="1:20" x14ac:dyDescent="0.25">
      <c r="J27" t="s">
        <v>188</v>
      </c>
    </row>
  </sheetData>
  <sortState xmlns:xlrd2="http://schemas.microsoft.com/office/spreadsheetml/2017/richdata2" ref="V8:V14">
    <sortCondition ref="V8:V14"/>
  </sortState>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AV42"/>
  <sheetViews>
    <sheetView topLeftCell="A17" zoomScale="70" zoomScaleNormal="70" workbookViewId="0">
      <selection activeCell="O24" sqref="O24"/>
    </sheetView>
  </sheetViews>
  <sheetFormatPr baseColWidth="10" defaultColWidth="9.42578125" defaultRowHeight="15" x14ac:dyDescent="0.25"/>
  <cols>
    <col min="1" max="1" width="9.42578125" style="109"/>
    <col min="2" max="2" width="9.42578125" style="109" bestFit="1" customWidth="1"/>
    <col min="3" max="3" width="58.5703125" style="109" customWidth="1"/>
    <col min="4" max="4" width="72" style="109" customWidth="1"/>
    <col min="5" max="5" width="15.140625" style="109" customWidth="1"/>
    <col min="6" max="6" width="18.5703125" style="110" customWidth="1"/>
    <col min="7" max="7" width="25.42578125" style="110" customWidth="1"/>
    <col min="8" max="8" width="27.140625" style="109" customWidth="1"/>
    <col min="9" max="9" width="34.42578125" style="109" customWidth="1"/>
    <col min="10" max="10" width="9.42578125" style="109" customWidth="1"/>
    <col min="11" max="16384" width="9.42578125" style="109"/>
  </cols>
  <sheetData>
    <row r="2" spans="2:48" ht="30" x14ac:dyDescent="0.25">
      <c r="F2" s="110" t="s">
        <v>189</v>
      </c>
      <c r="G2" s="110">
        <f>G8-Estudio_Mercado_VF!AB6</f>
        <v>0</v>
      </c>
    </row>
    <row r="6" spans="2:48" s="1" customFormat="1" ht="36.6" customHeight="1" x14ac:dyDescent="0.25">
      <c r="B6" s="343"/>
      <c r="C6" s="343"/>
      <c r="D6" s="344" t="s">
        <v>190</v>
      </c>
      <c r="E6" s="345"/>
      <c r="F6" s="345"/>
      <c r="G6" s="345"/>
      <c r="H6" s="345"/>
      <c r="I6" s="346"/>
    </row>
    <row r="7" spans="2:48" s="2" customFormat="1" ht="24" x14ac:dyDescent="0.25">
      <c r="B7" s="343"/>
      <c r="C7" s="343"/>
      <c r="D7" s="17" t="s">
        <v>2</v>
      </c>
      <c r="E7" s="339" t="str">
        <f>Estudio_Mercado_VF!D4</f>
        <v xml:space="preserve">IMPLEMENTAR ACCIONES DE FORTALECIMIENTO DIRIGIDAS A LOS MEDIOS COMUNITARIOS Y ALTERNATIVOS DE LA LOCALIDAD DE SUBA. </v>
      </c>
      <c r="F7" s="339"/>
      <c r="G7" s="339"/>
      <c r="H7" s="339"/>
      <c r="I7" s="339"/>
    </row>
    <row r="8" spans="2:48" s="115" customFormat="1" ht="23.25" x14ac:dyDescent="0.35">
      <c r="B8" s="347" t="s">
        <v>191</v>
      </c>
      <c r="C8" s="347"/>
      <c r="D8" s="347"/>
      <c r="E8" s="347"/>
      <c r="F8" s="111" t="s">
        <v>192</v>
      </c>
      <c r="G8" s="112">
        <f>SUM(G11:G18)+SUM(G23:G27)</f>
        <v>900000000</v>
      </c>
      <c r="H8" s="113" t="s">
        <v>193</v>
      </c>
      <c r="I8" s="114">
        <f>SUM(I11:I18)</f>
        <v>0</v>
      </c>
    </row>
    <row r="9" spans="2:48" ht="54" customHeight="1" x14ac:dyDescent="0.25">
      <c r="B9" s="348" t="s">
        <v>194</v>
      </c>
      <c r="C9" s="348" t="s">
        <v>195</v>
      </c>
      <c r="D9" s="348" t="s">
        <v>43</v>
      </c>
      <c r="E9" s="348" t="s">
        <v>196</v>
      </c>
      <c r="F9" s="349" t="s">
        <v>197</v>
      </c>
      <c r="G9" s="349"/>
      <c r="H9" s="350" t="s">
        <v>198</v>
      </c>
      <c r="I9" s="350"/>
    </row>
    <row r="10" spans="2:48" ht="75" x14ac:dyDescent="0.25">
      <c r="B10" s="348"/>
      <c r="C10" s="348"/>
      <c r="D10" s="348"/>
      <c r="E10" s="348"/>
      <c r="F10" s="116" t="s">
        <v>199</v>
      </c>
      <c r="G10" s="116" t="s">
        <v>200</v>
      </c>
      <c r="H10" s="117" t="s">
        <v>199</v>
      </c>
      <c r="I10" s="117" t="s">
        <v>201</v>
      </c>
    </row>
    <row r="11" spans="2:48" ht="45" x14ac:dyDescent="0.25">
      <c r="B11" s="118">
        <f>IF(Estudio_Mercado_VF!C11="","",Estudio_Mercado_VF!A11)</f>
        <v>1</v>
      </c>
      <c r="C11" s="119" t="str">
        <f>IF(Estudio_Mercado_VF!C11="","",Estudio_Mercado_VF!C11)</f>
        <v>Salón - Espacio Apto para 50 personas  (media jornada más equipos audiovisuales)</v>
      </c>
      <c r="D11" s="119" t="str">
        <f>IF(Estudio_Mercado_VF!D11="","",Estudio_Mercado_VF!D11)</f>
        <v>Espacio físico para 50 personas con baño, sillas y mesas, ubicado en la localidad de Suba, con disponibilidad de espacio exterior para desarrollo de actividades
Dotado con equipo de computo, video beam y sonido</v>
      </c>
      <c r="E11" s="118">
        <f>IF(Estudio_Mercado_VF!F11="","",Estudio_Mercado_VF!F11)</f>
        <v>1</v>
      </c>
      <c r="F11" s="120">
        <f>IF(Estudio_Mercado_VF!Z11="","",Estudio_Mercado_VF!Z11)</f>
        <v>330001</v>
      </c>
      <c r="G11" s="120">
        <f>IF(Estudio_Mercado_VF!Z11="","",Estudio_Mercado_VF!AA11)</f>
        <v>330001</v>
      </c>
      <c r="H11" s="108"/>
      <c r="I11" s="121" t="str">
        <f>IF(H11="","",H11*E11)</f>
        <v/>
      </c>
      <c r="AV11" s="109">
        <v>1</v>
      </c>
    </row>
    <row r="12" spans="2:48" ht="210" x14ac:dyDescent="0.25">
      <c r="B12" s="118">
        <f>IF(Estudio_Mercado_VF!C12="","",Estudio_Mercado_VF!A12)</f>
        <v>2</v>
      </c>
      <c r="C12" s="119" t="str">
        <f>IF(Estudio_Mercado_VF!C12="","",Estudio_Mercado_VF!C12)</f>
        <v>Refrigerio Tipo 1</v>
      </c>
      <c r="D12" s="119" t="str">
        <f>IF(Estudio_Mercado_VF!D12="","",Estudio_Mercado_VF!D12)</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2" s="118">
        <f>IF(Estudio_Mercado_VF!F12="","",Estudio_Mercado_VF!F12)</f>
        <v>50</v>
      </c>
      <c r="F12" s="120">
        <f>IF(Estudio_Mercado_VF!Z12="","",Estudio_Mercado_VF!Z12)</f>
        <v>11921</v>
      </c>
      <c r="G12" s="120">
        <f>IF(Estudio_Mercado_VF!Z12="","",Estudio_Mercado_VF!AA12)</f>
        <v>596050</v>
      </c>
      <c r="H12" s="108"/>
      <c r="I12" s="121" t="str">
        <f t="shared" ref="I12:I18" si="0">IF(H12="","",H12*E12)</f>
        <v/>
      </c>
      <c r="AV12" s="109">
        <v>2</v>
      </c>
    </row>
    <row r="13" spans="2:48" ht="60" x14ac:dyDescent="0.25">
      <c r="B13" s="118">
        <f>IF(Estudio_Mercado_VF!C13="","",Estudio_Mercado_VF!A13)</f>
        <v>3</v>
      </c>
      <c r="C13" s="119" t="str">
        <f>IF(Estudio_Mercado_VF!C13="","",Estudio_Mercado_VF!C13)</f>
        <v>Estación de café tipo 3</v>
      </c>
      <c r="D13" s="119" t="str">
        <f>IF(Estudio_Mercado_VF!D13="","",Estudio_Mercado_VF!D13)</f>
        <v>Servicio de cafetería para 50 personas (tinto, aromática y agua): Operario + presentación mesa + vasos de cartón bebida caliente 4 oz. + mezclador + azúcar + crema para café). Incluye galletas tipo avena o integrales. Duración del evento aprox. 6 horas. Transporte incluido.</v>
      </c>
      <c r="E13" s="118">
        <f>IF(Estudio_Mercado_VF!F13="","",Estudio_Mercado_VF!F13)</f>
        <v>1</v>
      </c>
      <c r="F13" s="120">
        <f>IF(Estudio_Mercado_VF!Z13="","",Estudio_Mercado_VF!Z13)</f>
        <v>640275</v>
      </c>
      <c r="G13" s="120">
        <f>IF(Estudio_Mercado_VF!Z13="","",Estudio_Mercado_VF!AA13)</f>
        <v>640275</v>
      </c>
      <c r="H13" s="108"/>
      <c r="I13" s="121" t="str">
        <f t="shared" si="0"/>
        <v/>
      </c>
      <c r="AV13" s="109">
        <v>3</v>
      </c>
    </row>
    <row r="14" spans="2:48" ht="120" x14ac:dyDescent="0.25">
      <c r="B14" s="118">
        <f>IF(Estudio_Mercado_VF!C14="","",Estudio_Mercado_VF!A14)</f>
        <v>4</v>
      </c>
      <c r="C14" s="119" t="str">
        <f>IF(Estudio_Mercado_VF!C14="","",Estudio_Mercado_VF!C14)</f>
        <v>BOLSA DE HERRAMIENTAS TECNOLÓGICAS POR MEDIO COMUNITARIO Y ALTERNATIVO</v>
      </c>
      <c r="D14" s="119" t="str">
        <f>IF(Estudio_Mercado_VF!D14="","",Estudio_Mercado_VF!D14)</f>
        <v xml:space="preserve">La sumatoria de los elementos a entregar a cada medio comunitario y alternativo no podrá superar el monto de doce Millones de pesos M/cte ($12.000.000) IVA incluidos, gravámenes a los movimientos financieros (4x1000) y todos los demás impuestos en que se incurran que sean aplicables. Así mismo, dentro de este valor estarán discriminados por parte del operador los costos logísticos asociados a la entrega, en el sitio establecido, de los elementos y este valor que en ningún caso podrán superar el 4% del valor a neto (luego de descontar los impuestos aplicados) a entregar y esto deberá ser discriminado detalladamente en la correspondiente factura. </v>
      </c>
      <c r="E14" s="118">
        <f>IF(Estudio_Mercado_VF!F14="","",Estudio_Mercado_VF!F14)</f>
        <v>1</v>
      </c>
      <c r="F14" s="120" t="str">
        <f>IF(Estudio_Mercado_VF!Z14="","",Estudio_Mercado_VF!Z14)</f>
        <v/>
      </c>
      <c r="G14" s="120">
        <v>300000000</v>
      </c>
      <c r="H14" s="108"/>
      <c r="I14" s="121" t="str">
        <f t="shared" si="0"/>
        <v/>
      </c>
      <c r="AV14" s="109">
        <v>4</v>
      </c>
    </row>
    <row r="15" spans="2:48" ht="60" x14ac:dyDescent="0.25">
      <c r="B15" s="118">
        <f>IF(Estudio_Mercado_VF!C15="","",Estudio_Mercado_VF!A15)</f>
        <v>4</v>
      </c>
      <c r="C15" s="119" t="str">
        <f>IF(Estudio_Mercado_VF!C15="","",Estudio_Mercado_VF!C15)</f>
        <v>Certificado de participación</v>
      </c>
      <c r="D15" s="119" t="str">
        <f>IF(Estudio_Mercado_VF!D15="","",Estudio_Mercado_VF!D15)</f>
        <v xml:space="preserve">Impresión a media carta 4 tintas en papel _x000D_
propalcote o kimberly 200 gr, tamaño 22x28 cm con nombres individuales o espacio para el mismo, refilados._x000D_
</v>
      </c>
      <c r="E15" s="118">
        <f>IF(Estudio_Mercado_VF!F15="","",Estudio_Mercado_VF!F15)</f>
        <v>25</v>
      </c>
      <c r="F15" s="120">
        <f>IF(Estudio_Mercado_VF!Z15="","",Estudio_Mercado_VF!Z15)</f>
        <v>3206</v>
      </c>
      <c r="G15" s="120">
        <f>IF(Estudio_Mercado_VF!Z15="","",Estudio_Mercado_VF!AA15)</f>
        <v>80150</v>
      </c>
      <c r="H15" s="108"/>
      <c r="I15" s="121" t="str">
        <f t="shared" si="0"/>
        <v/>
      </c>
      <c r="AV15" s="109">
        <v>5</v>
      </c>
    </row>
    <row r="16" spans="2:48" ht="60" x14ac:dyDescent="0.25">
      <c r="B16" s="118">
        <f>IF(Estudio_Mercado_VF!C16="","",Estudio_Mercado_VF!A16)</f>
        <v>5</v>
      </c>
      <c r="C16" s="119" t="str">
        <f>IF(Estudio_Mercado_VF!C16="","",Estudio_Mercado_VF!C16)</f>
        <v>Salón - Espacio Apto para 100 personas   (jornada completa más equipos audiovisuales)</v>
      </c>
      <c r="D16" s="119" t="str">
        <f>IF(Estudio_Mercado_VF!D16="","",Estudio_Mercado_VF!D16)</f>
        <v>Espacio físico para 100 personas con baño, sillas y mesas, ubicado en la localidad de Suba, con disponibilidad de espacio exterior para desarrollo de actividades_x000D_
Dotado con equipo de computo, video beam y sonido_x000D_
Jornada de 8 horas</v>
      </c>
      <c r="E16" s="118">
        <f>IF(Estudio_Mercado_VF!F16="","",Estudio_Mercado_VF!F16)</f>
        <v>1</v>
      </c>
      <c r="F16" s="120">
        <f>IF(Estudio_Mercado_VF!Z16="","",Estudio_Mercado_VF!Z16)</f>
        <v>495001</v>
      </c>
      <c r="G16" s="120">
        <f>IF(Estudio_Mercado_VF!Z16="","",Estudio_Mercado_VF!AA16)</f>
        <v>495001</v>
      </c>
      <c r="H16" s="108"/>
      <c r="I16" s="121" t="str">
        <f t="shared" si="0"/>
        <v/>
      </c>
      <c r="AV16" s="109">
        <v>6</v>
      </c>
    </row>
    <row r="17" spans="2:48" ht="210" x14ac:dyDescent="0.25">
      <c r="B17" s="118">
        <f>IF(Estudio_Mercado_VF!C17="","",Estudio_Mercado_VF!A17)</f>
        <v>6</v>
      </c>
      <c r="C17" s="119" t="str">
        <f>IF(Estudio_Mercado_VF!C17="","",Estudio_Mercado_VF!C17)</f>
        <v>Refrigerio Tipo 1</v>
      </c>
      <c r="D17" s="119" t="str">
        <f>IF(Estudio_Mercado_VF!D17="","",Estudio_Mercado_VF!D17)</f>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
      <c r="E17" s="118">
        <f>IF(Estudio_Mercado_VF!F17="","",Estudio_Mercado_VF!F17)</f>
        <v>100</v>
      </c>
      <c r="F17" s="120">
        <f>IF(Estudio_Mercado_VF!Z17="","",Estudio_Mercado_VF!Z17)</f>
        <v>11921</v>
      </c>
      <c r="G17" s="120">
        <f>IF(Estudio_Mercado_VF!Z17="","",Estudio_Mercado_VF!AA17)</f>
        <v>1192100</v>
      </c>
      <c r="H17" s="108"/>
      <c r="I17" s="121" t="str">
        <f t="shared" si="0"/>
        <v/>
      </c>
      <c r="AV17" s="109">
        <v>7</v>
      </c>
    </row>
    <row r="18" spans="2:48" ht="105" x14ac:dyDescent="0.25">
      <c r="B18" s="118">
        <f>IF(Estudio_Mercado_VF!C18="","",Estudio_Mercado_VF!A18)</f>
        <v>7</v>
      </c>
      <c r="C18" s="119" t="str">
        <f>IF(Estudio_Mercado_VF!C18="","",Estudio_Mercado_VF!C18)</f>
        <v>BOLSA DE APOYO A LA DIVULGACIÓN POR MEDIO COMUNITARIO Y ALTERNATIVO</v>
      </c>
      <c r="D18" s="119" t="str">
        <f>IF(Estudio_Mercado_VF!D18="","",Estudio_Mercado_VF!D18)</f>
        <v>Bolsa para los medios comunitarios y alternativos que culminaron la fase de capacitación especializada y entrega de herramientas tecnológicas, quienes tendrán además un apoyo para producir, difundir y divulgar las acciones, actividades y eventos definidos por el Área de Prensa de la Alcaldía Local de Suba, por valor a monto agotable de quince millones de pesos M/Cte. ($15.000.000) IVA incluido, gravamen a los movimientos financieros (4x1000) y/o todos los demás impuestos en que se incurran, si aplican, de acuerdo con el Estatuto Tributario.</v>
      </c>
      <c r="E18" s="118">
        <f>IF(Estudio_Mercado_VF!F18="","",Estudio_Mercado_VF!F18)</f>
        <v>1</v>
      </c>
      <c r="F18" s="120" t="str">
        <f>IF(Estudio_Mercado_VF!Z18="","",Estudio_Mercado_VF!Z18)</f>
        <v/>
      </c>
      <c r="G18" s="120">
        <v>375000000</v>
      </c>
      <c r="H18" s="108"/>
      <c r="I18" s="121" t="str">
        <f t="shared" si="0"/>
        <v/>
      </c>
      <c r="AV18" s="109">
        <v>8</v>
      </c>
    </row>
    <row r="19" spans="2:48" x14ac:dyDescent="0.25">
      <c r="B19" s="354" t="s">
        <v>202</v>
      </c>
      <c r="C19" s="354"/>
      <c r="D19" s="354"/>
      <c r="E19" s="354"/>
      <c r="F19" s="354"/>
      <c r="G19" s="354"/>
      <c r="H19" s="122">
        <f>SUM(H11:H18)</f>
        <v>0</v>
      </c>
      <c r="I19" s="123"/>
    </row>
    <row r="20" spans="2:48" x14ac:dyDescent="0.25">
      <c r="B20" s="355" t="s">
        <v>53</v>
      </c>
      <c r="C20" s="356"/>
      <c r="D20" s="356"/>
      <c r="E20" s="356"/>
      <c r="F20" s="355" t="s">
        <v>53</v>
      </c>
      <c r="G20" s="356"/>
      <c r="H20" s="356"/>
      <c r="I20" s="356"/>
    </row>
    <row r="21" spans="2:48" x14ac:dyDescent="0.25">
      <c r="B21" s="357"/>
      <c r="C21" s="358"/>
      <c r="D21" s="358"/>
      <c r="E21" s="358"/>
      <c r="F21" s="357"/>
      <c r="G21" s="358"/>
      <c r="H21" s="358"/>
      <c r="I21" s="358"/>
    </row>
    <row r="22" spans="2:48" ht="30" x14ac:dyDescent="0.25">
      <c r="B22" s="118">
        <v>1</v>
      </c>
      <c r="C22" s="124" t="str">
        <f>Estudio_Mercado_VF!C23</f>
        <v>Perfil solicitado Recurso Humano</v>
      </c>
      <c r="D22" s="124" t="str">
        <f>Estudio_Mercado_VF!D23</f>
        <v>Descripción del perfil - Recurso Humano</v>
      </c>
      <c r="E22" s="124" t="str">
        <f>Estudio_Mercado_VF!E23</f>
        <v>Unidad de medida</v>
      </c>
      <c r="F22" s="124" t="str">
        <f>Estudio_Mercado_VF!I23</f>
        <v>Valor unitario (Tabla)</v>
      </c>
      <c r="G22" s="124" t="str">
        <f>Estudio_Mercado_VF!J23</f>
        <v>Valor total</v>
      </c>
      <c r="H22" s="125"/>
      <c r="I22" s="126"/>
    </row>
    <row r="23" spans="2:48" ht="135" x14ac:dyDescent="0.25">
      <c r="B23" s="118">
        <v>2</v>
      </c>
      <c r="C23" s="124" t="str">
        <f>Estudio_Mercado_VF!C24</f>
        <v>Coordinador</v>
      </c>
      <c r="D23" s="124" t="str">
        <f>Estudio_Mercado_VF!D24</f>
        <v>Título profesional en comunicación social o periodismo o diseñador gráfico, dentro del NBC en áreas afines o relacionadas a la comunicación social o TIC.
Título de posgrado en administración o gerencia o proyectos o marketing digital o producción audiovisual o en comunicación.
Mínimo tres (3) años de experiencia profesional relacionada en la gerencia o coordinación de proyectos o actividades logísticas relacionadas con el fortalecimiento de capacidades y/o competencias técnicas de los medios de comunicación.</v>
      </c>
      <c r="E23" s="124" t="str">
        <f>Estudio_Mercado_VF!E24</f>
        <v>Persona</v>
      </c>
      <c r="F23" s="124">
        <f>Estudio_Mercado_VF!I24</f>
        <v>8940704</v>
      </c>
      <c r="G23" s="124">
        <f>Estudio_Mercado_VF!J24</f>
        <v>62584928</v>
      </c>
      <c r="H23" s="125"/>
      <c r="I23" s="126"/>
    </row>
    <row r="24" spans="2:48" ht="75" x14ac:dyDescent="0.25">
      <c r="B24" s="118">
        <v>3</v>
      </c>
      <c r="C24" s="124" t="str">
        <f>Estudio_Mercado_VF!C25</f>
        <v>Profesional de apoyo administrativo</v>
      </c>
      <c r="D24" s="124" t="str">
        <f>Estudio_Mercado_VF!D25</f>
        <v xml:space="preserve">Título profesional dentro del área del conocimiento de economía o administración, o gestión de datos o dentro del NBC en áreas afines.
Mínimo un año (1) año de experiencia profesional relacionada con la administración de proyectos o logística. Y manejo comprobable de herramientas ofimáticas básicas. </v>
      </c>
      <c r="E24" s="124" t="str">
        <f>Estudio_Mercado_VF!E25</f>
        <v>Persona</v>
      </c>
      <c r="F24" s="124">
        <f>Estudio_Mercado_VF!I25</f>
        <v>6758057</v>
      </c>
      <c r="G24" s="124">
        <f>Estudio_Mercado_VF!J25</f>
        <v>47306399</v>
      </c>
      <c r="H24" s="125"/>
      <c r="I24" s="126"/>
    </row>
    <row r="25" spans="2:48" ht="60" x14ac:dyDescent="0.25">
      <c r="B25" s="118">
        <v>4</v>
      </c>
      <c r="C25" s="124" t="str">
        <f>Estudio_Mercado_VF!C26</f>
        <v>Auxiliar logístico</v>
      </c>
      <c r="D25" s="124" t="str">
        <f>Estudio_Mercado_VF!D26</f>
        <v>Título bachiller.
Mínimo veinticuatro (24) meses de experiencia laboral relacionada en organización de eventos o apoyo logístico o gestión de proyectos.</v>
      </c>
      <c r="E25" s="124" t="str">
        <f>Estudio_Mercado_VF!E26</f>
        <v>Persona</v>
      </c>
      <c r="F25" s="124">
        <f>Estudio_Mercado_VF!I26</f>
        <v>3095008</v>
      </c>
      <c r="G25" s="124">
        <f>Estudio_Mercado_VF!J26</f>
        <v>37140096</v>
      </c>
      <c r="H25" s="125"/>
      <c r="I25" s="126"/>
    </row>
    <row r="26" spans="2:48" ht="135" x14ac:dyDescent="0.25">
      <c r="B26" s="118">
        <v>5</v>
      </c>
      <c r="C26" s="124" t="str">
        <f>Estudio_Mercado_VF!C27</f>
        <v xml:space="preserve">Profesional capacitador en producción audiovisual  </v>
      </c>
      <c r="D26" s="124" t="str">
        <f>Estudio_Mercado_VF!D27</f>
        <v>Título profesional en Comunicación Social, o Periodismo, o Comunicación Audiovisual, o Producción Multimedia, o medios audiovisuales, o Dirección y Producción de Medios Audiovisuales, o Ingeniería de Telecomunicaciones o afines dentro del NBC.
Título de posgrado en marketing digital o comunicación social o periodismo.
Mínimo dos (2) años de experiencia profesional relacionada en producción de medios o edición audiovisuales o manejo de medios tecnológicos y comunicativos o relacionados.</v>
      </c>
      <c r="E26" s="124" t="str">
        <f>Estudio_Mercado_VF!E27</f>
        <v>Persona</v>
      </c>
      <c r="F26" s="124">
        <f>Estudio_Mercado_VF!I27</f>
        <v>7463500</v>
      </c>
      <c r="G26" s="124">
        <f>Estudio_Mercado_VF!J27</f>
        <v>37317500</v>
      </c>
      <c r="H26" s="125"/>
      <c r="I26" s="126"/>
    </row>
    <row r="27" spans="2:48" ht="150" x14ac:dyDescent="0.25">
      <c r="B27" s="118">
        <v>6</v>
      </c>
      <c r="C27" s="124" t="str">
        <f>Estudio_Mercado_VF!C28</f>
        <v>Profesional capacitador en comunicación, marketing digital y sostenibilidad económica de medios</v>
      </c>
      <c r="D27" s="124" t="str">
        <f>Estudio_Mercado_VF!D28</f>
        <v>Título profesional en Comunicación Audiovisual y Multimedia o Dirección y Producción de Cine y Televisión o dentro del NBC de Comunicación Social, Periodismo o afines. 
Con posgrado dentro del NBC en áreas afines o relacionadas a la comunicación social o TIC. 
Mínimo dos (2) años de experiencia profesional relacionada en pedagogía o docencia o manejo de medios tecnológicos y comunicativos, convergencia tecnológica o relacionados.</v>
      </c>
      <c r="E27" s="124" t="str">
        <f>Estudio_Mercado_VF!E28</f>
        <v>Persona</v>
      </c>
      <c r="F27" s="124">
        <f>Estudio_Mercado_VF!I28</f>
        <v>7463500</v>
      </c>
      <c r="G27" s="124">
        <f>Estudio_Mercado_VF!J28</f>
        <v>37317500</v>
      </c>
      <c r="H27" s="125"/>
      <c r="I27" s="126"/>
    </row>
    <row r="28" spans="2:48" x14ac:dyDescent="0.25">
      <c r="B28" s="118"/>
      <c r="C28" s="124"/>
      <c r="D28" s="124"/>
      <c r="E28" s="258"/>
      <c r="F28" s="124"/>
      <c r="G28" s="124"/>
      <c r="H28" s="261"/>
      <c r="I28" s="262"/>
    </row>
    <row r="29" spans="2:48" x14ac:dyDescent="0.25">
      <c r="B29" s="118"/>
      <c r="C29" s="124"/>
      <c r="D29" s="124"/>
      <c r="E29" s="258"/>
      <c r="F29" s="124"/>
      <c r="G29" s="124"/>
      <c r="H29" s="261"/>
      <c r="I29" s="262"/>
    </row>
    <row r="30" spans="2:48" x14ac:dyDescent="0.25">
      <c r="B30" s="258"/>
      <c r="C30" s="259"/>
      <c r="D30" s="259"/>
      <c r="E30" s="258"/>
      <c r="F30" s="124"/>
      <c r="G30" s="124"/>
      <c r="H30" s="261"/>
      <c r="I30" s="262"/>
    </row>
    <row r="31" spans="2:48" x14ac:dyDescent="0.25">
      <c r="B31" s="258"/>
      <c r="C31" s="259"/>
      <c r="D31" s="259"/>
      <c r="E31" s="258"/>
      <c r="F31" s="260"/>
      <c r="G31" s="260"/>
      <c r="H31" s="261"/>
      <c r="I31" s="262"/>
    </row>
    <row r="32" spans="2:48" x14ac:dyDescent="0.25">
      <c r="B32" s="354" t="s">
        <v>6</v>
      </c>
      <c r="C32" s="354"/>
      <c r="D32" s="354"/>
      <c r="E32" s="354"/>
      <c r="F32" s="354"/>
      <c r="G32" s="354"/>
      <c r="H32" s="122">
        <f>SUM(H22:H27)</f>
        <v>0</v>
      </c>
      <c r="I32" s="123"/>
    </row>
    <row r="33" spans="2:9" ht="15.75" x14ac:dyDescent="0.25">
      <c r="B33" s="352" t="s">
        <v>203</v>
      </c>
      <c r="C33" s="352"/>
      <c r="D33" s="352"/>
      <c r="E33" s="353"/>
      <c r="F33" s="353"/>
      <c r="G33" s="353"/>
      <c r="H33" s="353"/>
      <c r="I33" s="353"/>
    </row>
    <row r="34" spans="2:9" ht="15.75" x14ac:dyDescent="0.25">
      <c r="B34" s="352" t="s">
        <v>204</v>
      </c>
      <c r="C34" s="352"/>
      <c r="D34" s="352"/>
      <c r="E34" s="353"/>
      <c r="F34" s="353"/>
      <c r="G34" s="353"/>
      <c r="H34" s="353"/>
      <c r="I34" s="353"/>
    </row>
    <row r="35" spans="2:9" ht="15.75" x14ac:dyDescent="0.25">
      <c r="B35" s="352" t="s">
        <v>205</v>
      </c>
      <c r="C35" s="352"/>
      <c r="D35" s="352"/>
      <c r="E35" s="353"/>
      <c r="F35" s="353"/>
      <c r="G35" s="353"/>
      <c r="H35" s="353"/>
      <c r="I35" s="353"/>
    </row>
    <row r="36" spans="2:9" ht="15.75" x14ac:dyDescent="0.25">
      <c r="B36" s="352" t="s">
        <v>206</v>
      </c>
      <c r="C36" s="352"/>
      <c r="D36" s="352"/>
      <c r="E36" s="353"/>
      <c r="F36" s="353"/>
      <c r="G36" s="353"/>
      <c r="H36" s="353"/>
      <c r="I36" s="353"/>
    </row>
    <row r="37" spans="2:9" x14ac:dyDescent="0.25">
      <c r="B37" s="351"/>
      <c r="C37" s="351"/>
      <c r="D37" s="351"/>
      <c r="E37" s="351"/>
      <c r="F37" s="351"/>
      <c r="G37" s="351"/>
      <c r="H37" s="351"/>
      <c r="I37" s="351"/>
    </row>
    <row r="38" spans="2:9" x14ac:dyDescent="0.25">
      <c r="E38" s="7"/>
      <c r="F38" s="127"/>
      <c r="G38" s="127"/>
    </row>
    <row r="39" spans="2:9" x14ac:dyDescent="0.25">
      <c r="D39" s="7"/>
      <c r="E39" s="7"/>
      <c r="F39" s="127"/>
      <c r="G39" s="127"/>
    </row>
    <row r="40" spans="2:9" x14ac:dyDescent="0.25">
      <c r="D40" s="7"/>
      <c r="E40" s="7"/>
      <c r="F40" s="127"/>
      <c r="G40" s="127"/>
    </row>
    <row r="41" spans="2:9" x14ac:dyDescent="0.25">
      <c r="D41" s="7"/>
      <c r="E41" s="7"/>
      <c r="F41" s="127"/>
      <c r="G41" s="127"/>
    </row>
    <row r="42" spans="2:9" x14ac:dyDescent="0.25">
      <c r="D42" s="7"/>
      <c r="E42" s="7"/>
      <c r="F42" s="127"/>
      <c r="G42" s="127"/>
    </row>
  </sheetData>
  <mergeCells count="23">
    <mergeCell ref="B37:I37"/>
    <mergeCell ref="B33:D33"/>
    <mergeCell ref="E33:I33"/>
    <mergeCell ref="B19:G19"/>
    <mergeCell ref="B20:E21"/>
    <mergeCell ref="F20:I21"/>
    <mergeCell ref="B32:G32"/>
    <mergeCell ref="B34:D34"/>
    <mergeCell ref="E34:I34"/>
    <mergeCell ref="B35:D35"/>
    <mergeCell ref="E35:I35"/>
    <mergeCell ref="B36:D36"/>
    <mergeCell ref="E36:I36"/>
    <mergeCell ref="B6:C7"/>
    <mergeCell ref="D6:I6"/>
    <mergeCell ref="E7:I7"/>
    <mergeCell ref="B8:E8"/>
    <mergeCell ref="B9:B10"/>
    <mergeCell ref="C9:C10"/>
    <mergeCell ref="D9:D10"/>
    <mergeCell ref="E9:E10"/>
    <mergeCell ref="F9:G9"/>
    <mergeCell ref="H9:I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baseColWidth="10" defaultColWidth="11.42578125" defaultRowHeight="15" x14ac:dyDescent="0.2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x14ac:dyDescent="0.25">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x14ac:dyDescent="0.25">
      <c r="A2" s="95" t="s">
        <v>207</v>
      </c>
      <c r="B2" s="95" t="s">
        <v>208</v>
      </c>
      <c r="C2" s="95" t="s">
        <v>209</v>
      </c>
      <c r="D2" s="95" t="s">
        <v>12</v>
      </c>
      <c r="E2" s="95" t="s">
        <v>13</v>
      </c>
      <c r="F2" s="95" t="s">
        <v>30</v>
      </c>
      <c r="G2" s="95" t="s">
        <v>31</v>
      </c>
      <c r="H2" s="95" t="s">
        <v>32</v>
      </c>
      <c r="I2" s="96" t="s">
        <v>210</v>
      </c>
      <c r="J2" s="96" t="s">
        <v>211</v>
      </c>
      <c r="K2" s="96" t="s">
        <v>212</v>
      </c>
      <c r="L2" s="96" t="s">
        <v>213</v>
      </c>
      <c r="M2" s="96" t="s">
        <v>14</v>
      </c>
      <c r="N2" s="97" t="s">
        <v>214</v>
      </c>
      <c r="O2" s="96" t="s">
        <v>215</v>
      </c>
      <c r="P2" s="96" t="s">
        <v>216</v>
      </c>
      <c r="Q2" s="96" t="s">
        <v>15</v>
      </c>
      <c r="R2" s="96" t="s">
        <v>37</v>
      </c>
      <c r="S2" s="96" t="s">
        <v>17</v>
      </c>
      <c r="T2" s="96" t="s">
        <v>34</v>
      </c>
      <c r="U2" s="96" t="s">
        <v>35</v>
      </c>
      <c r="V2" s="95" t="s">
        <v>217</v>
      </c>
      <c r="W2" s="95" t="s">
        <v>218</v>
      </c>
      <c r="X2" s="95" t="s">
        <v>219</v>
      </c>
      <c r="Y2" s="95" t="s">
        <v>220</v>
      </c>
      <c r="Z2" s="95" t="s">
        <v>16</v>
      </c>
      <c r="AA2" s="95" t="s">
        <v>221</v>
      </c>
      <c r="AB2" s="95" t="s">
        <v>215</v>
      </c>
      <c r="AC2" s="95" t="s">
        <v>216</v>
      </c>
      <c r="AD2" s="95" t="s">
        <v>19</v>
      </c>
      <c r="AE2" s="95" t="s">
        <v>37</v>
      </c>
      <c r="AF2" s="95" t="s">
        <v>17</v>
      </c>
      <c r="AG2" s="95" t="s">
        <v>34</v>
      </c>
      <c r="AH2" s="95" t="s">
        <v>35</v>
      </c>
      <c r="AI2" s="98" t="s">
        <v>222</v>
      </c>
      <c r="AJ2" s="98" t="s">
        <v>223</v>
      </c>
      <c r="AK2" s="98" t="s">
        <v>224</v>
      </c>
      <c r="AL2" s="98" t="s">
        <v>225</v>
      </c>
      <c r="AM2" s="98" t="s">
        <v>18</v>
      </c>
      <c r="AN2" s="98" t="s">
        <v>221</v>
      </c>
      <c r="AO2" s="98" t="s">
        <v>215</v>
      </c>
      <c r="AP2" s="98" t="s">
        <v>216</v>
      </c>
      <c r="AQ2" s="99" t="s">
        <v>19</v>
      </c>
      <c r="AR2" s="99" t="s">
        <v>37</v>
      </c>
      <c r="AS2" s="99" t="s">
        <v>17</v>
      </c>
      <c r="AT2" s="99" t="s">
        <v>34</v>
      </c>
      <c r="AU2" s="99" t="s">
        <v>35</v>
      </c>
      <c r="AV2" s="96" t="s">
        <v>38</v>
      </c>
      <c r="AW2" s="96" t="s">
        <v>39</v>
      </c>
      <c r="AX2" s="96" t="s">
        <v>40</v>
      </c>
      <c r="AY2" s="96" t="s">
        <v>20</v>
      </c>
      <c r="AZ2" s="100" t="s">
        <v>226</v>
      </c>
      <c r="BA2" s="101" t="s">
        <v>227</v>
      </c>
      <c r="BB2" s="101" t="s">
        <v>228</v>
      </c>
    </row>
    <row r="3" spans="1:54" ht="54" x14ac:dyDescent="0.25">
      <c r="A3" s="137" t="s">
        <v>229</v>
      </c>
      <c r="B3" s="137" t="s">
        <v>230</v>
      </c>
      <c r="C3" s="137">
        <v>82101502</v>
      </c>
      <c r="D3" s="137" t="s">
        <v>231</v>
      </c>
      <c r="E3" s="138" t="s">
        <v>232</v>
      </c>
      <c r="F3" s="139" t="s">
        <v>233</v>
      </c>
      <c r="G3" s="140">
        <v>1</v>
      </c>
      <c r="H3" s="139" t="s">
        <v>51</v>
      </c>
      <c r="I3" s="141" t="s">
        <v>234</v>
      </c>
      <c r="J3" s="142">
        <v>46155</v>
      </c>
      <c r="K3" s="143" t="s">
        <v>235</v>
      </c>
      <c r="L3" s="144" t="s">
        <v>236</v>
      </c>
      <c r="M3" s="142" t="s">
        <v>237</v>
      </c>
      <c r="N3" s="145">
        <v>490000</v>
      </c>
      <c r="O3" s="145" t="s">
        <v>238</v>
      </c>
      <c r="P3" s="145" t="s">
        <v>239</v>
      </c>
      <c r="Q3" s="146">
        <f t="shared" ref="Q3:Q12" si="0">IF(O3="IVA Incluido",(N3/1.19),N3)</f>
        <v>411764.70588235295</v>
      </c>
      <c r="R3" s="147">
        <f>IF(P3="Si tiene IVA",Q3*19%,0)</f>
        <v>78235.294117647063</v>
      </c>
      <c r="S3" s="147">
        <f t="shared" ref="S3:S12" si="1">Q3+R3</f>
        <v>490000</v>
      </c>
      <c r="T3" s="147">
        <f t="shared" ref="T3:T12" si="2">IF(B3="","",(N3*G3))</f>
        <v>490000</v>
      </c>
      <c r="U3" s="147">
        <f t="shared" ref="U3:U12" si="3">IF(B3="","",(S3*G3))</f>
        <v>490000</v>
      </c>
      <c r="V3" s="148" t="s">
        <v>234</v>
      </c>
      <c r="W3" s="149">
        <v>46155</v>
      </c>
      <c r="X3" s="150" t="s">
        <v>240</v>
      </c>
      <c r="Y3" s="151" t="s">
        <v>241</v>
      </c>
      <c r="Z3" s="152" t="s">
        <v>242</v>
      </c>
      <c r="AA3" s="153">
        <v>550000</v>
      </c>
      <c r="AB3" s="153" t="s">
        <v>238</v>
      </c>
      <c r="AC3" s="153" t="s">
        <v>239</v>
      </c>
      <c r="AD3" s="154">
        <f>IF(AB3="IVA Incluido",(AA3/1.19),AA3)</f>
        <v>462184.87394957984</v>
      </c>
      <c r="AE3" s="155">
        <f t="shared" ref="AE3:AE12" si="4">IF(AC3="Si tiene IVA",AD3*19%,0)</f>
        <v>87815.126050420164</v>
      </c>
      <c r="AF3" s="155">
        <f t="shared" ref="AF3:AF12" si="5">AD3+AE3</f>
        <v>550000</v>
      </c>
      <c r="AG3" s="155">
        <f t="shared" ref="AG3:AG12" si="6">IF(O3="","",(AA3*G3))</f>
        <v>550000</v>
      </c>
      <c r="AH3" s="155">
        <f t="shared" ref="AH3:AH12" si="7">IF(O3="","",(AF3*G3))</f>
        <v>550000</v>
      </c>
      <c r="AI3" s="156" t="s">
        <v>234</v>
      </c>
      <c r="AJ3" s="157">
        <v>46155</v>
      </c>
      <c r="AK3" s="158" t="s">
        <v>243</v>
      </c>
      <c r="AL3" s="159" t="s">
        <v>236</v>
      </c>
      <c r="AM3" s="160" t="s">
        <v>244</v>
      </c>
      <c r="AN3" s="161">
        <v>585000</v>
      </c>
      <c r="AO3" s="161" t="s">
        <v>245</v>
      </c>
      <c r="AP3" s="162" t="s">
        <v>239</v>
      </c>
      <c r="AQ3" s="163">
        <f t="shared" ref="AQ3:AQ12" si="8">IF(AO3="IVA Incluido",(AN3/1.19),AN3)</f>
        <v>585000</v>
      </c>
      <c r="AR3" s="164">
        <f t="shared" ref="AR3:AR12" si="9">IF(AP3="Si tiene IVA",AQ3*19%,0)</f>
        <v>111150</v>
      </c>
      <c r="AS3" s="164">
        <f t="shared" ref="AS3:AS12" si="10">AQ3+AR3</f>
        <v>696150</v>
      </c>
      <c r="AT3" s="164">
        <f t="shared" ref="AT3:AT12" si="11">IF(AB3="","",(AN3*G3))</f>
        <v>585000</v>
      </c>
      <c r="AU3" s="164">
        <f t="shared" ref="AU3:AU12" si="12">IF(AB3="","",(AS3*G3))</f>
        <v>696150</v>
      </c>
      <c r="AV3" s="165">
        <f>IF(A3="","",ROUND(AVERAGE(S3,AF3,AS3),0))</f>
        <v>578717</v>
      </c>
      <c r="AW3" s="165">
        <f>IF(A3="","",AV3*G3)</f>
        <v>578717</v>
      </c>
      <c r="AX3" s="165">
        <f>IF(N3="","",ROUND(STDEV(U3,AH3,AU3),0))</f>
        <v>106033</v>
      </c>
      <c r="AY3" s="166">
        <f t="shared" ref="AY3:AY12" si="13">IF(N3="","",(AX3/AW3))</f>
        <v>0.18322081431857021</v>
      </c>
      <c r="AZ3" s="5"/>
      <c r="BA3" s="7">
        <f t="shared" ref="BA3:BA12" si="14">COUNTA(M3,Z3,AM3)</f>
        <v>3</v>
      </c>
      <c r="BB3" s="7"/>
    </row>
    <row r="4" spans="1:54" ht="54" x14ac:dyDescent="0.25">
      <c r="A4" s="137" t="s">
        <v>229</v>
      </c>
      <c r="B4" s="137" t="s">
        <v>230</v>
      </c>
      <c r="C4" s="137">
        <v>82101502</v>
      </c>
      <c r="D4" s="137" t="s">
        <v>246</v>
      </c>
      <c r="E4" s="138" t="s">
        <v>232</v>
      </c>
      <c r="F4" s="139" t="s">
        <v>233</v>
      </c>
      <c r="G4" s="140">
        <v>1</v>
      </c>
      <c r="H4" s="139" t="s">
        <v>51</v>
      </c>
      <c r="I4" s="141" t="s">
        <v>247</v>
      </c>
      <c r="J4" s="142">
        <v>46147</v>
      </c>
      <c r="K4" s="143" t="s">
        <v>248</v>
      </c>
      <c r="L4" s="144" t="s">
        <v>236</v>
      </c>
      <c r="M4" s="142" t="s">
        <v>244</v>
      </c>
      <c r="N4" s="145">
        <v>35000</v>
      </c>
      <c r="O4" s="145" t="s">
        <v>245</v>
      </c>
      <c r="P4" s="145" t="s">
        <v>239</v>
      </c>
      <c r="Q4" s="146">
        <f t="shared" si="0"/>
        <v>35000</v>
      </c>
      <c r="R4" s="147">
        <f>IF(P4="Si tiene IVA",Q4*19%,0)</f>
        <v>6650</v>
      </c>
      <c r="S4" s="147">
        <f t="shared" si="1"/>
        <v>41650</v>
      </c>
      <c r="T4" s="147">
        <f t="shared" si="2"/>
        <v>35000</v>
      </c>
      <c r="U4" s="147">
        <f t="shared" si="3"/>
        <v>41650</v>
      </c>
      <c r="V4" s="148" t="s">
        <v>249</v>
      </c>
      <c r="W4" s="149">
        <v>46143</v>
      </c>
      <c r="X4" s="150" t="s">
        <v>250</v>
      </c>
      <c r="Y4" s="151" t="s">
        <v>236</v>
      </c>
      <c r="Z4" s="152" t="s">
        <v>251</v>
      </c>
      <c r="AA4" s="153">
        <v>36600</v>
      </c>
      <c r="AB4" s="153" t="s">
        <v>245</v>
      </c>
      <c r="AC4" s="153" t="s">
        <v>239</v>
      </c>
      <c r="AD4" s="154">
        <f>IF(AB4="IVA Incluido",(AA4/1.19),AA4)</f>
        <v>36600</v>
      </c>
      <c r="AE4" s="155">
        <f t="shared" si="4"/>
        <v>6954</v>
      </c>
      <c r="AF4" s="155">
        <f t="shared" si="5"/>
        <v>43554</v>
      </c>
      <c r="AG4" s="155">
        <f t="shared" si="6"/>
        <v>36600</v>
      </c>
      <c r="AH4" s="155">
        <f t="shared" si="7"/>
        <v>43554</v>
      </c>
      <c r="AI4" s="156" t="s">
        <v>247</v>
      </c>
      <c r="AJ4" s="157">
        <v>46143</v>
      </c>
      <c r="AK4" s="158" t="s">
        <v>240</v>
      </c>
      <c r="AL4" s="159" t="s">
        <v>236</v>
      </c>
      <c r="AM4" s="160" t="s">
        <v>252</v>
      </c>
      <c r="AN4" s="161">
        <v>55000</v>
      </c>
      <c r="AO4" s="161" t="s">
        <v>238</v>
      </c>
      <c r="AP4" s="162" t="s">
        <v>239</v>
      </c>
      <c r="AQ4" s="163">
        <f t="shared" si="8"/>
        <v>46218.487394957985</v>
      </c>
      <c r="AR4" s="164">
        <f t="shared" si="9"/>
        <v>8781.5126050420167</v>
      </c>
      <c r="AS4" s="164">
        <f t="shared" si="10"/>
        <v>55000</v>
      </c>
      <c r="AT4" s="164">
        <f t="shared" si="11"/>
        <v>55000</v>
      </c>
      <c r="AU4" s="164">
        <f t="shared" si="12"/>
        <v>55000</v>
      </c>
      <c r="AV4" s="165">
        <f t="shared" ref="AV4:AV67" si="15">IF(A4="","",ROUND(AVERAGE(S4,AF4,AS4),0))</f>
        <v>46735</v>
      </c>
      <c r="AW4" s="165">
        <f t="shared" ref="AW4:AW67" si="16">IF(A4="","",AV4*G4)</f>
        <v>46735</v>
      </c>
      <c r="AX4" s="165">
        <f t="shared" ref="AX4:AX67" si="17">IF(N4="","",ROUND(STDEV(U4,AH4,AU4),0))</f>
        <v>7221</v>
      </c>
      <c r="AY4" s="166">
        <f t="shared" si="13"/>
        <v>0.15450946827859205</v>
      </c>
      <c r="AZ4" s="5"/>
      <c r="BA4" s="7">
        <f t="shared" si="14"/>
        <v>3</v>
      </c>
      <c r="BB4" s="7"/>
    </row>
    <row r="5" spans="1:54" ht="54" x14ac:dyDescent="0.25">
      <c r="A5" s="137" t="s">
        <v>229</v>
      </c>
      <c r="B5" s="137" t="s">
        <v>230</v>
      </c>
      <c r="C5" s="137">
        <v>82101502</v>
      </c>
      <c r="D5" s="137" t="s">
        <v>253</v>
      </c>
      <c r="E5" s="138" t="s">
        <v>254</v>
      </c>
      <c r="F5" s="139" t="s">
        <v>233</v>
      </c>
      <c r="G5" s="140">
        <v>1</v>
      </c>
      <c r="H5" s="139" t="s">
        <v>51</v>
      </c>
      <c r="I5" s="141" t="s">
        <v>234</v>
      </c>
      <c r="J5" s="142">
        <v>46155</v>
      </c>
      <c r="K5" s="143" t="s">
        <v>255</v>
      </c>
      <c r="L5" s="144" t="s">
        <v>236</v>
      </c>
      <c r="M5" s="142" t="s">
        <v>252</v>
      </c>
      <c r="N5" s="145">
        <v>55000</v>
      </c>
      <c r="O5" s="145" t="s">
        <v>245</v>
      </c>
      <c r="P5" s="145" t="s">
        <v>239</v>
      </c>
      <c r="Q5" s="146">
        <f t="shared" si="0"/>
        <v>55000</v>
      </c>
      <c r="R5" s="147">
        <v>6227</v>
      </c>
      <c r="S5" s="147">
        <f t="shared" si="1"/>
        <v>61227</v>
      </c>
      <c r="T5" s="147">
        <f t="shared" si="2"/>
        <v>55000</v>
      </c>
      <c r="U5" s="147">
        <f t="shared" si="3"/>
        <v>61227</v>
      </c>
      <c r="V5" s="148" t="s">
        <v>234</v>
      </c>
      <c r="W5" s="149">
        <v>46155</v>
      </c>
      <c r="X5" s="150" t="s">
        <v>248</v>
      </c>
      <c r="Y5" s="151" t="s">
        <v>236</v>
      </c>
      <c r="Z5" s="152" t="s">
        <v>244</v>
      </c>
      <c r="AA5" s="153">
        <v>35000</v>
      </c>
      <c r="AB5" s="153" t="s">
        <v>245</v>
      </c>
      <c r="AC5" s="153" t="s">
        <v>239</v>
      </c>
      <c r="AD5" s="154">
        <f>IF(AB5="IVA Incluido",(AA5/1.19),AA5)</f>
        <v>35000</v>
      </c>
      <c r="AE5" s="155">
        <f t="shared" si="4"/>
        <v>6650</v>
      </c>
      <c r="AF5" s="155">
        <f t="shared" si="5"/>
        <v>41650</v>
      </c>
      <c r="AG5" s="155">
        <f t="shared" si="6"/>
        <v>35000</v>
      </c>
      <c r="AH5" s="155">
        <f t="shared" si="7"/>
        <v>41650</v>
      </c>
      <c r="AI5" s="156" t="s">
        <v>234</v>
      </c>
      <c r="AJ5" s="157">
        <v>46155</v>
      </c>
      <c r="AK5" s="158" t="s">
        <v>250</v>
      </c>
      <c r="AL5" s="159" t="s">
        <v>236</v>
      </c>
      <c r="AM5" s="160" t="s">
        <v>251</v>
      </c>
      <c r="AN5" s="161">
        <v>36600</v>
      </c>
      <c r="AO5" s="161" t="s">
        <v>245</v>
      </c>
      <c r="AP5" s="162" t="s">
        <v>239</v>
      </c>
      <c r="AQ5" s="163">
        <f t="shared" si="8"/>
        <v>36600</v>
      </c>
      <c r="AR5" s="164">
        <f t="shared" si="9"/>
        <v>6954</v>
      </c>
      <c r="AS5" s="164">
        <f t="shared" si="10"/>
        <v>43554</v>
      </c>
      <c r="AT5" s="164">
        <f t="shared" si="11"/>
        <v>36600</v>
      </c>
      <c r="AU5" s="164">
        <f t="shared" si="12"/>
        <v>43554</v>
      </c>
      <c r="AV5" s="165">
        <f t="shared" si="15"/>
        <v>48810</v>
      </c>
      <c r="AW5" s="165">
        <f t="shared" si="16"/>
        <v>48810</v>
      </c>
      <c r="AX5" s="165">
        <f t="shared" si="17"/>
        <v>10795</v>
      </c>
      <c r="AY5" s="166">
        <f t="shared" si="13"/>
        <v>0.22116369596394181</v>
      </c>
      <c r="AZ5" s="5"/>
      <c r="BA5" s="7">
        <f t="shared" si="14"/>
        <v>3</v>
      </c>
      <c r="BB5" s="7"/>
    </row>
    <row r="6" spans="1:54" ht="54" x14ac:dyDescent="0.25">
      <c r="A6" s="137" t="s">
        <v>229</v>
      </c>
      <c r="B6" s="137" t="s">
        <v>230</v>
      </c>
      <c r="C6" s="137">
        <v>82101502</v>
      </c>
      <c r="D6" s="137" t="s">
        <v>256</v>
      </c>
      <c r="E6" s="138" t="s">
        <v>257</v>
      </c>
      <c r="F6" s="139" t="s">
        <v>233</v>
      </c>
      <c r="G6" s="140">
        <v>1</v>
      </c>
      <c r="H6" s="139" t="s">
        <v>51</v>
      </c>
      <c r="I6" s="141" t="s">
        <v>234</v>
      </c>
      <c r="J6" s="142">
        <v>46155</v>
      </c>
      <c r="K6" s="143" t="s">
        <v>240</v>
      </c>
      <c r="L6" s="144" t="s">
        <v>236</v>
      </c>
      <c r="M6" s="142" t="s">
        <v>252</v>
      </c>
      <c r="N6" s="145">
        <v>340000</v>
      </c>
      <c r="O6" s="145" t="s">
        <v>238</v>
      </c>
      <c r="P6" s="145" t="s">
        <v>239</v>
      </c>
      <c r="Q6" s="146">
        <f t="shared" si="0"/>
        <v>285714.28571428574</v>
      </c>
      <c r="R6" s="147">
        <f t="shared" ref="R6:R12" si="18">IF(P6="Si tiene IVA",Q6*19%,0)</f>
        <v>54285.71428571429</v>
      </c>
      <c r="S6" s="147">
        <f t="shared" si="1"/>
        <v>340000</v>
      </c>
      <c r="T6" s="147">
        <f t="shared" si="2"/>
        <v>340000</v>
      </c>
      <c r="U6" s="147">
        <f t="shared" si="3"/>
        <v>340000</v>
      </c>
      <c r="V6" s="148" t="s">
        <v>234</v>
      </c>
      <c r="W6" s="149">
        <v>46155</v>
      </c>
      <c r="X6" s="150" t="s">
        <v>258</v>
      </c>
      <c r="Y6" s="151" t="s">
        <v>236</v>
      </c>
      <c r="Z6" s="152" t="s">
        <v>259</v>
      </c>
      <c r="AA6" s="153">
        <v>210000</v>
      </c>
      <c r="AB6" s="153" t="s">
        <v>245</v>
      </c>
      <c r="AC6" s="153" t="s">
        <v>239</v>
      </c>
      <c r="AD6" s="154">
        <f>IF(AB6="IVA Incluido",(AA6/1.19),AA6)</f>
        <v>210000</v>
      </c>
      <c r="AE6" s="155">
        <f t="shared" si="4"/>
        <v>39900</v>
      </c>
      <c r="AF6" s="155">
        <f t="shared" si="5"/>
        <v>249900</v>
      </c>
      <c r="AG6" s="155">
        <f t="shared" si="6"/>
        <v>210000</v>
      </c>
      <c r="AH6" s="155">
        <f t="shared" si="7"/>
        <v>249900</v>
      </c>
      <c r="AI6" s="156" t="s">
        <v>234</v>
      </c>
      <c r="AJ6" s="157">
        <v>46155</v>
      </c>
      <c r="AK6" s="158" t="s">
        <v>260</v>
      </c>
      <c r="AL6" s="159" t="s">
        <v>236</v>
      </c>
      <c r="AM6" s="160" t="s">
        <v>261</v>
      </c>
      <c r="AN6" s="161">
        <v>250000</v>
      </c>
      <c r="AO6" s="161" t="s">
        <v>245</v>
      </c>
      <c r="AP6" s="162" t="s">
        <v>239</v>
      </c>
      <c r="AQ6" s="163">
        <f t="shared" si="8"/>
        <v>250000</v>
      </c>
      <c r="AR6" s="164">
        <f t="shared" si="9"/>
        <v>47500</v>
      </c>
      <c r="AS6" s="164">
        <f t="shared" si="10"/>
        <v>297500</v>
      </c>
      <c r="AT6" s="164">
        <f t="shared" si="11"/>
        <v>250000</v>
      </c>
      <c r="AU6" s="164">
        <f t="shared" si="12"/>
        <v>297500</v>
      </c>
      <c r="AV6" s="165">
        <f t="shared" si="15"/>
        <v>295800</v>
      </c>
      <c r="AW6" s="165">
        <f t="shared" si="16"/>
        <v>295800</v>
      </c>
      <c r="AX6" s="165">
        <f t="shared" si="17"/>
        <v>45074</v>
      </c>
      <c r="AY6" s="166">
        <f t="shared" si="13"/>
        <v>0.15237998647734957</v>
      </c>
      <c r="AZ6" s="5"/>
      <c r="BA6" s="7">
        <f t="shared" si="14"/>
        <v>3</v>
      </c>
      <c r="BB6" s="7"/>
    </row>
    <row r="7" spans="1:54" ht="150" x14ac:dyDescent="0.25">
      <c r="A7" s="137" t="s">
        <v>229</v>
      </c>
      <c r="B7" s="137" t="s">
        <v>230</v>
      </c>
      <c r="C7" s="137">
        <v>82101502</v>
      </c>
      <c r="D7" s="137" t="s">
        <v>262</v>
      </c>
      <c r="E7" s="138" t="s">
        <v>257</v>
      </c>
      <c r="F7" s="139" t="s">
        <v>233</v>
      </c>
      <c r="G7" s="140">
        <v>1</v>
      </c>
      <c r="H7" s="139" t="s">
        <v>51</v>
      </c>
      <c r="I7" s="141" t="s">
        <v>234</v>
      </c>
      <c r="J7" s="142">
        <v>46147</v>
      </c>
      <c r="K7" s="143" t="s">
        <v>255</v>
      </c>
      <c r="L7" s="144" t="s">
        <v>236</v>
      </c>
      <c r="M7" s="142" t="s">
        <v>252</v>
      </c>
      <c r="N7" s="145">
        <v>6500</v>
      </c>
      <c r="O7" s="145" t="s">
        <v>238</v>
      </c>
      <c r="P7" s="145" t="s">
        <v>239</v>
      </c>
      <c r="Q7" s="146">
        <f t="shared" si="0"/>
        <v>5462.1848739495799</v>
      </c>
      <c r="R7" s="147">
        <f t="shared" si="18"/>
        <v>1037.8151260504203</v>
      </c>
      <c r="S7" s="147">
        <f t="shared" si="1"/>
        <v>6500</v>
      </c>
      <c r="T7" s="147">
        <f t="shared" si="2"/>
        <v>6500</v>
      </c>
      <c r="U7" s="147">
        <f t="shared" si="3"/>
        <v>6500</v>
      </c>
      <c r="V7" s="148" t="s">
        <v>234</v>
      </c>
      <c r="W7" s="149">
        <v>46147</v>
      </c>
      <c r="X7" s="150" t="s">
        <v>263</v>
      </c>
      <c r="Y7" s="151" t="s">
        <v>236</v>
      </c>
      <c r="Z7" s="152" t="s">
        <v>264</v>
      </c>
      <c r="AA7" s="153">
        <v>7000</v>
      </c>
      <c r="AB7" s="153" t="s">
        <v>245</v>
      </c>
      <c r="AC7" s="153" t="s">
        <v>265</v>
      </c>
      <c r="AD7" s="154">
        <f>IF(AB7="IVA Incluido",(AA7/1.19),AA7)</f>
        <v>7000</v>
      </c>
      <c r="AE7" s="155">
        <f t="shared" si="4"/>
        <v>0</v>
      </c>
      <c r="AF7" s="155">
        <f t="shared" si="5"/>
        <v>7000</v>
      </c>
      <c r="AG7" s="155">
        <f t="shared" si="6"/>
        <v>7000</v>
      </c>
      <c r="AH7" s="155">
        <f t="shared" si="7"/>
        <v>7000</v>
      </c>
      <c r="AI7" s="156" t="s">
        <v>234</v>
      </c>
      <c r="AJ7" s="157">
        <v>46147</v>
      </c>
      <c r="AK7" s="158" t="s">
        <v>248</v>
      </c>
      <c r="AL7" s="159" t="s">
        <v>236</v>
      </c>
      <c r="AM7" s="160" t="s">
        <v>244</v>
      </c>
      <c r="AN7" s="161">
        <v>7800</v>
      </c>
      <c r="AO7" s="161" t="s">
        <v>245</v>
      </c>
      <c r="AP7" s="162" t="s">
        <v>239</v>
      </c>
      <c r="AQ7" s="163">
        <f t="shared" si="8"/>
        <v>7800</v>
      </c>
      <c r="AR7" s="164">
        <f t="shared" si="9"/>
        <v>1482</v>
      </c>
      <c r="AS7" s="164">
        <f t="shared" si="10"/>
        <v>9282</v>
      </c>
      <c r="AT7" s="164">
        <f t="shared" si="11"/>
        <v>7800</v>
      </c>
      <c r="AU7" s="164">
        <f t="shared" si="12"/>
        <v>9282</v>
      </c>
      <c r="AV7" s="165">
        <f t="shared" si="15"/>
        <v>7594</v>
      </c>
      <c r="AW7" s="165">
        <f t="shared" si="16"/>
        <v>7594</v>
      </c>
      <c r="AX7" s="165">
        <f t="shared" si="17"/>
        <v>1483</v>
      </c>
      <c r="AY7" s="166">
        <f t="shared" si="13"/>
        <v>0.19528575190940217</v>
      </c>
      <c r="AZ7" s="5" t="s">
        <v>266</v>
      </c>
      <c r="BA7" s="7">
        <f t="shared" si="14"/>
        <v>3</v>
      </c>
      <c r="BB7" s="7" t="s">
        <v>267</v>
      </c>
    </row>
    <row r="8" spans="1:54" ht="54" x14ac:dyDescent="0.25">
      <c r="A8" s="137" t="s">
        <v>229</v>
      </c>
      <c r="B8" s="137" t="s">
        <v>230</v>
      </c>
      <c r="C8" s="137">
        <v>82101502</v>
      </c>
      <c r="D8" s="137" t="s">
        <v>268</v>
      </c>
      <c r="E8" s="138" t="s">
        <v>269</v>
      </c>
      <c r="F8" s="139" t="s">
        <v>233</v>
      </c>
      <c r="G8" s="140">
        <v>1</v>
      </c>
      <c r="H8" s="139" t="s">
        <v>51</v>
      </c>
      <c r="I8" s="141" t="s">
        <v>234</v>
      </c>
      <c r="J8" s="142">
        <v>46155</v>
      </c>
      <c r="K8" s="143" t="s">
        <v>240</v>
      </c>
      <c r="L8" s="144" t="s">
        <v>236</v>
      </c>
      <c r="M8" s="142" t="s">
        <v>252</v>
      </c>
      <c r="N8" s="145">
        <v>910000</v>
      </c>
      <c r="O8" s="145" t="s">
        <v>245</v>
      </c>
      <c r="P8" s="145" t="s">
        <v>239</v>
      </c>
      <c r="Q8" s="146">
        <f t="shared" si="0"/>
        <v>910000</v>
      </c>
      <c r="R8" s="147">
        <f t="shared" si="18"/>
        <v>172900</v>
      </c>
      <c r="S8" s="147">
        <f t="shared" si="1"/>
        <v>1082900</v>
      </c>
      <c r="T8" s="147">
        <f t="shared" si="2"/>
        <v>910000</v>
      </c>
      <c r="U8" s="147">
        <f t="shared" si="3"/>
        <v>1082900</v>
      </c>
      <c r="V8" s="148" t="s">
        <v>234</v>
      </c>
      <c r="W8" s="149">
        <v>46153</v>
      </c>
      <c r="X8" s="150" t="s">
        <v>270</v>
      </c>
      <c r="Y8" s="151" t="s">
        <v>236</v>
      </c>
      <c r="Z8" s="152" t="s">
        <v>271</v>
      </c>
      <c r="AA8" s="153">
        <v>740000</v>
      </c>
      <c r="AB8" s="153" t="s">
        <v>245</v>
      </c>
      <c r="AC8" s="153" t="s">
        <v>239</v>
      </c>
      <c r="AD8" s="154">
        <v>740000</v>
      </c>
      <c r="AE8" s="155">
        <f t="shared" si="4"/>
        <v>140600</v>
      </c>
      <c r="AF8" s="155">
        <f t="shared" si="5"/>
        <v>880600</v>
      </c>
      <c r="AG8" s="155">
        <f t="shared" si="6"/>
        <v>740000</v>
      </c>
      <c r="AH8" s="155">
        <f t="shared" si="7"/>
        <v>880600</v>
      </c>
      <c r="AI8" s="156" t="s">
        <v>234</v>
      </c>
      <c r="AJ8" s="157">
        <v>46155</v>
      </c>
      <c r="AK8" s="158" t="s">
        <v>258</v>
      </c>
      <c r="AL8" s="159" t="s">
        <v>236</v>
      </c>
      <c r="AM8" s="160" t="s">
        <v>259</v>
      </c>
      <c r="AN8" s="161">
        <v>1000000</v>
      </c>
      <c r="AO8" s="161" t="s">
        <v>245</v>
      </c>
      <c r="AP8" s="162" t="s">
        <v>239</v>
      </c>
      <c r="AQ8" s="163">
        <f t="shared" si="8"/>
        <v>1000000</v>
      </c>
      <c r="AR8" s="164">
        <f t="shared" si="9"/>
        <v>190000</v>
      </c>
      <c r="AS8" s="164">
        <f t="shared" si="10"/>
        <v>1190000</v>
      </c>
      <c r="AT8" s="164">
        <f t="shared" si="11"/>
        <v>1000000</v>
      </c>
      <c r="AU8" s="164">
        <f t="shared" si="12"/>
        <v>1190000</v>
      </c>
      <c r="AV8" s="165">
        <f t="shared" si="15"/>
        <v>1051167</v>
      </c>
      <c r="AW8" s="165">
        <f t="shared" si="16"/>
        <v>1051167</v>
      </c>
      <c r="AX8" s="165">
        <f t="shared" si="17"/>
        <v>157122</v>
      </c>
      <c r="AY8" s="166">
        <f t="shared" si="13"/>
        <v>0.149473870469678</v>
      </c>
      <c r="AZ8" s="5"/>
      <c r="BA8" s="7">
        <f t="shared" si="14"/>
        <v>3</v>
      </c>
      <c r="BB8" s="7"/>
    </row>
    <row r="9" spans="1:54" ht="54" x14ac:dyDescent="0.25">
      <c r="A9" s="137" t="s">
        <v>229</v>
      </c>
      <c r="B9" s="137" t="s">
        <v>230</v>
      </c>
      <c r="C9" s="137">
        <v>82101502</v>
      </c>
      <c r="D9" s="137" t="s">
        <v>272</v>
      </c>
      <c r="E9" s="138" t="s">
        <v>254</v>
      </c>
      <c r="F9" s="139" t="s">
        <v>233</v>
      </c>
      <c r="G9" s="140">
        <v>1</v>
      </c>
      <c r="H9" s="139" t="s">
        <v>51</v>
      </c>
      <c r="I9" s="141" t="s">
        <v>247</v>
      </c>
      <c r="J9" s="142">
        <v>46147</v>
      </c>
      <c r="K9" s="143" t="s">
        <v>273</v>
      </c>
      <c r="L9" s="144" t="s">
        <v>236</v>
      </c>
      <c r="M9" s="142" t="s">
        <v>274</v>
      </c>
      <c r="N9" s="145">
        <v>1575</v>
      </c>
      <c r="O9" s="145" t="s">
        <v>245</v>
      </c>
      <c r="P9" s="145" t="s">
        <v>239</v>
      </c>
      <c r="Q9" s="146">
        <f t="shared" si="0"/>
        <v>1575</v>
      </c>
      <c r="R9" s="147">
        <f t="shared" si="18"/>
        <v>299.25</v>
      </c>
      <c r="S9" s="147">
        <f t="shared" si="1"/>
        <v>1874.25</v>
      </c>
      <c r="T9" s="147">
        <f t="shared" si="2"/>
        <v>1575</v>
      </c>
      <c r="U9" s="147">
        <f t="shared" si="3"/>
        <v>1874.25</v>
      </c>
      <c r="V9" s="148" t="s">
        <v>249</v>
      </c>
      <c r="W9" s="149">
        <v>46147</v>
      </c>
      <c r="X9" s="150" t="s">
        <v>235</v>
      </c>
      <c r="Y9" s="151" t="s">
        <v>236</v>
      </c>
      <c r="Z9" s="152" t="s">
        <v>235</v>
      </c>
      <c r="AA9" s="153">
        <v>1250</v>
      </c>
      <c r="AB9" s="153" t="s">
        <v>245</v>
      </c>
      <c r="AC9" s="153" t="s">
        <v>239</v>
      </c>
      <c r="AD9" s="154">
        <f>IF(AB9="IVA Incluido",(AA9/1.19),AA9)</f>
        <v>1250</v>
      </c>
      <c r="AE9" s="155">
        <f t="shared" si="4"/>
        <v>237.5</v>
      </c>
      <c r="AF9" s="155">
        <f t="shared" si="5"/>
        <v>1487.5</v>
      </c>
      <c r="AG9" s="155">
        <f t="shared" si="6"/>
        <v>1250</v>
      </c>
      <c r="AH9" s="155">
        <f t="shared" si="7"/>
        <v>1487.5</v>
      </c>
      <c r="AI9" s="156" t="s">
        <v>247</v>
      </c>
      <c r="AJ9" s="157">
        <v>46147</v>
      </c>
      <c r="AK9" s="158" t="s">
        <v>275</v>
      </c>
      <c r="AL9" s="159" t="s">
        <v>236</v>
      </c>
      <c r="AM9" s="160" t="s">
        <v>276</v>
      </c>
      <c r="AN9" s="161">
        <v>1500</v>
      </c>
      <c r="AO9" s="161" t="s">
        <v>245</v>
      </c>
      <c r="AP9" s="162" t="s">
        <v>265</v>
      </c>
      <c r="AQ9" s="163">
        <f t="shared" si="8"/>
        <v>1500</v>
      </c>
      <c r="AR9" s="164">
        <f t="shared" si="9"/>
        <v>0</v>
      </c>
      <c r="AS9" s="164">
        <f t="shared" si="10"/>
        <v>1500</v>
      </c>
      <c r="AT9" s="164">
        <f t="shared" si="11"/>
        <v>1500</v>
      </c>
      <c r="AU9" s="164">
        <f t="shared" si="12"/>
        <v>1500</v>
      </c>
      <c r="AV9" s="165">
        <f t="shared" si="15"/>
        <v>1621</v>
      </c>
      <c r="AW9" s="165">
        <f t="shared" si="16"/>
        <v>1621</v>
      </c>
      <c r="AX9" s="165">
        <f t="shared" si="17"/>
        <v>220</v>
      </c>
      <c r="AY9" s="166">
        <f t="shared" si="13"/>
        <v>0.13571869216533003</v>
      </c>
      <c r="AZ9" s="5"/>
      <c r="BA9" s="7">
        <f t="shared" si="14"/>
        <v>3</v>
      </c>
      <c r="BB9" s="7" t="s">
        <v>277</v>
      </c>
    </row>
    <row r="10" spans="1:54" ht="108" x14ac:dyDescent="0.25">
      <c r="A10" s="137" t="s">
        <v>229</v>
      </c>
      <c r="B10" s="137" t="s">
        <v>230</v>
      </c>
      <c r="C10" s="137" t="s">
        <v>278</v>
      </c>
      <c r="D10" s="137" t="s">
        <v>279</v>
      </c>
      <c r="E10" s="138" t="s">
        <v>280</v>
      </c>
      <c r="F10" s="139" t="s">
        <v>233</v>
      </c>
      <c r="G10" s="140">
        <v>1</v>
      </c>
      <c r="H10" s="139" t="s">
        <v>51</v>
      </c>
      <c r="I10" s="141" t="s">
        <v>281</v>
      </c>
      <c r="J10" s="142">
        <v>46072</v>
      </c>
      <c r="K10" s="143" t="s">
        <v>282</v>
      </c>
      <c r="L10" s="144" t="s">
        <v>241</v>
      </c>
      <c r="M10" s="142" t="s">
        <v>259</v>
      </c>
      <c r="N10" s="145">
        <v>26000</v>
      </c>
      <c r="O10" s="145" t="s">
        <v>245</v>
      </c>
      <c r="P10" s="145" t="s">
        <v>239</v>
      </c>
      <c r="Q10" s="146">
        <f t="shared" si="0"/>
        <v>26000</v>
      </c>
      <c r="R10" s="147">
        <f t="shared" si="18"/>
        <v>4940</v>
      </c>
      <c r="S10" s="147">
        <f t="shared" si="1"/>
        <v>30940</v>
      </c>
      <c r="T10" s="147">
        <f t="shared" si="2"/>
        <v>26000</v>
      </c>
      <c r="U10" s="147">
        <f t="shared" si="3"/>
        <v>30940</v>
      </c>
      <c r="V10" s="148" t="s">
        <v>281</v>
      </c>
      <c r="W10" s="149">
        <v>46071</v>
      </c>
      <c r="X10" s="150" t="s">
        <v>263</v>
      </c>
      <c r="Y10" s="151" t="s">
        <v>241</v>
      </c>
      <c r="Z10" s="152" t="s">
        <v>264</v>
      </c>
      <c r="AA10" s="153">
        <v>35000</v>
      </c>
      <c r="AB10" s="153" t="s">
        <v>245</v>
      </c>
      <c r="AC10" s="153" t="s">
        <v>265</v>
      </c>
      <c r="AD10" s="154">
        <f>IF(AB10="IVA Incluido",(AA10/1.19),AA10)</f>
        <v>35000</v>
      </c>
      <c r="AE10" s="155">
        <f t="shared" si="4"/>
        <v>0</v>
      </c>
      <c r="AF10" s="155">
        <f t="shared" si="5"/>
        <v>35000</v>
      </c>
      <c r="AG10" s="155">
        <f t="shared" si="6"/>
        <v>35000</v>
      </c>
      <c r="AH10" s="155">
        <f t="shared" si="7"/>
        <v>35000</v>
      </c>
      <c r="AI10" s="156" t="s">
        <v>281</v>
      </c>
      <c r="AJ10" s="157">
        <v>46072</v>
      </c>
      <c r="AK10" s="158" t="s">
        <v>283</v>
      </c>
      <c r="AL10" s="159" t="s">
        <v>241</v>
      </c>
      <c r="AM10" s="160" t="s">
        <v>284</v>
      </c>
      <c r="AN10" s="161">
        <v>29000</v>
      </c>
      <c r="AO10" s="161" t="s">
        <v>245</v>
      </c>
      <c r="AP10" s="162" t="s">
        <v>265</v>
      </c>
      <c r="AQ10" s="163">
        <f t="shared" si="8"/>
        <v>29000</v>
      </c>
      <c r="AR10" s="164">
        <f t="shared" si="9"/>
        <v>0</v>
      </c>
      <c r="AS10" s="164">
        <f t="shared" si="10"/>
        <v>29000</v>
      </c>
      <c r="AT10" s="164">
        <f t="shared" si="11"/>
        <v>29000</v>
      </c>
      <c r="AU10" s="164">
        <f t="shared" si="12"/>
        <v>29000</v>
      </c>
      <c r="AV10" s="165">
        <f t="shared" si="15"/>
        <v>31647</v>
      </c>
      <c r="AW10" s="165">
        <f t="shared" si="16"/>
        <v>31647</v>
      </c>
      <c r="AX10" s="165">
        <f t="shared" si="17"/>
        <v>3062</v>
      </c>
      <c r="AY10" s="166">
        <f t="shared" si="13"/>
        <v>9.675482668183398E-2</v>
      </c>
      <c r="AZ10" s="5"/>
      <c r="BA10" s="7">
        <f t="shared" si="14"/>
        <v>3</v>
      </c>
      <c r="BB10" s="7" t="s">
        <v>285</v>
      </c>
    </row>
    <row r="11" spans="1:54" ht="121.5" x14ac:dyDescent="0.25">
      <c r="A11" s="137" t="s">
        <v>229</v>
      </c>
      <c r="B11" s="137" t="s">
        <v>230</v>
      </c>
      <c r="C11" s="137">
        <v>44112005</v>
      </c>
      <c r="D11" s="137" t="s">
        <v>286</v>
      </c>
      <c r="E11" s="138" t="s">
        <v>287</v>
      </c>
      <c r="F11" s="139" t="s">
        <v>233</v>
      </c>
      <c r="G11" s="140">
        <v>1</v>
      </c>
      <c r="H11" s="139" t="s">
        <v>51</v>
      </c>
      <c r="I11" s="141" t="s">
        <v>281</v>
      </c>
      <c r="J11" s="142">
        <v>46070</v>
      </c>
      <c r="K11" s="143" t="s">
        <v>248</v>
      </c>
      <c r="L11" s="144" t="s">
        <v>241</v>
      </c>
      <c r="M11" s="142" t="s">
        <v>244</v>
      </c>
      <c r="N11" s="145">
        <v>28000</v>
      </c>
      <c r="O11" s="145" t="s">
        <v>245</v>
      </c>
      <c r="P11" s="145" t="s">
        <v>239</v>
      </c>
      <c r="Q11" s="146">
        <f t="shared" si="0"/>
        <v>28000</v>
      </c>
      <c r="R11" s="147">
        <f t="shared" si="18"/>
        <v>5320</v>
      </c>
      <c r="S11" s="147">
        <f t="shared" si="1"/>
        <v>33320</v>
      </c>
      <c r="T11" s="147">
        <f t="shared" si="2"/>
        <v>28000</v>
      </c>
      <c r="U11" s="147">
        <f t="shared" si="3"/>
        <v>33320</v>
      </c>
      <c r="V11" s="148" t="s">
        <v>281</v>
      </c>
      <c r="W11" s="149">
        <v>46071</v>
      </c>
      <c r="X11" s="150" t="s">
        <v>240</v>
      </c>
      <c r="Y11" s="151" t="s">
        <v>241</v>
      </c>
      <c r="Z11" s="152" t="s">
        <v>252</v>
      </c>
      <c r="AA11" s="153">
        <v>31600</v>
      </c>
      <c r="AB11" s="153" t="s">
        <v>238</v>
      </c>
      <c r="AC11" s="153" t="s">
        <v>239</v>
      </c>
      <c r="AD11" s="154">
        <f>IF(AB11="IVA Incluido",(AA11/1.19),AA11)</f>
        <v>26554.621848739498</v>
      </c>
      <c r="AE11" s="155">
        <f t="shared" si="4"/>
        <v>5045.3781512605046</v>
      </c>
      <c r="AF11" s="155">
        <f t="shared" si="5"/>
        <v>31600.000000000004</v>
      </c>
      <c r="AG11" s="155">
        <f t="shared" si="6"/>
        <v>31600</v>
      </c>
      <c r="AH11" s="155">
        <f t="shared" si="7"/>
        <v>31600.000000000004</v>
      </c>
      <c r="AI11" s="156" t="s">
        <v>281</v>
      </c>
      <c r="AJ11" s="157">
        <v>46071</v>
      </c>
      <c r="AK11" s="158" t="s">
        <v>263</v>
      </c>
      <c r="AL11" s="159" t="s">
        <v>241</v>
      </c>
      <c r="AM11" s="160" t="s">
        <v>264</v>
      </c>
      <c r="AN11" s="161">
        <v>30000</v>
      </c>
      <c r="AO11" s="161" t="s">
        <v>245</v>
      </c>
      <c r="AP11" s="162" t="s">
        <v>265</v>
      </c>
      <c r="AQ11" s="163">
        <f t="shared" si="8"/>
        <v>30000</v>
      </c>
      <c r="AR11" s="164">
        <f t="shared" si="9"/>
        <v>0</v>
      </c>
      <c r="AS11" s="164">
        <f t="shared" si="10"/>
        <v>30000</v>
      </c>
      <c r="AT11" s="164">
        <f t="shared" si="11"/>
        <v>30000</v>
      </c>
      <c r="AU11" s="164">
        <f t="shared" si="12"/>
        <v>30000</v>
      </c>
      <c r="AV11" s="165">
        <f t="shared" si="15"/>
        <v>31640</v>
      </c>
      <c r="AW11" s="165">
        <f t="shared" si="16"/>
        <v>31640</v>
      </c>
      <c r="AX11" s="165">
        <f t="shared" si="17"/>
        <v>1660</v>
      </c>
      <c r="AY11" s="166">
        <f t="shared" si="13"/>
        <v>5.2465233881163087E-2</v>
      </c>
      <c r="AZ11" s="5"/>
      <c r="BA11" s="7">
        <f t="shared" si="14"/>
        <v>3</v>
      </c>
      <c r="BB11" s="7" t="s">
        <v>277</v>
      </c>
    </row>
    <row r="12" spans="1:54" ht="67.5" x14ac:dyDescent="0.25">
      <c r="A12" s="137" t="s">
        <v>229</v>
      </c>
      <c r="B12" s="137" t="s">
        <v>288</v>
      </c>
      <c r="C12" s="137">
        <v>80141607</v>
      </c>
      <c r="D12" s="137" t="s">
        <v>289</v>
      </c>
      <c r="E12" s="138" t="s">
        <v>290</v>
      </c>
      <c r="F12" s="139" t="s">
        <v>291</v>
      </c>
      <c r="G12" s="140">
        <v>1</v>
      </c>
      <c r="H12" s="139" t="s">
        <v>51</v>
      </c>
      <c r="I12" s="141" t="s">
        <v>234</v>
      </c>
      <c r="J12" s="142">
        <v>46086</v>
      </c>
      <c r="K12" s="143" t="s">
        <v>292</v>
      </c>
      <c r="L12" s="144" t="s">
        <v>241</v>
      </c>
      <c r="M12" s="142" t="s">
        <v>293</v>
      </c>
      <c r="N12" s="145">
        <v>15800</v>
      </c>
      <c r="O12" s="145" t="s">
        <v>238</v>
      </c>
      <c r="P12" s="145" t="s">
        <v>239</v>
      </c>
      <c r="Q12" s="146">
        <f t="shared" si="0"/>
        <v>13277.310924369749</v>
      </c>
      <c r="R12" s="147">
        <f t="shared" si="18"/>
        <v>2522.6890756302523</v>
      </c>
      <c r="S12" s="147">
        <f t="shared" si="1"/>
        <v>15800.000000000002</v>
      </c>
      <c r="T12" s="147">
        <f t="shared" si="2"/>
        <v>15800</v>
      </c>
      <c r="U12" s="147">
        <f t="shared" si="3"/>
        <v>15800.000000000002</v>
      </c>
      <c r="V12" s="148" t="s">
        <v>234</v>
      </c>
      <c r="W12" s="149">
        <v>46086</v>
      </c>
      <c r="X12" s="150" t="s">
        <v>294</v>
      </c>
      <c r="Y12" s="151" t="s">
        <v>241</v>
      </c>
      <c r="Z12" s="152" t="s">
        <v>295</v>
      </c>
      <c r="AA12" s="153">
        <v>19480</v>
      </c>
      <c r="AB12" s="153" t="s">
        <v>238</v>
      </c>
      <c r="AC12" s="153" t="s">
        <v>239</v>
      </c>
      <c r="AD12" s="154">
        <f>IF(AB12="IVA Incluido",(AA12/1.19),AA12)</f>
        <v>16369.747899159665</v>
      </c>
      <c r="AE12" s="155">
        <f t="shared" si="4"/>
        <v>3110.2521008403364</v>
      </c>
      <c r="AF12" s="155">
        <f t="shared" si="5"/>
        <v>19480</v>
      </c>
      <c r="AG12" s="155">
        <f t="shared" si="6"/>
        <v>19480</v>
      </c>
      <c r="AH12" s="155">
        <f t="shared" si="7"/>
        <v>19480</v>
      </c>
      <c r="AI12" s="156" t="s">
        <v>234</v>
      </c>
      <c r="AJ12" s="157">
        <v>46086</v>
      </c>
      <c r="AK12" s="158" t="s">
        <v>296</v>
      </c>
      <c r="AL12" s="159" t="s">
        <v>241</v>
      </c>
      <c r="AM12" s="160" t="s">
        <v>297</v>
      </c>
      <c r="AN12" s="161">
        <v>17400</v>
      </c>
      <c r="AO12" s="161" t="s">
        <v>238</v>
      </c>
      <c r="AP12" s="162" t="s">
        <v>239</v>
      </c>
      <c r="AQ12" s="163">
        <f t="shared" si="8"/>
        <v>14621.848739495799</v>
      </c>
      <c r="AR12" s="164">
        <f t="shared" si="9"/>
        <v>2778.1512605042017</v>
      </c>
      <c r="AS12" s="164">
        <f t="shared" si="10"/>
        <v>17400</v>
      </c>
      <c r="AT12" s="164">
        <f t="shared" si="11"/>
        <v>17400</v>
      </c>
      <c r="AU12" s="164">
        <f t="shared" si="12"/>
        <v>17400</v>
      </c>
      <c r="AV12" s="165">
        <f t="shared" si="15"/>
        <v>17560</v>
      </c>
      <c r="AW12" s="165">
        <f t="shared" si="16"/>
        <v>17560</v>
      </c>
      <c r="AX12" s="165">
        <f t="shared" si="17"/>
        <v>1845</v>
      </c>
      <c r="AY12" s="166">
        <f t="shared" si="13"/>
        <v>0.10506833712984055</v>
      </c>
      <c r="AZ12" s="5" t="s">
        <v>298</v>
      </c>
      <c r="BA12" s="7">
        <f t="shared" si="14"/>
        <v>3</v>
      </c>
      <c r="BB12" s="7"/>
    </row>
    <row r="13" spans="1:54" ht="297" x14ac:dyDescent="0.25">
      <c r="A13" s="137" t="s">
        <v>299</v>
      </c>
      <c r="B13" s="137" t="s">
        <v>299</v>
      </c>
      <c r="C13" s="137" t="s">
        <v>299</v>
      </c>
      <c r="D13" s="137" t="s">
        <v>300</v>
      </c>
      <c r="E13" s="138" t="s">
        <v>301</v>
      </c>
      <c r="F13" s="139" t="s">
        <v>302</v>
      </c>
      <c r="G13" s="140">
        <v>1</v>
      </c>
      <c r="H13" s="139"/>
      <c r="I13" s="141"/>
      <c r="J13" s="142"/>
      <c r="K13" s="143"/>
      <c r="L13" s="144"/>
      <c r="M13" s="142"/>
      <c r="N13" s="145"/>
      <c r="O13" s="145"/>
      <c r="P13" s="145"/>
      <c r="Q13" s="146" t="s">
        <v>303</v>
      </c>
      <c r="R13" s="147" t="s">
        <v>303</v>
      </c>
      <c r="S13" s="147" t="s">
        <v>303</v>
      </c>
      <c r="T13" s="147" t="s">
        <v>303</v>
      </c>
      <c r="U13" s="147" t="s">
        <v>303</v>
      </c>
      <c r="V13" s="148" t="s">
        <v>299</v>
      </c>
      <c r="W13" s="149" t="s">
        <v>299</v>
      </c>
      <c r="X13" s="150" t="s">
        <v>299</v>
      </c>
      <c r="Y13" s="151" t="s">
        <v>299</v>
      </c>
      <c r="Z13" s="152" t="s">
        <v>304</v>
      </c>
      <c r="AA13" s="153" t="s">
        <v>299</v>
      </c>
      <c r="AB13" s="153" t="s">
        <v>299</v>
      </c>
      <c r="AC13" s="153" t="s">
        <v>299</v>
      </c>
      <c r="AD13" s="154" t="s">
        <v>299</v>
      </c>
      <c r="AE13" s="155" t="s">
        <v>299</v>
      </c>
      <c r="AF13" s="155">
        <f>AH13/1.19</f>
        <v>1809.2436974789916</v>
      </c>
      <c r="AG13" s="155">
        <f>AF13*19%</f>
        <v>343.75630252100842</v>
      </c>
      <c r="AH13" s="155">
        <v>2153</v>
      </c>
      <c r="AI13" s="156" t="s">
        <v>299</v>
      </c>
      <c r="AJ13" s="157" t="s">
        <v>299</v>
      </c>
      <c r="AK13" s="158" t="s">
        <v>299</v>
      </c>
      <c r="AL13" s="159" t="s">
        <v>299</v>
      </c>
      <c r="AM13" s="160" t="s">
        <v>305</v>
      </c>
      <c r="AN13" s="161" t="s">
        <v>299</v>
      </c>
      <c r="AO13" s="161" t="s">
        <v>299</v>
      </c>
      <c r="AP13" s="162" t="s">
        <v>299</v>
      </c>
      <c r="AQ13" s="163">
        <v>1783</v>
      </c>
      <c r="AR13" s="164">
        <v>339</v>
      </c>
      <c r="AS13" s="164">
        <v>2122</v>
      </c>
      <c r="AT13" s="164">
        <v>1783</v>
      </c>
      <c r="AU13" s="164">
        <v>2122</v>
      </c>
      <c r="AV13" s="165">
        <f t="shared" si="15"/>
        <v>1966</v>
      </c>
      <c r="AW13" s="165">
        <f t="shared" si="16"/>
        <v>1966</v>
      </c>
      <c r="AX13" s="165" t="str">
        <f t="shared" si="17"/>
        <v/>
      </c>
      <c r="AY13" s="166">
        <v>1.0500000000000001E-2</v>
      </c>
      <c r="AZ13" s="5"/>
      <c r="BA13" s="7"/>
      <c r="BB13" s="7"/>
    </row>
    <row r="14" spans="1:54" ht="94.5" x14ac:dyDescent="0.25">
      <c r="A14" s="137" t="s">
        <v>229</v>
      </c>
      <c r="B14" s="137" t="s">
        <v>306</v>
      </c>
      <c r="C14" s="137">
        <v>60121702</v>
      </c>
      <c r="D14" s="137" t="s">
        <v>307</v>
      </c>
      <c r="E14" s="138" t="s">
        <v>308</v>
      </c>
      <c r="F14" s="139" t="s">
        <v>233</v>
      </c>
      <c r="G14" s="140">
        <v>1</v>
      </c>
      <c r="H14" s="139" t="s">
        <v>51</v>
      </c>
      <c r="I14" s="141" t="s">
        <v>247</v>
      </c>
      <c r="J14" s="142">
        <v>46070</v>
      </c>
      <c r="K14" s="143" t="s">
        <v>309</v>
      </c>
      <c r="L14" s="144" t="s">
        <v>241</v>
      </c>
      <c r="M14" s="142" t="s">
        <v>310</v>
      </c>
      <c r="N14" s="145">
        <v>3300.27</v>
      </c>
      <c r="O14" s="145" t="s">
        <v>238</v>
      </c>
      <c r="P14" s="145" t="s">
        <v>239</v>
      </c>
      <c r="Q14" s="146">
        <f>IF(O14="IVA Incluido",(N14/1.19),N14)</f>
        <v>2773.3361344537816</v>
      </c>
      <c r="R14" s="147">
        <f>IF(P14="Si tiene IVA",Q14*19%,0)</f>
        <v>526.9338655462185</v>
      </c>
      <c r="S14" s="147">
        <f t="shared" ref="S14:S20" si="19">Q14+R14</f>
        <v>3300.27</v>
      </c>
      <c r="T14" s="147">
        <f>IF(B14="","",(N14*G14))</f>
        <v>3300.27</v>
      </c>
      <c r="U14" s="147">
        <f>IF(B14="","",(S14*G14))</f>
        <v>3300.27</v>
      </c>
      <c r="V14" s="148" t="s">
        <v>247</v>
      </c>
      <c r="W14" s="149">
        <v>46070</v>
      </c>
      <c r="X14" s="150" t="s">
        <v>311</v>
      </c>
      <c r="Y14" s="151" t="s">
        <v>241</v>
      </c>
      <c r="Z14" s="152" t="s">
        <v>312</v>
      </c>
      <c r="AA14" s="153">
        <v>2600</v>
      </c>
      <c r="AB14" s="153" t="s">
        <v>245</v>
      </c>
      <c r="AC14" s="153" t="s">
        <v>239</v>
      </c>
      <c r="AD14" s="154">
        <f>IF(AB14="IVA Incluido",(AA14/1.19),AA14)</f>
        <v>2600</v>
      </c>
      <c r="AE14" s="155">
        <f>IF(AC14="Si tiene IVA",AD14*19%,0)</f>
        <v>494</v>
      </c>
      <c r="AF14" s="155">
        <f t="shared" ref="AF14:AF20" si="20">AD14+AE14</f>
        <v>3094</v>
      </c>
      <c r="AG14" s="155">
        <f>IF(O14="","",(AA14*G14))</f>
        <v>2600</v>
      </c>
      <c r="AH14" s="155">
        <f>IF(O14="","",(AF14*G14))</f>
        <v>3094</v>
      </c>
      <c r="AI14" s="156" t="s">
        <v>247</v>
      </c>
      <c r="AJ14" s="157">
        <v>46070</v>
      </c>
      <c r="AK14" s="158" t="s">
        <v>313</v>
      </c>
      <c r="AL14" s="159" t="s">
        <v>241</v>
      </c>
      <c r="AM14" s="160" t="s">
        <v>314</v>
      </c>
      <c r="AN14" s="161">
        <v>3500</v>
      </c>
      <c r="AO14" s="161" t="s">
        <v>238</v>
      </c>
      <c r="AP14" s="162" t="s">
        <v>239</v>
      </c>
      <c r="AQ14" s="163">
        <f>IF(AO14="IVA Incluido",(AN14/1.19),AN14)</f>
        <v>2941.1764705882356</v>
      </c>
      <c r="AR14" s="164">
        <f>IF(AP14="Si tiene IVA",AQ14*19%,0)</f>
        <v>558.82352941176475</v>
      </c>
      <c r="AS14" s="164">
        <f>AQ14+AR14</f>
        <v>3500.0000000000005</v>
      </c>
      <c r="AT14" s="164">
        <f>IF(AB14="","",(AN14*G14))</f>
        <v>3500</v>
      </c>
      <c r="AU14" s="164">
        <f>IF(AB14="","",(AS14*G14))</f>
        <v>3500.0000000000005</v>
      </c>
      <c r="AV14" s="165">
        <f t="shared" si="15"/>
        <v>3298</v>
      </c>
      <c r="AW14" s="165">
        <f t="shared" si="16"/>
        <v>3298</v>
      </c>
      <c r="AX14" s="165">
        <f t="shared" si="17"/>
        <v>203</v>
      </c>
      <c r="AY14" s="166">
        <f t="shared" ref="AY14:AY20" si="21">IF(N14="","",(AX14/AW14))</f>
        <v>6.1552456033959979E-2</v>
      </c>
      <c r="AZ14" s="5"/>
      <c r="BA14" s="7">
        <f t="shared" ref="BA14:BA20" si="22">COUNTA(M14,Z14,AM14)</f>
        <v>3</v>
      </c>
      <c r="BB14" s="7"/>
    </row>
    <row r="15" spans="1:54" ht="81" x14ac:dyDescent="0.25">
      <c r="A15" s="137" t="s">
        <v>229</v>
      </c>
      <c r="B15" s="137" t="s">
        <v>288</v>
      </c>
      <c r="C15" s="137">
        <v>90101603</v>
      </c>
      <c r="D15" s="137" t="s">
        <v>315</v>
      </c>
      <c r="E15" s="138" t="s">
        <v>316</v>
      </c>
      <c r="F15" s="139" t="s">
        <v>317</v>
      </c>
      <c r="G15" s="140">
        <v>1</v>
      </c>
      <c r="H15" s="139" t="s">
        <v>51</v>
      </c>
      <c r="I15" s="141" t="s">
        <v>234</v>
      </c>
      <c r="J15" s="142">
        <v>46134</v>
      </c>
      <c r="K15" s="143" t="s">
        <v>318</v>
      </c>
      <c r="L15" s="144" t="s">
        <v>241</v>
      </c>
      <c r="M15" s="142" t="s">
        <v>319</v>
      </c>
      <c r="N15" s="145">
        <v>37000</v>
      </c>
      <c r="O15" s="145" t="s">
        <v>320</v>
      </c>
      <c r="P15" s="145" t="s">
        <v>321</v>
      </c>
      <c r="Q15" s="146">
        <f>IF(O15="IVA Incluido",(N15/1.19),IF(O15="Ipoconsumo Incluido",(N15/1.08),N15))</f>
        <v>37000</v>
      </c>
      <c r="R15" s="147">
        <f>IF(P15="Si tiene IVA",Q15*19%,IF(P15="Si tiene IPOCONSUMO",Q15*8%,0))</f>
        <v>2960</v>
      </c>
      <c r="S15" s="147">
        <f t="shared" si="19"/>
        <v>39960</v>
      </c>
      <c r="T15" s="147">
        <f>IF(R15="IVA Incluido",(Q15/1.19),IF(R15="Ipoconsumo Incluido",(Q15/1.08),Q15))</f>
        <v>37000</v>
      </c>
      <c r="U15" s="147">
        <f>Q15+R15</f>
        <v>39960</v>
      </c>
      <c r="V15" s="148" t="s">
        <v>234</v>
      </c>
      <c r="W15" s="149">
        <v>46134</v>
      </c>
      <c r="X15" s="150" t="s">
        <v>322</v>
      </c>
      <c r="Y15" s="151" t="s">
        <v>241</v>
      </c>
      <c r="Z15" s="152" t="s">
        <v>323</v>
      </c>
      <c r="AA15" s="153">
        <v>45000</v>
      </c>
      <c r="AB15" s="153" t="s">
        <v>320</v>
      </c>
      <c r="AC15" s="153" t="s">
        <v>321</v>
      </c>
      <c r="AD15" s="154">
        <f>IF(AB15="IVA Incluido",(AA15/1.19),IF(AB15="Ipoconsumo Incluido",(AA15/1.08),AA15))</f>
        <v>45000</v>
      </c>
      <c r="AE15" s="155">
        <f>IF(AC15="Si tiene IVA",AD15*19%,IF(AC15="Si tiene IPOCONSUMO",AD15*8%,0))</f>
        <v>3600</v>
      </c>
      <c r="AF15" s="155">
        <f t="shared" si="20"/>
        <v>48600</v>
      </c>
      <c r="AG15" s="155">
        <f>IF(AE15="IVA Incluido",(AD15/1.19),IF(AE15="Ipoconsumo Incluido",(AD15/1.08),AD15))</f>
        <v>45000</v>
      </c>
      <c r="AH15" s="155">
        <f>AD15+AE15</f>
        <v>48600</v>
      </c>
      <c r="AI15" s="156" t="s">
        <v>234</v>
      </c>
      <c r="AJ15" s="157">
        <v>46134</v>
      </c>
      <c r="AK15" s="158" t="s">
        <v>324</v>
      </c>
      <c r="AL15" s="159" t="s">
        <v>241</v>
      </c>
      <c r="AM15" s="160" t="s">
        <v>325</v>
      </c>
      <c r="AN15" s="161">
        <v>31512</v>
      </c>
      <c r="AO15" s="161" t="s">
        <v>320</v>
      </c>
      <c r="AP15" s="162" t="s">
        <v>321</v>
      </c>
      <c r="AQ15" s="163">
        <f>IF(AO15="IVA Incluido",(AN15/1.19),IF(AO15="Ipoconsumo Incluido",(AN15/1.08),AN15))</f>
        <v>31512</v>
      </c>
      <c r="AR15" s="164">
        <f>IF(AP15="Si tiene IVA",AQ15*19%,IF(AP15="Si tiene IPOCONSUMO",AQ15*8%,0))</f>
        <v>2520.96</v>
      </c>
      <c r="AS15" s="164">
        <f>AQ15+AR15</f>
        <v>34032.959999999999</v>
      </c>
      <c r="AT15" s="164">
        <f>IF(AR15="IVA Incluido",(AQ15/1.19),IF(AR15="Ipoconsumo Incluido",(AQ15/1.08),AQ15))</f>
        <v>31512</v>
      </c>
      <c r="AU15" s="164">
        <f>AQ15+AR15</f>
        <v>34032.959999999999</v>
      </c>
      <c r="AV15" s="165">
        <f t="shared" si="15"/>
        <v>40864</v>
      </c>
      <c r="AW15" s="165">
        <f t="shared" si="16"/>
        <v>40864</v>
      </c>
      <c r="AX15" s="165">
        <f t="shared" si="17"/>
        <v>7326</v>
      </c>
      <c r="AY15" s="166">
        <f t="shared" si="21"/>
        <v>0.17927760375880972</v>
      </c>
      <c r="AZ15" s="5"/>
      <c r="BA15" s="7">
        <f t="shared" si="22"/>
        <v>3</v>
      </c>
      <c r="BB15" s="7"/>
    </row>
    <row r="16" spans="1:54" ht="67.5" x14ac:dyDescent="0.25">
      <c r="A16" s="137" t="s">
        <v>229</v>
      </c>
      <c r="B16" s="137" t="s">
        <v>288</v>
      </c>
      <c r="C16" s="137">
        <v>90101603</v>
      </c>
      <c r="D16" s="137" t="s">
        <v>326</v>
      </c>
      <c r="E16" s="138" t="s">
        <v>327</v>
      </c>
      <c r="F16" s="139" t="s">
        <v>317</v>
      </c>
      <c r="G16" s="140">
        <v>1</v>
      </c>
      <c r="H16" s="139" t="s">
        <v>51</v>
      </c>
      <c r="I16" s="141" t="s">
        <v>234</v>
      </c>
      <c r="J16" s="142">
        <v>46134</v>
      </c>
      <c r="K16" s="143" t="s">
        <v>318</v>
      </c>
      <c r="L16" s="144" t="s">
        <v>241</v>
      </c>
      <c r="M16" s="142" t="s">
        <v>319</v>
      </c>
      <c r="N16" s="145">
        <v>32000</v>
      </c>
      <c r="O16" s="145" t="s">
        <v>320</v>
      </c>
      <c r="P16" s="145" t="s">
        <v>321</v>
      </c>
      <c r="Q16" s="146">
        <f>IF(O16="IVA Incluido",(N16/1.19),IF(O16="Ipoconsumo Incluido",(N16/1.08),N16))</f>
        <v>32000</v>
      </c>
      <c r="R16" s="147">
        <f>IF(P16="Si tiene IVA",Q16*19%,IF(P16="Si tiene IPOCONSUMO",Q16*8%,0))</f>
        <v>2560</v>
      </c>
      <c r="S16" s="147">
        <f t="shared" si="19"/>
        <v>34560</v>
      </c>
      <c r="T16" s="147">
        <f>IF(R16="IVA Incluido",(Q16/1.19),IF(R16="Ipoconsumo Incluido",(Q16/1.08),Q16))</f>
        <v>32000</v>
      </c>
      <c r="U16" s="147">
        <f>Q16+R16</f>
        <v>34560</v>
      </c>
      <c r="V16" s="148" t="s">
        <v>234</v>
      </c>
      <c r="W16" s="149">
        <v>46134</v>
      </c>
      <c r="X16" s="150" t="s">
        <v>322</v>
      </c>
      <c r="Y16" s="151" t="s">
        <v>241</v>
      </c>
      <c r="Z16" s="152" t="s">
        <v>323</v>
      </c>
      <c r="AA16" s="153">
        <v>45000</v>
      </c>
      <c r="AB16" s="153" t="s">
        <v>320</v>
      </c>
      <c r="AC16" s="153" t="s">
        <v>321</v>
      </c>
      <c r="AD16" s="154">
        <f>IF(AB16="IVA Incluido",(AA16/1.19),IF(AB16="Ipoconsumo Incluido",(AA16/1.08),AA16))</f>
        <v>45000</v>
      </c>
      <c r="AE16" s="155">
        <f>IF(AC16="Si tiene IVA",AD16*19%,IF(AC16="Si tiene IPOCONSUMO",AD16*8%,0))</f>
        <v>3600</v>
      </c>
      <c r="AF16" s="155">
        <f t="shared" si="20"/>
        <v>48600</v>
      </c>
      <c r="AG16" s="155">
        <f>IF(AE16="IVA Incluido",(AD16/1.19),IF(AE16="Ipoconsumo Incluido",(AD16/1.08),AD16))</f>
        <v>45000</v>
      </c>
      <c r="AH16" s="155">
        <f>AD16+AE16</f>
        <v>48600</v>
      </c>
      <c r="AI16" s="156"/>
      <c r="AJ16" s="157"/>
      <c r="AK16" s="158"/>
      <c r="AL16" s="159"/>
      <c r="AM16" s="160"/>
      <c r="AN16" s="161"/>
      <c r="AO16" s="161"/>
      <c r="AP16" s="162"/>
      <c r="AQ16" s="163"/>
      <c r="AR16" s="164"/>
      <c r="AS16" s="164"/>
      <c r="AT16" s="164"/>
      <c r="AU16" s="164"/>
      <c r="AV16" s="165">
        <f t="shared" si="15"/>
        <v>41580</v>
      </c>
      <c r="AW16" s="165">
        <f t="shared" si="16"/>
        <v>41580</v>
      </c>
      <c r="AX16" s="165">
        <f t="shared" si="17"/>
        <v>9928</v>
      </c>
      <c r="AY16" s="166">
        <f t="shared" si="21"/>
        <v>0.23876863876863877</v>
      </c>
      <c r="AZ16" s="5"/>
      <c r="BA16" s="7">
        <f t="shared" si="22"/>
        <v>2</v>
      </c>
      <c r="BB16" s="7"/>
    </row>
    <row r="17" spans="1:54" ht="81" x14ac:dyDescent="0.25">
      <c r="A17" s="137" t="s">
        <v>229</v>
      </c>
      <c r="B17" s="137" t="s">
        <v>288</v>
      </c>
      <c r="C17" s="137">
        <v>90101603</v>
      </c>
      <c r="D17" s="137" t="s">
        <v>328</v>
      </c>
      <c r="E17" s="138" t="s">
        <v>329</v>
      </c>
      <c r="F17" s="139" t="s">
        <v>317</v>
      </c>
      <c r="G17" s="140">
        <v>1</v>
      </c>
      <c r="H17" s="139" t="s">
        <v>51</v>
      </c>
      <c r="I17" s="141" t="s">
        <v>234</v>
      </c>
      <c r="J17" s="142">
        <v>46134</v>
      </c>
      <c r="K17" s="143" t="s">
        <v>318</v>
      </c>
      <c r="L17" s="144" t="s">
        <v>241</v>
      </c>
      <c r="M17" s="142" t="s">
        <v>319</v>
      </c>
      <c r="N17" s="145">
        <v>30000</v>
      </c>
      <c r="O17" s="145" t="s">
        <v>320</v>
      </c>
      <c r="P17" s="145" t="s">
        <v>321</v>
      </c>
      <c r="Q17" s="146">
        <f>IF(O17="IVA Incluido",(N17/1.19),IF(O17="Ipoconsumo Incluido",(N17/1.08),N17))</f>
        <v>30000</v>
      </c>
      <c r="R17" s="147">
        <f>IF(P17="Si tiene IVA",Q17*19%,IF(P17="Si tiene IPOCONSUMO",Q17*8%,0))</f>
        <v>2400</v>
      </c>
      <c r="S17" s="147">
        <f t="shared" si="19"/>
        <v>32400</v>
      </c>
      <c r="T17" s="147">
        <f>IF(R17="IVA Incluido",(Q17/1.19),IF(R17="Ipoconsumo Incluido",(Q17/1.08),Q17))</f>
        <v>30000</v>
      </c>
      <c r="U17" s="147">
        <f>Q17+R17</f>
        <v>32400</v>
      </c>
      <c r="V17" s="148" t="s">
        <v>234</v>
      </c>
      <c r="W17" s="149">
        <v>46149</v>
      </c>
      <c r="X17" s="150" t="s">
        <v>322</v>
      </c>
      <c r="Y17" s="151" t="s">
        <v>236</v>
      </c>
      <c r="Z17" s="152" t="s">
        <v>323</v>
      </c>
      <c r="AA17" s="153">
        <v>45000</v>
      </c>
      <c r="AB17" s="153" t="s">
        <v>320</v>
      </c>
      <c r="AC17" s="153" t="s">
        <v>321</v>
      </c>
      <c r="AD17" s="154">
        <f>IF(AB17="IVA Incluido",(AA17/1.19),IF(AB17="Ipoconsumo Incluido",(AA17/1.08),AA17))</f>
        <v>45000</v>
      </c>
      <c r="AE17" s="155">
        <f>IF(AC17="Si tiene IVA",AD17*19%,IF(AC17="Si tiene IPOCONSUMO",AD17*8%,0))</f>
        <v>3600</v>
      </c>
      <c r="AF17" s="155">
        <f t="shared" si="20"/>
        <v>48600</v>
      </c>
      <c r="AG17" s="155">
        <f>IF(O17="","",(AA17*G17))</f>
        <v>45000</v>
      </c>
      <c r="AH17" s="155">
        <f>IF(O17="","",(AF17*G17))</f>
        <v>48600</v>
      </c>
      <c r="AI17" s="156" t="s">
        <v>234</v>
      </c>
      <c r="AJ17" s="157">
        <v>46149</v>
      </c>
      <c r="AK17" s="158" t="s">
        <v>324</v>
      </c>
      <c r="AL17" s="159" t="s">
        <v>236</v>
      </c>
      <c r="AM17" s="160" t="s">
        <v>325</v>
      </c>
      <c r="AN17" s="161">
        <v>33445</v>
      </c>
      <c r="AO17" s="161" t="s">
        <v>320</v>
      </c>
      <c r="AP17" s="162" t="s">
        <v>321</v>
      </c>
      <c r="AQ17" s="163">
        <f>IF(AO17="IVA Incluido",(AN17/1.19),IF(AO17="Ipoconsumo Incluido",(AN17/1.08),AN17))</f>
        <v>33445</v>
      </c>
      <c r="AR17" s="164">
        <f>IF(AP17="Si tiene IVA",AQ17*19%,IF(AP17="Si tiene IPOCONSUMO",AQ17*8%,0))</f>
        <v>2675.6</v>
      </c>
      <c r="AS17" s="164">
        <f>AQ17+AR17</f>
        <v>36120.6</v>
      </c>
      <c r="AT17" s="164">
        <f>IF(AR17="IVA Incluido",(AQ17/1.19),IF(AR17="Ipoconsumo Incluido",(AQ17/1.08),AQ17))</f>
        <v>33445</v>
      </c>
      <c r="AU17" s="164">
        <f>AQ17+AR17</f>
        <v>36120.6</v>
      </c>
      <c r="AV17" s="165">
        <f t="shared" si="15"/>
        <v>39040</v>
      </c>
      <c r="AW17" s="165">
        <f t="shared" si="16"/>
        <v>39040</v>
      </c>
      <c r="AX17" s="165">
        <f t="shared" si="17"/>
        <v>8485</v>
      </c>
      <c r="AY17" s="166">
        <f t="shared" si="21"/>
        <v>0.21734118852459017</v>
      </c>
      <c r="AZ17" s="5"/>
      <c r="BA17" s="7">
        <f t="shared" si="22"/>
        <v>3</v>
      </c>
      <c r="BB17" s="7"/>
    </row>
    <row r="18" spans="1:54" ht="81" x14ac:dyDescent="0.25">
      <c r="A18" s="137" t="s">
        <v>229</v>
      </c>
      <c r="B18" s="137" t="s">
        <v>288</v>
      </c>
      <c r="C18" s="137">
        <v>90101603</v>
      </c>
      <c r="D18" s="137" t="s">
        <v>330</v>
      </c>
      <c r="E18" s="138" t="s">
        <v>331</v>
      </c>
      <c r="F18" s="139" t="s">
        <v>317</v>
      </c>
      <c r="G18" s="140">
        <v>1</v>
      </c>
      <c r="H18" s="139" t="s">
        <v>51</v>
      </c>
      <c r="I18" s="141" t="s">
        <v>234</v>
      </c>
      <c r="J18" s="142">
        <v>46134</v>
      </c>
      <c r="K18" s="143" t="s">
        <v>318</v>
      </c>
      <c r="L18" s="144" t="s">
        <v>241</v>
      </c>
      <c r="M18" s="142" t="s">
        <v>319</v>
      </c>
      <c r="N18" s="145">
        <v>34000</v>
      </c>
      <c r="O18" s="145" t="s">
        <v>320</v>
      </c>
      <c r="P18" s="145" t="s">
        <v>321</v>
      </c>
      <c r="Q18" s="146">
        <f>IF(O18="IVA Incluido",(N18/1.19),IF(O18="Ipoconsumo Incluido",(N18/1.08),N18))</f>
        <v>34000</v>
      </c>
      <c r="R18" s="147">
        <f>IF(P18="Si tiene IVA",Q18*19%,IF(P18="Si tiene IPOCONSUMO",Q18*8%,0))</f>
        <v>2720</v>
      </c>
      <c r="S18" s="147">
        <f t="shared" si="19"/>
        <v>36720</v>
      </c>
      <c r="T18" s="147">
        <f>IF(R18="IVA Incluido",(Q18/1.19),IF(R18="Ipoconsumo Incluido",(Q18/1.08),Q18))</f>
        <v>34000</v>
      </c>
      <c r="U18" s="147">
        <f>Q18+R18</f>
        <v>36720</v>
      </c>
      <c r="V18" s="148" t="s">
        <v>234</v>
      </c>
      <c r="W18" s="149">
        <v>46134</v>
      </c>
      <c r="X18" s="150" t="s">
        <v>322</v>
      </c>
      <c r="Y18" s="151" t="s">
        <v>241</v>
      </c>
      <c r="Z18" s="152" t="s">
        <v>323</v>
      </c>
      <c r="AA18" s="153">
        <v>45000</v>
      </c>
      <c r="AB18" s="153" t="s">
        <v>320</v>
      </c>
      <c r="AC18" s="153" t="s">
        <v>321</v>
      </c>
      <c r="AD18" s="154">
        <f>IF(AB18="IVA Incluido",(AA18/1.19),IF(AB18="Ipoconsumo Incluido",(AA18/1.08),AA18))</f>
        <v>45000</v>
      </c>
      <c r="AE18" s="155">
        <f>IF(AC18="Si tiene IVA",AD18*19%,IF(AC18="Si tiene IPOCONSUMO",AD18*8%,0))</f>
        <v>3600</v>
      </c>
      <c r="AF18" s="155">
        <f t="shared" si="20"/>
        <v>48600</v>
      </c>
      <c r="AG18" s="155">
        <f>IF(AE18="IVA Incluido",(AD18/1.19),IF(AE18="Ipoconsumo Incluido",(AD18/1.08),AD18))</f>
        <v>45000</v>
      </c>
      <c r="AH18" s="155">
        <f>AD18+AE18</f>
        <v>48600</v>
      </c>
      <c r="AI18" s="156" t="s">
        <v>234</v>
      </c>
      <c r="AJ18" s="157">
        <v>46094</v>
      </c>
      <c r="AK18" s="158" t="s">
        <v>324</v>
      </c>
      <c r="AL18" s="159" t="s">
        <v>241</v>
      </c>
      <c r="AM18" s="160" t="s">
        <v>325</v>
      </c>
      <c r="AN18" s="161">
        <v>33445</v>
      </c>
      <c r="AO18" s="161" t="s">
        <v>320</v>
      </c>
      <c r="AP18" s="162" t="s">
        <v>321</v>
      </c>
      <c r="AQ18" s="163">
        <f>IF(AO18="IVA Incluido",(AN18/1.19),IF(AO18="Ipoconsumo Incluido",(AN18/1.08),AN18))</f>
        <v>33445</v>
      </c>
      <c r="AR18" s="164">
        <f>IF(AP18="Si tiene IVA",AQ18*19%,IF(AP18="Si tiene IPOCONSUMO",AQ18*8%,0))</f>
        <v>2675.6</v>
      </c>
      <c r="AS18" s="164">
        <f>AQ18+AR18</f>
        <v>36120.6</v>
      </c>
      <c r="AT18" s="164">
        <f>IF(AR18="IVA Incluido",(AQ18/1.19),IF(AR18="Ipoconsumo Incluido",(AQ18/1.08),AQ18))</f>
        <v>33445</v>
      </c>
      <c r="AU18" s="164">
        <f>AQ18+AR18</f>
        <v>36120.6</v>
      </c>
      <c r="AV18" s="165">
        <f t="shared" si="15"/>
        <v>40480</v>
      </c>
      <c r="AW18" s="165">
        <f t="shared" si="16"/>
        <v>40480</v>
      </c>
      <c r="AX18" s="165">
        <f t="shared" si="17"/>
        <v>7038</v>
      </c>
      <c r="AY18" s="166">
        <f t="shared" si="21"/>
        <v>0.17386363636363636</v>
      </c>
      <c r="AZ18" s="5"/>
      <c r="BA18" s="7">
        <f t="shared" si="22"/>
        <v>3</v>
      </c>
      <c r="BB18" s="7"/>
    </row>
    <row r="19" spans="1:54" ht="94.5" x14ac:dyDescent="0.25">
      <c r="A19" s="137" t="s">
        <v>229</v>
      </c>
      <c r="B19" s="137" t="s">
        <v>288</v>
      </c>
      <c r="C19" s="137" t="s">
        <v>332</v>
      </c>
      <c r="D19" s="137" t="s">
        <v>333</v>
      </c>
      <c r="E19" s="138" t="s">
        <v>334</v>
      </c>
      <c r="F19" s="139" t="s">
        <v>233</v>
      </c>
      <c r="G19" s="140">
        <v>1</v>
      </c>
      <c r="H19" s="139" t="s">
        <v>335</v>
      </c>
      <c r="I19" s="141" t="s">
        <v>234</v>
      </c>
      <c r="J19" s="142">
        <v>46153</v>
      </c>
      <c r="K19" s="143" t="s">
        <v>336</v>
      </c>
      <c r="L19" s="144" t="s">
        <v>241</v>
      </c>
      <c r="M19" s="142" t="s">
        <v>337</v>
      </c>
      <c r="N19" s="145">
        <v>3750000</v>
      </c>
      <c r="O19" s="145" t="s">
        <v>245</v>
      </c>
      <c r="P19" s="145" t="s">
        <v>239</v>
      </c>
      <c r="Q19" s="146">
        <f>IF(O19="IVA Incluido",(N19/1.19),N19)</f>
        <v>3750000</v>
      </c>
      <c r="R19" s="147">
        <f>IF(P19="Si tiene IVA",Q19*19%,0)</f>
        <v>712500</v>
      </c>
      <c r="S19" s="147">
        <f t="shared" si="19"/>
        <v>4462500</v>
      </c>
      <c r="T19" s="147">
        <f>IF(B19="","",(N19*G19))</f>
        <v>3750000</v>
      </c>
      <c r="U19" s="147">
        <f>IF(B19="","",(S19*G19))</f>
        <v>4462500</v>
      </c>
      <c r="V19" s="148" t="s">
        <v>234</v>
      </c>
      <c r="W19" s="149">
        <v>46153</v>
      </c>
      <c r="X19" s="150" t="s">
        <v>338</v>
      </c>
      <c r="Y19" s="151" t="s">
        <v>241</v>
      </c>
      <c r="Z19" s="152" t="s">
        <v>339</v>
      </c>
      <c r="AA19" s="153">
        <v>5000000</v>
      </c>
      <c r="AB19" s="153" t="s">
        <v>245</v>
      </c>
      <c r="AC19" s="153" t="s">
        <v>239</v>
      </c>
      <c r="AD19" s="154">
        <f>IF(AB19="IVA Incluido",(AA19/1.19),AA19)</f>
        <v>5000000</v>
      </c>
      <c r="AE19" s="155">
        <f>IF(AC19="Si tiene IVA",AD19*19%,0)</f>
        <v>950000</v>
      </c>
      <c r="AF19" s="155">
        <f t="shared" si="20"/>
        <v>5950000</v>
      </c>
      <c r="AG19" s="155">
        <f>IF(O19="","",(AA19*G19))</f>
        <v>5000000</v>
      </c>
      <c r="AH19" s="155">
        <f>IF(O19="","",(AF19*G19))</f>
        <v>5950000</v>
      </c>
      <c r="AI19" s="156" t="s">
        <v>234</v>
      </c>
      <c r="AJ19" s="157">
        <v>46153</v>
      </c>
      <c r="AK19" s="158" t="s">
        <v>340</v>
      </c>
      <c r="AL19" s="159" t="s">
        <v>241</v>
      </c>
      <c r="AM19" s="160" t="s">
        <v>341</v>
      </c>
      <c r="AN19" s="161">
        <v>4200000</v>
      </c>
      <c r="AO19" s="161" t="s">
        <v>245</v>
      </c>
      <c r="AP19" s="162" t="s">
        <v>239</v>
      </c>
      <c r="AQ19" s="163">
        <f>IF(AO19="IVA Incluido",(AN19/1.19),AN19)</f>
        <v>4200000</v>
      </c>
      <c r="AR19" s="164">
        <f>IF(AP19="Si tiene IVA",AQ19*19%,0)</f>
        <v>798000</v>
      </c>
      <c r="AS19" s="164">
        <f>AQ19+AR19</f>
        <v>4998000</v>
      </c>
      <c r="AT19" s="164">
        <f>IF(AB19="","",(AN19*G19))</f>
        <v>4200000</v>
      </c>
      <c r="AU19" s="164">
        <f>IF(AB19="","",(AS19*G19))</f>
        <v>4998000</v>
      </c>
      <c r="AV19" s="165">
        <f t="shared" si="15"/>
        <v>5136833</v>
      </c>
      <c r="AW19" s="165">
        <f t="shared" si="16"/>
        <v>5136833</v>
      </c>
      <c r="AX19" s="165">
        <f t="shared" si="17"/>
        <v>753406</v>
      </c>
      <c r="AY19" s="166">
        <f t="shared" si="21"/>
        <v>0.14666741161334232</v>
      </c>
      <c r="AZ19" s="5"/>
      <c r="BA19" s="7">
        <f t="shared" si="22"/>
        <v>3</v>
      </c>
      <c r="BB19" s="7"/>
    </row>
    <row r="20" spans="1:54" ht="90" x14ac:dyDescent="0.25">
      <c r="A20" s="137" t="s">
        <v>229</v>
      </c>
      <c r="B20" s="137" t="s">
        <v>288</v>
      </c>
      <c r="C20" s="137" t="s">
        <v>342</v>
      </c>
      <c r="D20" s="137" t="s">
        <v>343</v>
      </c>
      <c r="E20" s="138" t="s">
        <v>344</v>
      </c>
      <c r="F20" s="139" t="s">
        <v>317</v>
      </c>
      <c r="G20" s="140">
        <v>1</v>
      </c>
      <c r="H20" s="139" t="s">
        <v>335</v>
      </c>
      <c r="I20" s="141" t="s">
        <v>234</v>
      </c>
      <c r="J20" s="142">
        <v>46134</v>
      </c>
      <c r="K20" s="143" t="s">
        <v>345</v>
      </c>
      <c r="L20" s="144" t="s">
        <v>241</v>
      </c>
      <c r="M20" s="142" t="s">
        <v>346</v>
      </c>
      <c r="N20" s="145">
        <v>1020000</v>
      </c>
      <c r="O20" s="145" t="s">
        <v>245</v>
      </c>
      <c r="P20" s="145" t="s">
        <v>265</v>
      </c>
      <c r="Q20" s="146">
        <v>1360000</v>
      </c>
      <c r="R20" s="147">
        <f>IF(P20="Si tiene IVA",Q20*19%,0)</f>
        <v>0</v>
      </c>
      <c r="S20" s="147">
        <f t="shared" si="19"/>
        <v>1360000</v>
      </c>
      <c r="T20" s="147">
        <f>IF(B20="","",(N20*G20))</f>
        <v>1020000</v>
      </c>
      <c r="U20" s="147">
        <f>IF(B20="","",(S20*G20))</f>
        <v>1360000</v>
      </c>
      <c r="V20" s="148" t="s">
        <v>234</v>
      </c>
      <c r="W20" s="149">
        <v>46134</v>
      </c>
      <c r="X20" s="150" t="s">
        <v>324</v>
      </c>
      <c r="Y20" s="151" t="s">
        <v>241</v>
      </c>
      <c r="Z20" s="152" t="s">
        <v>325</v>
      </c>
      <c r="AA20" s="153">
        <v>1280000</v>
      </c>
      <c r="AB20" s="153" t="s">
        <v>245</v>
      </c>
      <c r="AC20" s="153" t="s">
        <v>265</v>
      </c>
      <c r="AD20" s="154">
        <f>IF(AB20="IVA Incluido",(AA20/1.19),AA20)</f>
        <v>1280000</v>
      </c>
      <c r="AE20" s="155">
        <f>IF(AC20="Si tiene IVA",AD20*19%,0)</f>
        <v>0</v>
      </c>
      <c r="AF20" s="155">
        <f t="shared" si="20"/>
        <v>1280000</v>
      </c>
      <c r="AG20" s="155">
        <f>IF(O20="","",(AA20*G20))</f>
        <v>1280000</v>
      </c>
      <c r="AH20" s="155">
        <f>IF(O20="","",(AF20*G20))</f>
        <v>1280000</v>
      </c>
      <c r="AI20" s="156" t="s">
        <v>234</v>
      </c>
      <c r="AJ20" s="157">
        <v>46134</v>
      </c>
      <c r="AK20" s="158" t="s">
        <v>347</v>
      </c>
      <c r="AL20" s="159" t="s">
        <v>241</v>
      </c>
      <c r="AM20" s="160" t="s">
        <v>347</v>
      </c>
      <c r="AN20" s="161">
        <v>1394000</v>
      </c>
      <c r="AO20" s="161" t="s">
        <v>245</v>
      </c>
      <c r="AP20" s="162" t="s">
        <v>265</v>
      </c>
      <c r="AQ20" s="163">
        <f>IF(AO20="IVA Incluido",(AN20/1.19),AN20)</f>
        <v>1394000</v>
      </c>
      <c r="AR20" s="164">
        <f>IF(AP20="Si tiene IVA",AQ20*19%,0)</f>
        <v>0</v>
      </c>
      <c r="AS20" s="164">
        <f>AQ20+AR20</f>
        <v>1394000</v>
      </c>
      <c r="AT20" s="164">
        <f>IF(AB20="","",(AN20*G20))</f>
        <v>1394000</v>
      </c>
      <c r="AU20" s="164">
        <f>IF(AB20="","",(AS20*G20))</f>
        <v>1394000</v>
      </c>
      <c r="AV20" s="165">
        <f t="shared" si="15"/>
        <v>1344667</v>
      </c>
      <c r="AW20" s="165">
        <f t="shared" si="16"/>
        <v>1344667</v>
      </c>
      <c r="AX20" s="165">
        <f t="shared" si="17"/>
        <v>58526</v>
      </c>
      <c r="AY20" s="166">
        <f t="shared" si="21"/>
        <v>4.3524530608693456E-2</v>
      </c>
      <c r="AZ20" s="5"/>
      <c r="BA20" s="7">
        <f t="shared" si="22"/>
        <v>3</v>
      </c>
      <c r="BB20" s="7" t="s">
        <v>348</v>
      </c>
    </row>
    <row r="21" spans="1:54" ht="297" x14ac:dyDescent="0.25">
      <c r="A21" s="137" t="s">
        <v>299</v>
      </c>
      <c r="B21" s="137" t="s">
        <v>299</v>
      </c>
      <c r="C21" s="137" t="s">
        <v>299</v>
      </c>
      <c r="D21" s="137" t="s">
        <v>349</v>
      </c>
      <c r="E21" s="138" t="s">
        <v>350</v>
      </c>
      <c r="F21" s="139" t="s">
        <v>302</v>
      </c>
      <c r="G21" s="140">
        <v>1</v>
      </c>
      <c r="H21" s="139"/>
      <c r="I21" s="141"/>
      <c r="J21" s="142"/>
      <c r="K21" s="143"/>
      <c r="L21" s="144"/>
      <c r="M21" s="142"/>
      <c r="N21" s="145"/>
      <c r="O21" s="145"/>
      <c r="P21" s="145"/>
      <c r="Q21" s="146" t="s">
        <v>303</v>
      </c>
      <c r="R21" s="147" t="s">
        <v>303</v>
      </c>
      <c r="S21" s="147" t="s">
        <v>303</v>
      </c>
      <c r="T21" s="147" t="s">
        <v>303</v>
      </c>
      <c r="U21" s="147" t="s">
        <v>303</v>
      </c>
      <c r="V21" s="148" t="s">
        <v>299</v>
      </c>
      <c r="W21" s="149" t="s">
        <v>299</v>
      </c>
      <c r="X21" s="150" t="s">
        <v>299</v>
      </c>
      <c r="Y21" s="151" t="s">
        <v>299</v>
      </c>
      <c r="Z21" s="152" t="s">
        <v>304</v>
      </c>
      <c r="AA21" s="153" t="s">
        <v>299</v>
      </c>
      <c r="AB21" s="153" t="s">
        <v>299</v>
      </c>
      <c r="AC21" s="153" t="s">
        <v>299</v>
      </c>
      <c r="AD21" s="154" t="s">
        <v>299</v>
      </c>
      <c r="AE21" s="155" t="s">
        <v>299</v>
      </c>
      <c r="AF21" s="155">
        <f t="shared" ref="AF21:AF26" si="23">AH21/1.19</f>
        <v>3265566.3865546221</v>
      </c>
      <c r="AG21" s="155">
        <f t="shared" ref="AG21:AG26" si="24">AF21*19%</f>
        <v>620457.61344537826</v>
      </c>
      <c r="AH21" s="155">
        <v>3886024</v>
      </c>
      <c r="AI21" s="156" t="s">
        <v>299</v>
      </c>
      <c r="AJ21" s="157" t="s">
        <v>299</v>
      </c>
      <c r="AK21" s="158" t="s">
        <v>299</v>
      </c>
      <c r="AL21" s="159" t="s">
        <v>299</v>
      </c>
      <c r="AM21" s="160" t="s">
        <v>305</v>
      </c>
      <c r="AN21" s="161" t="s">
        <v>299</v>
      </c>
      <c r="AO21" s="161" t="s">
        <v>299</v>
      </c>
      <c r="AP21" s="162" t="s">
        <v>299</v>
      </c>
      <c r="AQ21" s="163">
        <v>3155435</v>
      </c>
      <c r="AR21" s="164">
        <v>599533</v>
      </c>
      <c r="AS21" s="164">
        <v>3754968</v>
      </c>
      <c r="AT21" s="164">
        <v>3155435</v>
      </c>
      <c r="AU21" s="164">
        <v>3754968</v>
      </c>
      <c r="AV21" s="165">
        <f t="shared" si="15"/>
        <v>3510267</v>
      </c>
      <c r="AW21" s="165">
        <f t="shared" si="16"/>
        <v>3510267</v>
      </c>
      <c r="AX21" s="165" t="str">
        <f t="shared" si="17"/>
        <v/>
      </c>
      <c r="AY21" s="166">
        <v>2.4299999999999999E-2</v>
      </c>
      <c r="AZ21" s="5"/>
      <c r="BA21" s="7"/>
      <c r="BB21" s="7"/>
    </row>
    <row r="22" spans="1:54" ht="297" x14ac:dyDescent="0.25">
      <c r="A22" s="137" t="s">
        <v>299</v>
      </c>
      <c r="B22" s="137" t="s">
        <v>299</v>
      </c>
      <c r="C22" s="137" t="s">
        <v>299</v>
      </c>
      <c r="D22" s="137" t="s">
        <v>351</v>
      </c>
      <c r="E22" s="138" t="s">
        <v>352</v>
      </c>
      <c r="F22" s="139" t="s">
        <v>302</v>
      </c>
      <c r="G22" s="140">
        <v>1</v>
      </c>
      <c r="H22" s="139"/>
      <c r="I22" s="141"/>
      <c r="J22" s="142"/>
      <c r="K22" s="143"/>
      <c r="L22" s="144"/>
      <c r="M22" s="142"/>
      <c r="N22" s="145"/>
      <c r="O22" s="145"/>
      <c r="P22" s="145"/>
      <c r="Q22" s="146" t="s">
        <v>303</v>
      </c>
      <c r="R22" s="147" t="s">
        <v>303</v>
      </c>
      <c r="S22" s="147" t="s">
        <v>303</v>
      </c>
      <c r="T22" s="147" t="s">
        <v>303</v>
      </c>
      <c r="U22" s="147" t="s">
        <v>303</v>
      </c>
      <c r="V22" s="148" t="s">
        <v>299</v>
      </c>
      <c r="W22" s="149" t="s">
        <v>299</v>
      </c>
      <c r="X22" s="150" t="s">
        <v>299</v>
      </c>
      <c r="Y22" s="151" t="s">
        <v>299</v>
      </c>
      <c r="Z22" s="152" t="s">
        <v>304</v>
      </c>
      <c r="AA22" s="153" t="s">
        <v>299</v>
      </c>
      <c r="AB22" s="153" t="s">
        <v>299</v>
      </c>
      <c r="AC22" s="153" t="s">
        <v>299</v>
      </c>
      <c r="AD22" s="154" t="s">
        <v>299</v>
      </c>
      <c r="AE22" s="155" t="s">
        <v>299</v>
      </c>
      <c r="AF22" s="155">
        <f t="shared" si="23"/>
        <v>397642.01680672274</v>
      </c>
      <c r="AG22" s="155">
        <f t="shared" si="24"/>
        <v>75551.983193277323</v>
      </c>
      <c r="AH22" s="155">
        <v>473194</v>
      </c>
      <c r="AI22" s="156" t="s">
        <v>299</v>
      </c>
      <c r="AJ22" s="157" t="s">
        <v>299</v>
      </c>
      <c r="AK22" s="158" t="s">
        <v>299</v>
      </c>
      <c r="AL22" s="159" t="s">
        <v>299</v>
      </c>
      <c r="AM22" s="160" t="s">
        <v>305</v>
      </c>
      <c r="AN22" s="161" t="s">
        <v>299</v>
      </c>
      <c r="AO22" s="161" t="s">
        <v>299</v>
      </c>
      <c r="AP22" s="162" t="s">
        <v>299</v>
      </c>
      <c r="AQ22" s="163">
        <v>395532</v>
      </c>
      <c r="AR22" s="164">
        <v>75151</v>
      </c>
      <c r="AS22" s="164">
        <v>470684</v>
      </c>
      <c r="AT22" s="164">
        <v>395532</v>
      </c>
      <c r="AU22" s="164">
        <v>470684</v>
      </c>
      <c r="AV22" s="165">
        <f t="shared" si="15"/>
        <v>434163</v>
      </c>
      <c r="AW22" s="165">
        <f t="shared" si="16"/>
        <v>434163</v>
      </c>
      <c r="AX22" s="165" t="str">
        <f t="shared" si="17"/>
        <v/>
      </c>
      <c r="AY22" s="166">
        <v>3.8E-3</v>
      </c>
      <c r="AZ22" s="5"/>
      <c r="BA22" s="7"/>
      <c r="BB22" s="7"/>
    </row>
    <row r="23" spans="1:54" ht="297" x14ac:dyDescent="0.25">
      <c r="A23" s="137" t="s">
        <v>299</v>
      </c>
      <c r="B23" s="137" t="s">
        <v>299</v>
      </c>
      <c r="C23" s="137" t="s">
        <v>299</v>
      </c>
      <c r="D23" s="137" t="s">
        <v>353</v>
      </c>
      <c r="E23" s="138" t="s">
        <v>354</v>
      </c>
      <c r="F23" s="139" t="s">
        <v>302</v>
      </c>
      <c r="G23" s="140">
        <v>1</v>
      </c>
      <c r="H23" s="139"/>
      <c r="I23" s="141"/>
      <c r="J23" s="142"/>
      <c r="K23" s="143"/>
      <c r="L23" s="144"/>
      <c r="M23" s="142"/>
      <c r="N23" s="145"/>
      <c r="O23" s="145"/>
      <c r="P23" s="145"/>
      <c r="Q23" s="146" t="s">
        <v>303</v>
      </c>
      <c r="R23" s="147" t="s">
        <v>303</v>
      </c>
      <c r="S23" s="147" t="s">
        <v>303</v>
      </c>
      <c r="T23" s="147" t="s">
        <v>303</v>
      </c>
      <c r="U23" s="147" t="s">
        <v>303</v>
      </c>
      <c r="V23" s="148" t="s">
        <v>299</v>
      </c>
      <c r="W23" s="149" t="s">
        <v>299</v>
      </c>
      <c r="X23" s="150" t="s">
        <v>299</v>
      </c>
      <c r="Y23" s="151" t="s">
        <v>299</v>
      </c>
      <c r="Z23" s="152" t="s">
        <v>304</v>
      </c>
      <c r="AA23" s="153" t="s">
        <v>299</v>
      </c>
      <c r="AB23" s="153" t="s">
        <v>299</v>
      </c>
      <c r="AC23" s="153" t="s">
        <v>299</v>
      </c>
      <c r="AD23" s="154" t="s">
        <v>299</v>
      </c>
      <c r="AE23" s="155" t="s">
        <v>299</v>
      </c>
      <c r="AF23" s="155">
        <f t="shared" si="23"/>
        <v>222680.67226890757</v>
      </c>
      <c r="AG23" s="155">
        <f t="shared" si="24"/>
        <v>42309.327731092439</v>
      </c>
      <c r="AH23" s="155">
        <v>264990</v>
      </c>
      <c r="AI23" s="156" t="s">
        <v>299</v>
      </c>
      <c r="AJ23" s="157" t="s">
        <v>299</v>
      </c>
      <c r="AK23" s="158" t="s">
        <v>299</v>
      </c>
      <c r="AL23" s="159" t="s">
        <v>299</v>
      </c>
      <c r="AM23" s="160" t="s">
        <v>305</v>
      </c>
      <c r="AN23" s="161" t="s">
        <v>299</v>
      </c>
      <c r="AO23" s="161" t="s">
        <v>299</v>
      </c>
      <c r="AP23" s="162" t="s">
        <v>299</v>
      </c>
      <c r="AQ23" s="163">
        <v>221500</v>
      </c>
      <c r="AR23" s="164">
        <v>42085</v>
      </c>
      <c r="AS23" s="164">
        <v>263585</v>
      </c>
      <c r="AT23" s="164">
        <v>221500</v>
      </c>
      <c r="AU23" s="164">
        <v>263585</v>
      </c>
      <c r="AV23" s="165">
        <f t="shared" si="15"/>
        <v>243133</v>
      </c>
      <c r="AW23" s="165">
        <f t="shared" si="16"/>
        <v>243133</v>
      </c>
      <c r="AX23" s="165" t="str">
        <f t="shared" si="17"/>
        <v/>
      </c>
      <c r="AY23" s="166">
        <v>3.8E-3</v>
      </c>
      <c r="AZ23" s="5"/>
      <c r="BA23" s="7"/>
      <c r="BB23" s="7"/>
    </row>
    <row r="24" spans="1:54" ht="297" x14ac:dyDescent="0.25">
      <c r="A24" s="137" t="s">
        <v>299</v>
      </c>
      <c r="B24" s="137" t="s">
        <v>299</v>
      </c>
      <c r="C24" s="137" t="s">
        <v>299</v>
      </c>
      <c r="D24" s="137" t="s">
        <v>355</v>
      </c>
      <c r="E24" s="138" t="s">
        <v>356</v>
      </c>
      <c r="F24" s="139" t="s">
        <v>302</v>
      </c>
      <c r="G24" s="140">
        <v>1</v>
      </c>
      <c r="H24" s="139"/>
      <c r="I24" s="141"/>
      <c r="J24" s="142"/>
      <c r="K24" s="143"/>
      <c r="L24" s="144"/>
      <c r="M24" s="142"/>
      <c r="N24" s="145"/>
      <c r="O24" s="145"/>
      <c r="P24" s="145"/>
      <c r="Q24" s="146" t="s">
        <v>303</v>
      </c>
      <c r="R24" s="147" t="s">
        <v>303</v>
      </c>
      <c r="S24" s="147" t="s">
        <v>303</v>
      </c>
      <c r="T24" s="147" t="s">
        <v>303</v>
      </c>
      <c r="U24" s="147" t="s">
        <v>303</v>
      </c>
      <c r="V24" s="148" t="s">
        <v>299</v>
      </c>
      <c r="W24" s="149" t="s">
        <v>299</v>
      </c>
      <c r="X24" s="150" t="s">
        <v>299</v>
      </c>
      <c r="Y24" s="151" t="s">
        <v>299</v>
      </c>
      <c r="Z24" s="152" t="s">
        <v>304</v>
      </c>
      <c r="AA24" s="153" t="s">
        <v>299</v>
      </c>
      <c r="AB24" s="153" t="s">
        <v>299</v>
      </c>
      <c r="AC24" s="153" t="s">
        <v>299</v>
      </c>
      <c r="AD24" s="154" t="s">
        <v>299</v>
      </c>
      <c r="AE24" s="155" t="s">
        <v>299</v>
      </c>
      <c r="AF24" s="155">
        <f t="shared" si="23"/>
        <v>1409391.5966386555</v>
      </c>
      <c r="AG24" s="155">
        <f t="shared" si="24"/>
        <v>267784.40336134454</v>
      </c>
      <c r="AH24" s="155">
        <v>1677176</v>
      </c>
      <c r="AI24" s="156" t="s">
        <v>299</v>
      </c>
      <c r="AJ24" s="157" t="s">
        <v>299</v>
      </c>
      <c r="AK24" s="158" t="s">
        <v>299</v>
      </c>
      <c r="AL24" s="159" t="s">
        <v>299</v>
      </c>
      <c r="AM24" s="160" t="s">
        <v>305</v>
      </c>
      <c r="AN24" s="161" t="s">
        <v>299</v>
      </c>
      <c r="AO24" s="161" t="s">
        <v>299</v>
      </c>
      <c r="AP24" s="162" t="s">
        <v>299</v>
      </c>
      <c r="AQ24" s="163">
        <v>1361860</v>
      </c>
      <c r="AR24" s="164">
        <v>258753</v>
      </c>
      <c r="AS24" s="164">
        <v>1620614</v>
      </c>
      <c r="AT24" s="164">
        <v>1361860</v>
      </c>
      <c r="AU24" s="164">
        <v>1620614</v>
      </c>
      <c r="AV24" s="165">
        <f t="shared" si="15"/>
        <v>1515003</v>
      </c>
      <c r="AW24" s="165">
        <f t="shared" si="16"/>
        <v>1515003</v>
      </c>
      <c r="AX24" s="165" t="str">
        <f t="shared" si="17"/>
        <v/>
      </c>
      <c r="AY24" s="166">
        <v>2.4299999999999999E-2</v>
      </c>
      <c r="AZ24" s="5"/>
      <c r="BA24" s="7"/>
      <c r="BB24" s="7"/>
    </row>
    <row r="25" spans="1:54" ht="297" x14ac:dyDescent="0.25">
      <c r="A25" s="137" t="s">
        <v>299</v>
      </c>
      <c r="B25" s="137" t="s">
        <v>299</v>
      </c>
      <c r="C25" s="137" t="s">
        <v>299</v>
      </c>
      <c r="D25" s="137" t="s">
        <v>357</v>
      </c>
      <c r="E25" s="138" t="s">
        <v>358</v>
      </c>
      <c r="F25" s="139" t="s">
        <v>302</v>
      </c>
      <c r="G25" s="140">
        <v>1</v>
      </c>
      <c r="H25" s="139"/>
      <c r="I25" s="141"/>
      <c r="J25" s="142"/>
      <c r="K25" s="143"/>
      <c r="L25" s="144"/>
      <c r="M25" s="142"/>
      <c r="N25" s="145"/>
      <c r="O25" s="145"/>
      <c r="P25" s="145"/>
      <c r="Q25" s="146" t="s">
        <v>303</v>
      </c>
      <c r="R25" s="147" t="s">
        <v>303</v>
      </c>
      <c r="S25" s="147" t="s">
        <v>303</v>
      </c>
      <c r="T25" s="147" t="s">
        <v>303</v>
      </c>
      <c r="U25" s="147" t="s">
        <v>303</v>
      </c>
      <c r="V25" s="148" t="s">
        <v>299</v>
      </c>
      <c r="W25" s="149" t="s">
        <v>299</v>
      </c>
      <c r="X25" s="150" t="s">
        <v>299</v>
      </c>
      <c r="Y25" s="151" t="s">
        <v>299</v>
      </c>
      <c r="Z25" s="152" t="s">
        <v>304</v>
      </c>
      <c r="AA25" s="153" t="s">
        <v>299</v>
      </c>
      <c r="AB25" s="153" t="s">
        <v>299</v>
      </c>
      <c r="AC25" s="153" t="s">
        <v>299</v>
      </c>
      <c r="AD25" s="154" t="s">
        <v>299</v>
      </c>
      <c r="AE25" s="155" t="s">
        <v>299</v>
      </c>
      <c r="AF25" s="155">
        <f t="shared" si="23"/>
        <v>331316.80672268907</v>
      </c>
      <c r="AG25" s="155">
        <f t="shared" si="24"/>
        <v>62950.193277310922</v>
      </c>
      <c r="AH25" s="155">
        <v>394267</v>
      </c>
      <c r="AI25" s="156" t="s">
        <v>299</v>
      </c>
      <c r="AJ25" s="157" t="s">
        <v>299</v>
      </c>
      <c r="AK25" s="158" t="s">
        <v>299</v>
      </c>
      <c r="AL25" s="159" t="s">
        <v>299</v>
      </c>
      <c r="AM25" s="160" t="s">
        <v>305</v>
      </c>
      <c r="AN25" s="161" t="s">
        <v>299</v>
      </c>
      <c r="AO25" s="161" t="s">
        <v>299</v>
      </c>
      <c r="AP25" s="162" t="s">
        <v>299</v>
      </c>
      <c r="AQ25" s="163">
        <v>326420</v>
      </c>
      <c r="AR25" s="164">
        <v>62020</v>
      </c>
      <c r="AS25" s="164">
        <v>388440</v>
      </c>
      <c r="AT25" s="164">
        <v>326420</v>
      </c>
      <c r="AU25" s="164">
        <v>388440</v>
      </c>
      <c r="AV25" s="165">
        <f t="shared" si="15"/>
        <v>359878</v>
      </c>
      <c r="AW25" s="165">
        <f t="shared" si="16"/>
        <v>359878</v>
      </c>
      <c r="AX25" s="165" t="str">
        <f t="shared" si="17"/>
        <v/>
      </c>
      <c r="AY25" s="166">
        <v>1.0500000000000001E-2</v>
      </c>
      <c r="AZ25" s="5"/>
      <c r="BA25" s="7"/>
      <c r="BB25" s="7"/>
    </row>
    <row r="26" spans="1:54" ht="297" x14ac:dyDescent="0.25">
      <c r="A26" s="137" t="s">
        <v>299</v>
      </c>
      <c r="B26" s="137" t="s">
        <v>299</v>
      </c>
      <c r="C26" s="137" t="s">
        <v>299</v>
      </c>
      <c r="D26" s="137" t="s">
        <v>359</v>
      </c>
      <c r="E26" s="138" t="s">
        <v>360</v>
      </c>
      <c r="F26" s="139" t="s">
        <v>302</v>
      </c>
      <c r="G26" s="140">
        <v>1</v>
      </c>
      <c r="H26" s="139"/>
      <c r="I26" s="141"/>
      <c r="J26" s="142"/>
      <c r="K26" s="143"/>
      <c r="L26" s="144"/>
      <c r="M26" s="142"/>
      <c r="N26" s="145"/>
      <c r="O26" s="145"/>
      <c r="P26" s="145"/>
      <c r="Q26" s="146" t="s">
        <v>303</v>
      </c>
      <c r="R26" s="147" t="s">
        <v>303</v>
      </c>
      <c r="S26" s="147" t="s">
        <v>303</v>
      </c>
      <c r="T26" s="147" t="s">
        <v>303</v>
      </c>
      <c r="U26" s="147" t="s">
        <v>303</v>
      </c>
      <c r="V26" s="148" t="s">
        <v>299</v>
      </c>
      <c r="W26" s="149" t="s">
        <v>299</v>
      </c>
      <c r="X26" s="150" t="s">
        <v>299</v>
      </c>
      <c r="Y26" s="151" t="s">
        <v>299</v>
      </c>
      <c r="Z26" s="152" t="s">
        <v>304</v>
      </c>
      <c r="AA26" s="153" t="s">
        <v>299</v>
      </c>
      <c r="AB26" s="153" t="s">
        <v>299</v>
      </c>
      <c r="AC26" s="153" t="s">
        <v>299</v>
      </c>
      <c r="AD26" s="154" t="s">
        <v>299</v>
      </c>
      <c r="AE26" s="155" t="s">
        <v>299</v>
      </c>
      <c r="AF26" s="155">
        <f t="shared" si="23"/>
        <v>385870.58823529416</v>
      </c>
      <c r="AG26" s="155">
        <f t="shared" si="24"/>
        <v>73315.411764705888</v>
      </c>
      <c r="AH26" s="155">
        <v>459186</v>
      </c>
      <c r="AI26" s="156" t="s">
        <v>299</v>
      </c>
      <c r="AJ26" s="157" t="s">
        <v>299</v>
      </c>
      <c r="AK26" s="158" t="s">
        <v>299</v>
      </c>
      <c r="AL26" s="159" t="s">
        <v>299</v>
      </c>
      <c r="AM26" s="160" t="s">
        <v>305</v>
      </c>
      <c r="AN26" s="161" t="s">
        <v>299</v>
      </c>
      <c r="AO26" s="161" t="s">
        <v>299</v>
      </c>
      <c r="AP26" s="162" t="s">
        <v>299</v>
      </c>
      <c r="AQ26" s="163">
        <v>380168</v>
      </c>
      <c r="AR26" s="164">
        <v>72232</v>
      </c>
      <c r="AS26" s="164">
        <v>452400</v>
      </c>
      <c r="AT26" s="164">
        <v>380168</v>
      </c>
      <c r="AU26" s="164">
        <v>452400</v>
      </c>
      <c r="AV26" s="165">
        <f t="shared" si="15"/>
        <v>419135</v>
      </c>
      <c r="AW26" s="165">
        <f t="shared" si="16"/>
        <v>419135</v>
      </c>
      <c r="AX26" s="165" t="str">
        <f t="shared" si="17"/>
        <v/>
      </c>
      <c r="AY26" s="166">
        <v>1.0500000000000001E-2</v>
      </c>
      <c r="AZ26" s="5"/>
      <c r="BA26" s="7"/>
      <c r="BB26" s="7"/>
    </row>
    <row r="27" spans="1:54" ht="54" x14ac:dyDescent="0.25">
      <c r="A27" s="137" t="s">
        <v>229</v>
      </c>
      <c r="B27" s="137" t="s">
        <v>288</v>
      </c>
      <c r="C27" s="137">
        <v>49121503</v>
      </c>
      <c r="D27" s="137" t="s">
        <v>361</v>
      </c>
      <c r="E27" s="138" t="s">
        <v>362</v>
      </c>
      <c r="F27" s="139" t="s">
        <v>233</v>
      </c>
      <c r="G27" s="140">
        <v>1</v>
      </c>
      <c r="H27" s="139" t="s">
        <v>335</v>
      </c>
      <c r="I27" s="141" t="s">
        <v>281</v>
      </c>
      <c r="J27" s="142">
        <v>46153</v>
      </c>
      <c r="K27" s="143" t="s">
        <v>363</v>
      </c>
      <c r="L27" s="144" t="s">
        <v>241</v>
      </c>
      <c r="M27" s="142" t="s">
        <v>364</v>
      </c>
      <c r="N27" s="145">
        <v>450000</v>
      </c>
      <c r="O27" s="145" t="s">
        <v>245</v>
      </c>
      <c r="P27" s="145" t="s">
        <v>239</v>
      </c>
      <c r="Q27" s="146">
        <f>IF(O27="IVA Incluido",(N27/1.19),N27)</f>
        <v>450000</v>
      </c>
      <c r="R27" s="147">
        <f>IF(P27="Si tiene IVA",Q27*19%,0)</f>
        <v>85500</v>
      </c>
      <c r="S27" s="147">
        <f>Q27+R27</f>
        <v>535500</v>
      </c>
      <c r="T27" s="147">
        <f>IF(B27="","",(N27*G27))</f>
        <v>450000</v>
      </c>
      <c r="U27" s="147">
        <f>IF(B27="","",(S27*G27))</f>
        <v>535500</v>
      </c>
      <c r="V27" s="148" t="s">
        <v>234</v>
      </c>
      <c r="W27" s="149">
        <v>46153</v>
      </c>
      <c r="X27" s="150" t="s">
        <v>324</v>
      </c>
      <c r="Y27" s="151" t="s">
        <v>236</v>
      </c>
      <c r="Z27" s="152" t="s">
        <v>325</v>
      </c>
      <c r="AA27" s="153">
        <v>304500</v>
      </c>
      <c r="AB27" s="153" t="s">
        <v>245</v>
      </c>
      <c r="AC27" s="153" t="s">
        <v>239</v>
      </c>
      <c r="AD27" s="154">
        <f>IF(AB27="IVA Incluido",(AA27/1.19),AA27)</f>
        <v>304500</v>
      </c>
      <c r="AE27" s="155">
        <f>IF(AC27="Si tiene IVA",AD27*19%,0)</f>
        <v>57855</v>
      </c>
      <c r="AF27" s="155">
        <f>AD27+AE27</f>
        <v>362355</v>
      </c>
      <c r="AG27" s="155">
        <f>IF(O27="","",(AA27*G27))</f>
        <v>304500</v>
      </c>
      <c r="AH27" s="155">
        <f>IF(O27="","",(AF27*G27))</f>
        <v>362355</v>
      </c>
      <c r="AI27" s="156" t="s">
        <v>365</v>
      </c>
      <c r="AJ27" s="157">
        <v>46135</v>
      </c>
      <c r="AK27" s="158" t="s">
        <v>366</v>
      </c>
      <c r="AL27" s="159" t="s">
        <v>236</v>
      </c>
      <c r="AM27" s="160" t="s">
        <v>367</v>
      </c>
      <c r="AN27" s="161">
        <v>315126</v>
      </c>
      <c r="AO27" s="161" t="s">
        <v>245</v>
      </c>
      <c r="AP27" s="162" t="s">
        <v>239</v>
      </c>
      <c r="AQ27" s="163">
        <f>IF(AO27="IVA Incluido",(AN27/1.19),AN27)</f>
        <v>315126</v>
      </c>
      <c r="AR27" s="164">
        <f>IF(AP27="Si tiene IVA",AQ27*19%,0)</f>
        <v>59873.94</v>
      </c>
      <c r="AS27" s="164">
        <f>AQ27+AR27</f>
        <v>374999.94</v>
      </c>
      <c r="AT27" s="164">
        <f>IF(AB27="","",(AN27*G27))</f>
        <v>315126</v>
      </c>
      <c r="AU27" s="164">
        <f>IF(AB27="","",(AS27*G27))</f>
        <v>374999.94</v>
      </c>
      <c r="AV27" s="165">
        <f t="shared" si="15"/>
        <v>424285</v>
      </c>
      <c r="AW27" s="165">
        <f t="shared" si="16"/>
        <v>424285</v>
      </c>
      <c r="AX27" s="165">
        <f t="shared" si="17"/>
        <v>96522</v>
      </c>
      <c r="AY27" s="166">
        <f>IF(N27="","",(AX27/AW27))</f>
        <v>0.22749331227830349</v>
      </c>
      <c r="AZ27" s="5"/>
      <c r="BA27" s="7">
        <f>COUNTA(M27,Z27,AM27)</f>
        <v>3</v>
      </c>
      <c r="BB27" s="7"/>
    </row>
    <row r="28" spans="1:54" ht="297" x14ac:dyDescent="0.25">
      <c r="A28" s="137" t="s">
        <v>299</v>
      </c>
      <c r="B28" s="137" t="s">
        <v>299</v>
      </c>
      <c r="C28" s="137" t="s">
        <v>299</v>
      </c>
      <c r="D28" s="137" t="s">
        <v>368</v>
      </c>
      <c r="E28" s="138" t="s">
        <v>369</v>
      </c>
      <c r="F28" s="139" t="s">
        <v>302</v>
      </c>
      <c r="G28" s="140">
        <v>1</v>
      </c>
      <c r="H28" s="139"/>
      <c r="I28" s="141"/>
      <c r="J28" s="142"/>
      <c r="K28" s="143"/>
      <c r="L28" s="144"/>
      <c r="M28" s="142"/>
      <c r="N28" s="145"/>
      <c r="O28" s="145"/>
      <c r="P28" s="145"/>
      <c r="Q28" s="146" t="s">
        <v>303</v>
      </c>
      <c r="R28" s="147" t="s">
        <v>303</v>
      </c>
      <c r="S28" s="147" t="s">
        <v>303</v>
      </c>
      <c r="T28" s="147" t="s">
        <v>303</v>
      </c>
      <c r="U28" s="147" t="s">
        <v>303</v>
      </c>
      <c r="V28" s="148" t="s">
        <v>299</v>
      </c>
      <c r="W28" s="149" t="s">
        <v>299</v>
      </c>
      <c r="X28" s="150" t="s">
        <v>299</v>
      </c>
      <c r="Y28" s="151" t="s">
        <v>299</v>
      </c>
      <c r="Z28" s="152" t="s">
        <v>304</v>
      </c>
      <c r="AA28" s="153" t="s">
        <v>299</v>
      </c>
      <c r="AB28" s="153" t="s">
        <v>299</v>
      </c>
      <c r="AC28" s="153" t="s">
        <v>299</v>
      </c>
      <c r="AD28" s="154" t="s">
        <v>299</v>
      </c>
      <c r="AE28" s="155" t="s">
        <v>299</v>
      </c>
      <c r="AF28" s="155">
        <f>AH28/1.19</f>
        <v>2494852.9411764708</v>
      </c>
      <c r="AG28" s="155">
        <f>AF28*19%</f>
        <v>474022.05882352946</v>
      </c>
      <c r="AH28" s="155">
        <v>2968875</v>
      </c>
      <c r="AI28" s="156" t="s">
        <v>299</v>
      </c>
      <c r="AJ28" s="157" t="s">
        <v>299</v>
      </c>
      <c r="AK28" s="158" t="s">
        <v>299</v>
      </c>
      <c r="AL28" s="159" t="s">
        <v>299</v>
      </c>
      <c r="AM28" s="160" t="s">
        <v>305</v>
      </c>
      <c r="AN28" s="161" t="s">
        <v>299</v>
      </c>
      <c r="AO28" s="161" t="s">
        <v>299</v>
      </c>
      <c r="AP28" s="162" t="s">
        <v>299</v>
      </c>
      <c r="AQ28" s="163">
        <v>2457983</v>
      </c>
      <c r="AR28" s="164">
        <v>467017</v>
      </c>
      <c r="AS28" s="164">
        <v>2925000</v>
      </c>
      <c r="AT28" s="164">
        <v>2457983</v>
      </c>
      <c r="AU28" s="164">
        <v>2925000</v>
      </c>
      <c r="AV28" s="165">
        <f t="shared" si="15"/>
        <v>2709926</v>
      </c>
      <c r="AW28" s="165">
        <f t="shared" si="16"/>
        <v>2709926</v>
      </c>
      <c r="AX28" s="165" t="str">
        <f t="shared" si="17"/>
        <v/>
      </c>
      <c r="AY28" s="166">
        <v>1.0500000000000001E-2</v>
      </c>
      <c r="AZ28" s="5"/>
      <c r="BA28" s="7"/>
      <c r="BB28" s="7"/>
    </row>
    <row r="29" spans="1:54" ht="297" x14ac:dyDescent="0.25">
      <c r="A29" s="137" t="s">
        <v>299</v>
      </c>
      <c r="B29" s="137" t="s">
        <v>299</v>
      </c>
      <c r="C29" s="137" t="s">
        <v>299</v>
      </c>
      <c r="D29" s="137" t="s">
        <v>370</v>
      </c>
      <c r="E29" s="138" t="s">
        <v>371</v>
      </c>
      <c r="F29" s="139" t="s">
        <v>302</v>
      </c>
      <c r="G29" s="140">
        <v>1</v>
      </c>
      <c r="H29" s="139"/>
      <c r="I29" s="141"/>
      <c r="J29" s="142"/>
      <c r="K29" s="143"/>
      <c r="L29" s="144"/>
      <c r="M29" s="142"/>
      <c r="N29" s="145"/>
      <c r="O29" s="145"/>
      <c r="P29" s="145"/>
      <c r="Q29" s="146" t="s">
        <v>303</v>
      </c>
      <c r="R29" s="147" t="s">
        <v>303</v>
      </c>
      <c r="S29" s="147" t="s">
        <v>303</v>
      </c>
      <c r="T29" s="147" t="s">
        <v>303</v>
      </c>
      <c r="U29" s="147" t="s">
        <v>303</v>
      </c>
      <c r="V29" s="148" t="s">
        <v>299</v>
      </c>
      <c r="W29" s="149" t="s">
        <v>299</v>
      </c>
      <c r="X29" s="150" t="s">
        <v>299</v>
      </c>
      <c r="Y29" s="151" t="s">
        <v>299</v>
      </c>
      <c r="Z29" s="152" t="s">
        <v>304</v>
      </c>
      <c r="AA29" s="153" t="s">
        <v>299</v>
      </c>
      <c r="AB29" s="153" t="s">
        <v>299</v>
      </c>
      <c r="AC29" s="153" t="s">
        <v>299</v>
      </c>
      <c r="AD29" s="154" t="s">
        <v>299</v>
      </c>
      <c r="AE29" s="155" t="s">
        <v>299</v>
      </c>
      <c r="AF29" s="155">
        <f>AH29/1.19</f>
        <v>450182.3529411765</v>
      </c>
      <c r="AG29" s="155">
        <f>AF29*19%</f>
        <v>85534.647058823539</v>
      </c>
      <c r="AH29" s="155">
        <v>535717</v>
      </c>
      <c r="AI29" s="156" t="s">
        <v>299</v>
      </c>
      <c r="AJ29" s="157" t="s">
        <v>299</v>
      </c>
      <c r="AK29" s="158" t="s">
        <v>299</v>
      </c>
      <c r="AL29" s="159" t="s">
        <v>299</v>
      </c>
      <c r="AM29" s="160" t="s">
        <v>305</v>
      </c>
      <c r="AN29" s="161" t="s">
        <v>299</v>
      </c>
      <c r="AO29" s="161" t="s">
        <v>299</v>
      </c>
      <c r="AP29" s="162" t="s">
        <v>299</v>
      </c>
      <c r="AQ29" s="163">
        <v>443529</v>
      </c>
      <c r="AR29" s="164">
        <v>84271</v>
      </c>
      <c r="AS29" s="164">
        <v>527800</v>
      </c>
      <c r="AT29" s="164">
        <v>443529</v>
      </c>
      <c r="AU29" s="164">
        <v>527800</v>
      </c>
      <c r="AV29" s="165">
        <f t="shared" si="15"/>
        <v>488991</v>
      </c>
      <c r="AW29" s="165">
        <f t="shared" si="16"/>
        <v>488991</v>
      </c>
      <c r="AX29" s="165" t="str">
        <f t="shared" si="17"/>
        <v/>
      </c>
      <c r="AY29" s="166">
        <v>1.0500000000000001E-2</v>
      </c>
      <c r="AZ29" s="5"/>
      <c r="BA29" s="7"/>
      <c r="BB29" s="7"/>
    </row>
    <row r="30" spans="1:54" ht="54" x14ac:dyDescent="0.25">
      <c r="A30" s="137" t="s">
        <v>299</v>
      </c>
      <c r="B30" s="137" t="s">
        <v>299</v>
      </c>
      <c r="C30" s="137" t="s">
        <v>299</v>
      </c>
      <c r="D30" s="137" t="s">
        <v>372</v>
      </c>
      <c r="E30" s="138" t="s">
        <v>373</v>
      </c>
      <c r="F30" s="139" t="s">
        <v>302</v>
      </c>
      <c r="G30" s="140">
        <v>1</v>
      </c>
      <c r="H30" s="139"/>
      <c r="I30" s="141" t="s">
        <v>299</v>
      </c>
      <c r="J30" s="142" t="s">
        <v>299</v>
      </c>
      <c r="K30" s="143" t="s">
        <v>299</v>
      </c>
      <c r="L30" s="144" t="s">
        <v>299</v>
      </c>
      <c r="M30" s="167" t="s">
        <v>374</v>
      </c>
      <c r="N30" s="145"/>
      <c r="O30" s="145"/>
      <c r="P30" s="145"/>
      <c r="Q30" s="146">
        <f>5280/1.19</f>
        <v>4436.9747899159665</v>
      </c>
      <c r="R30" s="147">
        <f>Q30*19%</f>
        <v>843.02521008403369</v>
      </c>
      <c r="S30" s="147">
        <v>5280</v>
      </c>
      <c r="T30" s="147">
        <v>4437</v>
      </c>
      <c r="U30" s="147">
        <v>5280</v>
      </c>
      <c r="V30" s="148" t="s">
        <v>299</v>
      </c>
      <c r="W30" s="149" t="s">
        <v>299</v>
      </c>
      <c r="X30" s="150" t="s">
        <v>299</v>
      </c>
      <c r="Y30" s="151" t="s">
        <v>299</v>
      </c>
      <c r="Z30" s="152" t="s">
        <v>305</v>
      </c>
      <c r="AA30" s="153" t="s">
        <v>299</v>
      </c>
      <c r="AB30" s="153" t="s">
        <v>299</v>
      </c>
      <c r="AC30" s="153" t="s">
        <v>299</v>
      </c>
      <c r="AD30" s="154">
        <v>4198.8900000000003</v>
      </c>
      <c r="AE30" s="155">
        <f>AD30*19%</f>
        <v>797.78910000000008</v>
      </c>
      <c r="AF30" s="155">
        <f>AD30+AE30</f>
        <v>4996.6791000000003</v>
      </c>
      <c r="AG30" s="155">
        <f>AD30</f>
        <v>4198.8900000000003</v>
      </c>
      <c r="AH30" s="155">
        <f>AF30</f>
        <v>4996.6791000000003</v>
      </c>
      <c r="AI30" s="156" t="s">
        <v>299</v>
      </c>
      <c r="AJ30" s="157" t="s">
        <v>299</v>
      </c>
      <c r="AK30" s="158" t="s">
        <v>299</v>
      </c>
      <c r="AL30" s="159" t="s">
        <v>299</v>
      </c>
      <c r="AM30" s="160" t="s">
        <v>367</v>
      </c>
      <c r="AN30" s="161" t="s">
        <v>299</v>
      </c>
      <c r="AO30" s="161" t="s">
        <v>299</v>
      </c>
      <c r="AP30" s="162" t="s">
        <v>299</v>
      </c>
      <c r="AQ30" s="163">
        <v>4033.61</v>
      </c>
      <c r="AR30" s="164">
        <v>766.39</v>
      </c>
      <c r="AS30" s="164">
        <v>4800</v>
      </c>
      <c r="AT30" s="164">
        <v>4034</v>
      </c>
      <c r="AU30" s="164">
        <v>4800</v>
      </c>
      <c r="AV30" s="165">
        <f t="shared" si="15"/>
        <v>5026</v>
      </c>
      <c r="AW30" s="165">
        <f t="shared" si="16"/>
        <v>5026</v>
      </c>
      <c r="AX30" s="165" t="str">
        <f t="shared" si="17"/>
        <v/>
      </c>
      <c r="AY30" s="166" t="e">
        <f>IF(C30="","",(AX30/AW30))</f>
        <v>#VALUE!</v>
      </c>
      <c r="AZ30" s="5"/>
      <c r="BA30" s="7"/>
      <c r="BB30" s="7"/>
    </row>
    <row r="31" spans="1:54" ht="297" x14ac:dyDescent="0.25">
      <c r="A31" s="137" t="s">
        <v>299</v>
      </c>
      <c r="B31" s="137" t="s">
        <v>299</v>
      </c>
      <c r="C31" s="137" t="s">
        <v>299</v>
      </c>
      <c r="D31" s="137" t="s">
        <v>375</v>
      </c>
      <c r="E31" s="138" t="s">
        <v>376</v>
      </c>
      <c r="F31" s="139" t="s">
        <v>302</v>
      </c>
      <c r="G31" s="140">
        <v>1</v>
      </c>
      <c r="H31" s="139"/>
      <c r="I31" s="141"/>
      <c r="J31" s="142"/>
      <c r="K31" s="143"/>
      <c r="L31" s="144"/>
      <c r="M31" s="142"/>
      <c r="N31" s="145"/>
      <c r="O31" s="145"/>
      <c r="P31" s="145"/>
      <c r="Q31" s="146" t="s">
        <v>303</v>
      </c>
      <c r="R31" s="147" t="s">
        <v>303</v>
      </c>
      <c r="S31" s="147" t="s">
        <v>303</v>
      </c>
      <c r="T31" s="147" t="s">
        <v>303</v>
      </c>
      <c r="U31" s="147" t="s">
        <v>303</v>
      </c>
      <c r="V31" s="148" t="s">
        <v>299</v>
      </c>
      <c r="W31" s="149" t="s">
        <v>299</v>
      </c>
      <c r="X31" s="150" t="s">
        <v>299</v>
      </c>
      <c r="Y31" s="151" t="s">
        <v>299</v>
      </c>
      <c r="Z31" s="152" t="s">
        <v>304</v>
      </c>
      <c r="AA31" s="153" t="s">
        <v>299</v>
      </c>
      <c r="AB31" s="153" t="s">
        <v>299</v>
      </c>
      <c r="AC31" s="153" t="s">
        <v>299</v>
      </c>
      <c r="AD31" s="154" t="s">
        <v>299</v>
      </c>
      <c r="AE31" s="155" t="s">
        <v>299</v>
      </c>
      <c r="AF31" s="155">
        <f t="shared" ref="AF31:AF45" si="25">AH31/1.19</f>
        <v>22338.655462184874</v>
      </c>
      <c r="AG31" s="155">
        <f t="shared" ref="AG31:AG45" si="26">AF31*19%</f>
        <v>4244.3445378151264</v>
      </c>
      <c r="AH31" s="155">
        <v>26583</v>
      </c>
      <c r="AI31" s="156" t="s">
        <v>299</v>
      </c>
      <c r="AJ31" s="157" t="s">
        <v>299</v>
      </c>
      <c r="AK31" s="158" t="s">
        <v>299</v>
      </c>
      <c r="AL31" s="159" t="s">
        <v>299</v>
      </c>
      <c r="AM31" s="160" t="s">
        <v>305</v>
      </c>
      <c r="AN31" s="161" t="s">
        <v>299</v>
      </c>
      <c r="AO31" s="161" t="s">
        <v>299</v>
      </c>
      <c r="AP31" s="162" t="s">
        <v>299</v>
      </c>
      <c r="AQ31" s="163">
        <v>22009</v>
      </c>
      <c r="AR31" s="164">
        <v>4182</v>
      </c>
      <c r="AS31" s="164">
        <v>26191</v>
      </c>
      <c r="AT31" s="164">
        <v>22009</v>
      </c>
      <c r="AU31" s="164">
        <v>26191</v>
      </c>
      <c r="AV31" s="165">
        <f t="shared" si="15"/>
        <v>24265</v>
      </c>
      <c r="AW31" s="165">
        <f t="shared" si="16"/>
        <v>24265</v>
      </c>
      <c r="AX31" s="165" t="str">
        <f t="shared" si="17"/>
        <v/>
      </c>
      <c r="AY31" s="166">
        <v>1.0500000000000001E-2</v>
      </c>
      <c r="AZ31" s="5"/>
      <c r="BA31" s="7"/>
      <c r="BB31" s="7"/>
    </row>
    <row r="32" spans="1:54" ht="297" x14ac:dyDescent="0.25">
      <c r="A32" s="137" t="s">
        <v>299</v>
      </c>
      <c r="B32" s="137" t="s">
        <v>299</v>
      </c>
      <c r="C32" s="137" t="s">
        <v>299</v>
      </c>
      <c r="D32" s="137" t="s">
        <v>377</v>
      </c>
      <c r="E32" s="138" t="s">
        <v>378</v>
      </c>
      <c r="F32" s="139" t="s">
        <v>302</v>
      </c>
      <c r="G32" s="140">
        <v>1</v>
      </c>
      <c r="H32" s="139"/>
      <c r="I32" s="141"/>
      <c r="J32" s="142"/>
      <c r="K32" s="143"/>
      <c r="L32" s="144"/>
      <c r="M32" s="142"/>
      <c r="N32" s="145"/>
      <c r="O32" s="145"/>
      <c r="P32" s="145"/>
      <c r="Q32" s="146" t="s">
        <v>303</v>
      </c>
      <c r="R32" s="147" t="s">
        <v>303</v>
      </c>
      <c r="S32" s="147" t="s">
        <v>303</v>
      </c>
      <c r="T32" s="147" t="s">
        <v>303</v>
      </c>
      <c r="U32" s="147" t="s">
        <v>303</v>
      </c>
      <c r="V32" s="148" t="s">
        <v>299</v>
      </c>
      <c r="W32" s="149" t="s">
        <v>299</v>
      </c>
      <c r="X32" s="150" t="s">
        <v>299</v>
      </c>
      <c r="Y32" s="151" t="s">
        <v>299</v>
      </c>
      <c r="Z32" s="152" t="s">
        <v>304</v>
      </c>
      <c r="AA32" s="153" t="s">
        <v>299</v>
      </c>
      <c r="AB32" s="153" t="s">
        <v>299</v>
      </c>
      <c r="AC32" s="153" t="s">
        <v>299</v>
      </c>
      <c r="AD32" s="154" t="s">
        <v>299</v>
      </c>
      <c r="AE32" s="155" t="s">
        <v>299</v>
      </c>
      <c r="AF32" s="155">
        <f t="shared" si="25"/>
        <v>2252537.8151260507</v>
      </c>
      <c r="AG32" s="155">
        <f t="shared" si="26"/>
        <v>427982.18487394962</v>
      </c>
      <c r="AH32" s="155">
        <v>2680520</v>
      </c>
      <c r="AI32" s="156" t="s">
        <v>299</v>
      </c>
      <c r="AJ32" s="157" t="s">
        <v>299</v>
      </c>
      <c r="AK32" s="158" t="s">
        <v>299</v>
      </c>
      <c r="AL32" s="159" t="s">
        <v>299</v>
      </c>
      <c r="AM32" s="160" t="s">
        <v>305</v>
      </c>
      <c r="AN32" s="161" t="s">
        <v>299</v>
      </c>
      <c r="AO32" s="161" t="s">
        <v>299</v>
      </c>
      <c r="AP32" s="162" t="s">
        <v>299</v>
      </c>
      <c r="AQ32" s="163">
        <v>2240588</v>
      </c>
      <c r="AR32" s="164">
        <v>425712</v>
      </c>
      <c r="AS32" s="164">
        <v>2666300</v>
      </c>
      <c r="AT32" s="164">
        <v>2240588</v>
      </c>
      <c r="AU32" s="164">
        <v>2666300</v>
      </c>
      <c r="AV32" s="165">
        <f t="shared" si="15"/>
        <v>2459419</v>
      </c>
      <c r="AW32" s="165">
        <f t="shared" si="16"/>
        <v>2459419</v>
      </c>
      <c r="AX32" s="165" t="str">
        <f t="shared" si="17"/>
        <v/>
      </c>
      <c r="AY32" s="166">
        <v>3.8E-3</v>
      </c>
      <c r="AZ32" s="5"/>
      <c r="BA32" s="7"/>
      <c r="BB32" s="7"/>
    </row>
    <row r="33" spans="1:54" ht="297" x14ac:dyDescent="0.25">
      <c r="A33" s="137" t="s">
        <v>299</v>
      </c>
      <c r="B33" s="137" t="s">
        <v>299</v>
      </c>
      <c r="C33" s="137" t="s">
        <v>299</v>
      </c>
      <c r="D33" s="137" t="s">
        <v>379</v>
      </c>
      <c r="E33" s="138" t="s">
        <v>380</v>
      </c>
      <c r="F33" s="139" t="s">
        <v>302</v>
      </c>
      <c r="G33" s="140">
        <v>1</v>
      </c>
      <c r="H33" s="139"/>
      <c r="I33" s="141"/>
      <c r="J33" s="142"/>
      <c r="K33" s="143"/>
      <c r="L33" s="144"/>
      <c r="M33" s="142"/>
      <c r="N33" s="145"/>
      <c r="O33" s="145"/>
      <c r="P33" s="145"/>
      <c r="Q33" s="146" t="s">
        <v>303</v>
      </c>
      <c r="R33" s="147" t="s">
        <v>303</v>
      </c>
      <c r="S33" s="147" t="s">
        <v>303</v>
      </c>
      <c r="T33" s="147" t="s">
        <v>303</v>
      </c>
      <c r="U33" s="147" t="s">
        <v>303</v>
      </c>
      <c r="V33" s="148" t="s">
        <v>299</v>
      </c>
      <c r="W33" s="149" t="s">
        <v>299</v>
      </c>
      <c r="X33" s="150" t="s">
        <v>299</v>
      </c>
      <c r="Y33" s="151" t="s">
        <v>299</v>
      </c>
      <c r="Z33" s="152" t="s">
        <v>304</v>
      </c>
      <c r="AA33" s="153" t="s">
        <v>299</v>
      </c>
      <c r="AB33" s="153" t="s">
        <v>299</v>
      </c>
      <c r="AC33" s="153" t="s">
        <v>299</v>
      </c>
      <c r="AD33" s="154" t="s">
        <v>299</v>
      </c>
      <c r="AE33" s="155" t="s">
        <v>299</v>
      </c>
      <c r="AF33" s="155">
        <f t="shared" si="25"/>
        <v>111281.51260504202</v>
      </c>
      <c r="AG33" s="155">
        <f t="shared" si="26"/>
        <v>21143.487394957985</v>
      </c>
      <c r="AH33" s="155">
        <v>132425</v>
      </c>
      <c r="AI33" s="156" t="s">
        <v>299</v>
      </c>
      <c r="AJ33" s="157" t="s">
        <v>299</v>
      </c>
      <c r="AK33" s="158" t="s">
        <v>299</v>
      </c>
      <c r="AL33" s="159" t="s">
        <v>299</v>
      </c>
      <c r="AM33" s="160" t="s">
        <v>305</v>
      </c>
      <c r="AN33" s="161" t="s">
        <v>299</v>
      </c>
      <c r="AO33" s="161" t="s">
        <v>299</v>
      </c>
      <c r="AP33" s="162" t="s">
        <v>299</v>
      </c>
      <c r="AQ33" s="163">
        <v>107529</v>
      </c>
      <c r="AR33" s="164">
        <v>20430</v>
      </c>
      <c r="AS33" s="164">
        <v>127959</v>
      </c>
      <c r="AT33" s="164">
        <v>107529</v>
      </c>
      <c r="AU33" s="164">
        <v>127959</v>
      </c>
      <c r="AV33" s="165">
        <f t="shared" si="15"/>
        <v>119620</v>
      </c>
      <c r="AW33" s="165">
        <f t="shared" si="16"/>
        <v>119620</v>
      </c>
      <c r="AX33" s="165" t="str">
        <f t="shared" si="17"/>
        <v/>
      </c>
      <c r="AY33" s="166">
        <v>2.4299999999999999E-2</v>
      </c>
      <c r="AZ33" s="5"/>
      <c r="BA33" s="7"/>
      <c r="BB33" s="7"/>
    </row>
    <row r="34" spans="1:54" ht="297" x14ac:dyDescent="0.25">
      <c r="A34" s="137" t="s">
        <v>299</v>
      </c>
      <c r="B34" s="137" t="s">
        <v>299</v>
      </c>
      <c r="C34" s="137" t="s">
        <v>299</v>
      </c>
      <c r="D34" s="137" t="s">
        <v>381</v>
      </c>
      <c r="E34" s="138" t="s">
        <v>382</v>
      </c>
      <c r="F34" s="139" t="s">
        <v>302</v>
      </c>
      <c r="G34" s="140">
        <v>1</v>
      </c>
      <c r="H34" s="139"/>
      <c r="I34" s="141"/>
      <c r="J34" s="142"/>
      <c r="K34" s="143"/>
      <c r="L34" s="144"/>
      <c r="M34" s="142"/>
      <c r="N34" s="145"/>
      <c r="O34" s="145"/>
      <c r="P34" s="145"/>
      <c r="Q34" s="146" t="s">
        <v>303</v>
      </c>
      <c r="R34" s="147" t="s">
        <v>303</v>
      </c>
      <c r="S34" s="147" t="s">
        <v>303</v>
      </c>
      <c r="T34" s="147" t="s">
        <v>303</v>
      </c>
      <c r="U34" s="147" t="s">
        <v>303</v>
      </c>
      <c r="V34" s="148" t="s">
        <v>299</v>
      </c>
      <c r="W34" s="149" t="s">
        <v>299</v>
      </c>
      <c r="X34" s="150" t="s">
        <v>299</v>
      </c>
      <c r="Y34" s="151" t="s">
        <v>299</v>
      </c>
      <c r="Z34" s="152" t="s">
        <v>304</v>
      </c>
      <c r="AA34" s="153" t="s">
        <v>299</v>
      </c>
      <c r="AB34" s="153" t="s">
        <v>299</v>
      </c>
      <c r="AC34" s="153" t="s">
        <v>299</v>
      </c>
      <c r="AD34" s="154" t="s">
        <v>299</v>
      </c>
      <c r="AE34" s="155" t="s">
        <v>299</v>
      </c>
      <c r="AF34" s="155">
        <f t="shared" si="25"/>
        <v>255826.89075630254</v>
      </c>
      <c r="AG34" s="155">
        <f t="shared" si="26"/>
        <v>48607.109243697487</v>
      </c>
      <c r="AH34" s="155">
        <v>304434</v>
      </c>
      <c r="AI34" s="156" t="s">
        <v>299</v>
      </c>
      <c r="AJ34" s="157" t="s">
        <v>299</v>
      </c>
      <c r="AK34" s="158" t="s">
        <v>299</v>
      </c>
      <c r="AL34" s="159" t="s">
        <v>299</v>
      </c>
      <c r="AM34" s="160" t="s">
        <v>305</v>
      </c>
      <c r="AN34" s="161" t="s">
        <v>299</v>
      </c>
      <c r="AO34" s="161" t="s">
        <v>299</v>
      </c>
      <c r="AP34" s="162" t="s">
        <v>299</v>
      </c>
      <c r="AQ34" s="163">
        <v>247199</v>
      </c>
      <c r="AR34" s="164">
        <v>46968</v>
      </c>
      <c r="AS34" s="164">
        <v>294167</v>
      </c>
      <c r="AT34" s="164">
        <v>247199</v>
      </c>
      <c r="AU34" s="164">
        <v>294167</v>
      </c>
      <c r="AV34" s="165">
        <f t="shared" si="15"/>
        <v>274997</v>
      </c>
      <c r="AW34" s="165">
        <f t="shared" si="16"/>
        <v>274997</v>
      </c>
      <c r="AX34" s="165" t="str">
        <f t="shared" si="17"/>
        <v/>
      </c>
      <c r="AY34" s="166">
        <v>2.4299999999999999E-2</v>
      </c>
      <c r="AZ34" s="5"/>
      <c r="BA34" s="7"/>
      <c r="BB34" s="7"/>
    </row>
    <row r="35" spans="1:54" ht="297" x14ac:dyDescent="0.25">
      <c r="A35" s="137" t="s">
        <v>299</v>
      </c>
      <c r="B35" s="137" t="s">
        <v>299</v>
      </c>
      <c r="C35" s="137" t="s">
        <v>299</v>
      </c>
      <c r="D35" s="137" t="s">
        <v>383</v>
      </c>
      <c r="E35" s="138" t="s">
        <v>384</v>
      </c>
      <c r="F35" s="139" t="s">
        <v>302</v>
      </c>
      <c r="G35" s="140">
        <v>1</v>
      </c>
      <c r="H35" s="139"/>
      <c r="I35" s="141"/>
      <c r="J35" s="142"/>
      <c r="K35" s="143"/>
      <c r="L35" s="144"/>
      <c r="M35" s="142"/>
      <c r="N35" s="145"/>
      <c r="O35" s="145"/>
      <c r="P35" s="145"/>
      <c r="Q35" s="146" t="s">
        <v>303</v>
      </c>
      <c r="R35" s="147" t="s">
        <v>303</v>
      </c>
      <c r="S35" s="147" t="s">
        <v>303</v>
      </c>
      <c r="T35" s="147" t="s">
        <v>303</v>
      </c>
      <c r="U35" s="147" t="s">
        <v>303</v>
      </c>
      <c r="V35" s="148" t="s">
        <v>299</v>
      </c>
      <c r="W35" s="149" t="s">
        <v>299</v>
      </c>
      <c r="X35" s="150" t="s">
        <v>299</v>
      </c>
      <c r="Y35" s="151" t="s">
        <v>299</v>
      </c>
      <c r="Z35" s="152" t="s">
        <v>304</v>
      </c>
      <c r="AA35" s="153" t="s">
        <v>299</v>
      </c>
      <c r="AB35" s="153" t="s">
        <v>299</v>
      </c>
      <c r="AC35" s="153" t="s">
        <v>299</v>
      </c>
      <c r="AD35" s="154" t="s">
        <v>299</v>
      </c>
      <c r="AE35" s="155" t="s">
        <v>299</v>
      </c>
      <c r="AF35" s="155">
        <f t="shared" si="25"/>
        <v>305235.29411764705</v>
      </c>
      <c r="AG35" s="155">
        <f t="shared" si="26"/>
        <v>57994.705882352937</v>
      </c>
      <c r="AH35" s="155">
        <v>363230</v>
      </c>
      <c r="AI35" s="156" t="s">
        <v>299</v>
      </c>
      <c r="AJ35" s="157" t="s">
        <v>299</v>
      </c>
      <c r="AK35" s="158" t="s">
        <v>299</v>
      </c>
      <c r="AL35" s="159" t="s">
        <v>299</v>
      </c>
      <c r="AM35" s="160" t="s">
        <v>305</v>
      </c>
      <c r="AN35" s="161" t="s">
        <v>299</v>
      </c>
      <c r="AO35" s="161" t="s">
        <v>299</v>
      </c>
      <c r="AP35" s="162" t="s">
        <v>299</v>
      </c>
      <c r="AQ35" s="163">
        <v>294942</v>
      </c>
      <c r="AR35" s="164">
        <v>56039</v>
      </c>
      <c r="AS35" s="164">
        <v>350980</v>
      </c>
      <c r="AT35" s="164">
        <v>294942</v>
      </c>
      <c r="AU35" s="164">
        <v>350980</v>
      </c>
      <c r="AV35" s="165">
        <f t="shared" si="15"/>
        <v>328108</v>
      </c>
      <c r="AW35" s="165">
        <f t="shared" si="16"/>
        <v>328108</v>
      </c>
      <c r="AX35" s="165" t="str">
        <f t="shared" si="17"/>
        <v/>
      </c>
      <c r="AY35" s="166">
        <v>2.4299999999999999E-2</v>
      </c>
      <c r="AZ35" s="5"/>
      <c r="BA35" s="7"/>
      <c r="BB35" s="7"/>
    </row>
    <row r="36" spans="1:54" ht="297" x14ac:dyDescent="0.25">
      <c r="A36" s="137" t="s">
        <v>299</v>
      </c>
      <c r="B36" s="137" t="s">
        <v>299</v>
      </c>
      <c r="C36" s="137" t="s">
        <v>299</v>
      </c>
      <c r="D36" s="137" t="s">
        <v>385</v>
      </c>
      <c r="E36" s="138" t="s">
        <v>386</v>
      </c>
      <c r="F36" s="139" t="s">
        <v>302</v>
      </c>
      <c r="G36" s="140">
        <v>1</v>
      </c>
      <c r="H36" s="139"/>
      <c r="I36" s="141"/>
      <c r="J36" s="142"/>
      <c r="K36" s="143"/>
      <c r="L36" s="144"/>
      <c r="M36" s="142"/>
      <c r="N36" s="145"/>
      <c r="O36" s="145"/>
      <c r="P36" s="145"/>
      <c r="Q36" s="146" t="s">
        <v>303</v>
      </c>
      <c r="R36" s="147" t="s">
        <v>303</v>
      </c>
      <c r="S36" s="147" t="s">
        <v>303</v>
      </c>
      <c r="T36" s="147" t="s">
        <v>303</v>
      </c>
      <c r="U36" s="147" t="s">
        <v>303</v>
      </c>
      <c r="V36" s="148" t="s">
        <v>299</v>
      </c>
      <c r="W36" s="149" t="s">
        <v>299</v>
      </c>
      <c r="X36" s="150" t="s">
        <v>299</v>
      </c>
      <c r="Y36" s="151" t="s">
        <v>299</v>
      </c>
      <c r="Z36" s="152" t="s">
        <v>304</v>
      </c>
      <c r="AA36" s="153" t="s">
        <v>299</v>
      </c>
      <c r="AB36" s="153" t="s">
        <v>299</v>
      </c>
      <c r="AC36" s="153" t="s">
        <v>299</v>
      </c>
      <c r="AD36" s="154" t="s">
        <v>299</v>
      </c>
      <c r="AE36" s="155" t="s">
        <v>299</v>
      </c>
      <c r="AF36" s="155">
        <f t="shared" si="25"/>
        <v>121837.81512605042</v>
      </c>
      <c r="AG36" s="155">
        <f t="shared" si="26"/>
        <v>23149.18487394958</v>
      </c>
      <c r="AH36" s="155">
        <v>144987</v>
      </c>
      <c r="AI36" s="156" t="s">
        <v>299</v>
      </c>
      <c r="AJ36" s="157" t="s">
        <v>299</v>
      </c>
      <c r="AK36" s="158" t="s">
        <v>299</v>
      </c>
      <c r="AL36" s="159" t="s">
        <v>299</v>
      </c>
      <c r="AM36" s="160" t="s">
        <v>305</v>
      </c>
      <c r="AN36" s="161" t="s">
        <v>299</v>
      </c>
      <c r="AO36" s="161" t="s">
        <v>299</v>
      </c>
      <c r="AP36" s="162" t="s">
        <v>299</v>
      </c>
      <c r="AQ36" s="163">
        <v>117729</v>
      </c>
      <c r="AR36" s="164">
        <v>22368</v>
      </c>
      <c r="AS36" s="164">
        <v>140097</v>
      </c>
      <c r="AT36" s="164">
        <v>117729</v>
      </c>
      <c r="AU36" s="164">
        <v>140097</v>
      </c>
      <c r="AV36" s="165">
        <f t="shared" si="15"/>
        <v>130967</v>
      </c>
      <c r="AW36" s="165">
        <f t="shared" si="16"/>
        <v>130967</v>
      </c>
      <c r="AX36" s="165" t="str">
        <f t="shared" si="17"/>
        <v/>
      </c>
      <c r="AY36" s="166">
        <v>2.4299999999999999E-2</v>
      </c>
      <c r="AZ36" s="5"/>
      <c r="BA36" s="7"/>
      <c r="BB36" s="7"/>
    </row>
    <row r="37" spans="1:54" ht="297" x14ac:dyDescent="0.25">
      <c r="A37" s="137" t="s">
        <v>299</v>
      </c>
      <c r="B37" s="137" t="s">
        <v>299</v>
      </c>
      <c r="C37" s="137" t="s">
        <v>299</v>
      </c>
      <c r="D37" s="137" t="s">
        <v>385</v>
      </c>
      <c r="E37" s="138" t="s">
        <v>387</v>
      </c>
      <c r="F37" s="139" t="s">
        <v>302</v>
      </c>
      <c r="G37" s="140">
        <v>1</v>
      </c>
      <c r="H37" s="139"/>
      <c r="I37" s="141"/>
      <c r="J37" s="142"/>
      <c r="K37" s="143"/>
      <c r="L37" s="144"/>
      <c r="M37" s="142"/>
      <c r="N37" s="145"/>
      <c r="O37" s="145"/>
      <c r="P37" s="145"/>
      <c r="Q37" s="146" t="s">
        <v>303</v>
      </c>
      <c r="R37" s="147" t="s">
        <v>303</v>
      </c>
      <c r="S37" s="147" t="s">
        <v>303</v>
      </c>
      <c r="T37" s="147" t="s">
        <v>303</v>
      </c>
      <c r="U37" s="147" t="s">
        <v>303</v>
      </c>
      <c r="V37" s="148" t="s">
        <v>299</v>
      </c>
      <c r="W37" s="149" t="s">
        <v>299</v>
      </c>
      <c r="X37" s="150" t="s">
        <v>299</v>
      </c>
      <c r="Y37" s="151" t="s">
        <v>299</v>
      </c>
      <c r="Z37" s="152" t="s">
        <v>304</v>
      </c>
      <c r="AA37" s="153" t="s">
        <v>299</v>
      </c>
      <c r="AB37" s="153" t="s">
        <v>299</v>
      </c>
      <c r="AC37" s="153" t="s">
        <v>299</v>
      </c>
      <c r="AD37" s="154" t="s">
        <v>299</v>
      </c>
      <c r="AE37" s="155" t="s">
        <v>299</v>
      </c>
      <c r="AF37" s="155">
        <f t="shared" si="25"/>
        <v>258664.70588235295</v>
      </c>
      <c r="AG37" s="155">
        <f t="shared" si="26"/>
        <v>49146.294117647063</v>
      </c>
      <c r="AH37" s="155">
        <v>307811</v>
      </c>
      <c r="AI37" s="156" t="s">
        <v>299</v>
      </c>
      <c r="AJ37" s="157" t="s">
        <v>299</v>
      </c>
      <c r="AK37" s="158" t="s">
        <v>299</v>
      </c>
      <c r="AL37" s="159" t="s">
        <v>299</v>
      </c>
      <c r="AM37" s="160" t="s">
        <v>305</v>
      </c>
      <c r="AN37" s="161" t="s">
        <v>299</v>
      </c>
      <c r="AO37" s="161" t="s">
        <v>299</v>
      </c>
      <c r="AP37" s="162" t="s">
        <v>299</v>
      </c>
      <c r="AQ37" s="163">
        <v>249942</v>
      </c>
      <c r="AR37" s="164">
        <v>47489</v>
      </c>
      <c r="AS37" s="164">
        <v>297430</v>
      </c>
      <c r="AT37" s="164">
        <v>249942</v>
      </c>
      <c r="AU37" s="164">
        <v>297430</v>
      </c>
      <c r="AV37" s="165">
        <f t="shared" si="15"/>
        <v>278047</v>
      </c>
      <c r="AW37" s="165">
        <f t="shared" si="16"/>
        <v>278047</v>
      </c>
      <c r="AX37" s="165" t="str">
        <f t="shared" si="17"/>
        <v/>
      </c>
      <c r="AY37" s="166">
        <v>2.4299999999999999E-2</v>
      </c>
      <c r="AZ37" s="5"/>
      <c r="BA37" s="7"/>
      <c r="BB37" s="7"/>
    </row>
    <row r="38" spans="1:54" ht="297" x14ac:dyDescent="0.25">
      <c r="A38" s="137" t="s">
        <v>299</v>
      </c>
      <c r="B38" s="137" t="s">
        <v>299</v>
      </c>
      <c r="C38" s="137" t="s">
        <v>299</v>
      </c>
      <c r="D38" s="137" t="s">
        <v>385</v>
      </c>
      <c r="E38" s="138" t="s">
        <v>388</v>
      </c>
      <c r="F38" s="139" t="s">
        <v>302</v>
      </c>
      <c r="G38" s="140">
        <v>1</v>
      </c>
      <c r="H38" s="139"/>
      <c r="I38" s="141"/>
      <c r="J38" s="142"/>
      <c r="K38" s="143"/>
      <c r="L38" s="144"/>
      <c r="M38" s="142"/>
      <c r="N38" s="145"/>
      <c r="O38" s="145"/>
      <c r="P38" s="145"/>
      <c r="Q38" s="146" t="s">
        <v>303</v>
      </c>
      <c r="R38" s="147" t="s">
        <v>303</v>
      </c>
      <c r="S38" s="147" t="s">
        <v>303</v>
      </c>
      <c r="T38" s="147" t="s">
        <v>303</v>
      </c>
      <c r="U38" s="147" t="s">
        <v>303</v>
      </c>
      <c r="V38" s="148" t="s">
        <v>299</v>
      </c>
      <c r="W38" s="149" t="s">
        <v>299</v>
      </c>
      <c r="X38" s="150" t="s">
        <v>299</v>
      </c>
      <c r="Y38" s="151" t="s">
        <v>299</v>
      </c>
      <c r="Z38" s="152" t="s">
        <v>304</v>
      </c>
      <c r="AA38" s="153" t="s">
        <v>299</v>
      </c>
      <c r="AB38" s="153" t="s">
        <v>299</v>
      </c>
      <c r="AC38" s="153" t="s">
        <v>299</v>
      </c>
      <c r="AD38" s="154" t="s">
        <v>299</v>
      </c>
      <c r="AE38" s="155" t="s">
        <v>299</v>
      </c>
      <c r="AF38" s="155">
        <f t="shared" si="25"/>
        <v>305235.29411764705</v>
      </c>
      <c r="AG38" s="155">
        <f t="shared" si="26"/>
        <v>57994.705882352937</v>
      </c>
      <c r="AH38" s="155">
        <v>363230</v>
      </c>
      <c r="AI38" s="156" t="s">
        <v>299</v>
      </c>
      <c r="AJ38" s="157" t="s">
        <v>299</v>
      </c>
      <c r="AK38" s="158" t="s">
        <v>299</v>
      </c>
      <c r="AL38" s="159" t="s">
        <v>299</v>
      </c>
      <c r="AM38" s="160" t="s">
        <v>305</v>
      </c>
      <c r="AN38" s="161" t="s">
        <v>299</v>
      </c>
      <c r="AO38" s="161" t="s">
        <v>299</v>
      </c>
      <c r="AP38" s="162" t="s">
        <v>299</v>
      </c>
      <c r="AQ38" s="163">
        <v>294942</v>
      </c>
      <c r="AR38" s="164">
        <v>56039</v>
      </c>
      <c r="AS38" s="164">
        <v>350980</v>
      </c>
      <c r="AT38" s="164">
        <v>294942</v>
      </c>
      <c r="AU38" s="164">
        <v>350980</v>
      </c>
      <c r="AV38" s="165">
        <f t="shared" si="15"/>
        <v>328108</v>
      </c>
      <c r="AW38" s="165">
        <f t="shared" si="16"/>
        <v>328108</v>
      </c>
      <c r="AX38" s="165" t="str">
        <f t="shared" si="17"/>
        <v/>
      </c>
      <c r="AY38" s="166">
        <v>2.4299999999999999E-2</v>
      </c>
      <c r="AZ38" s="5"/>
      <c r="BA38" s="7"/>
      <c r="BB38" s="7"/>
    </row>
    <row r="39" spans="1:54" ht="297" x14ac:dyDescent="0.25">
      <c r="A39" s="137" t="s">
        <v>299</v>
      </c>
      <c r="B39" s="137" t="s">
        <v>299</v>
      </c>
      <c r="C39" s="137" t="s">
        <v>299</v>
      </c>
      <c r="D39" s="137" t="s">
        <v>389</v>
      </c>
      <c r="E39" s="138" t="s">
        <v>390</v>
      </c>
      <c r="F39" s="139" t="s">
        <v>302</v>
      </c>
      <c r="G39" s="140">
        <v>1</v>
      </c>
      <c r="H39" s="139"/>
      <c r="I39" s="141"/>
      <c r="J39" s="142"/>
      <c r="K39" s="143"/>
      <c r="L39" s="144"/>
      <c r="M39" s="142"/>
      <c r="N39" s="145"/>
      <c r="O39" s="145"/>
      <c r="P39" s="145"/>
      <c r="Q39" s="146" t="s">
        <v>303</v>
      </c>
      <c r="R39" s="147" t="s">
        <v>303</v>
      </c>
      <c r="S39" s="147" t="s">
        <v>303</v>
      </c>
      <c r="T39" s="147" t="s">
        <v>303</v>
      </c>
      <c r="U39" s="147" t="s">
        <v>303</v>
      </c>
      <c r="V39" s="148" t="s">
        <v>299</v>
      </c>
      <c r="W39" s="149" t="s">
        <v>299</v>
      </c>
      <c r="X39" s="150" t="s">
        <v>299</v>
      </c>
      <c r="Y39" s="151" t="s">
        <v>299</v>
      </c>
      <c r="Z39" s="152" t="s">
        <v>304</v>
      </c>
      <c r="AA39" s="153" t="s">
        <v>299</v>
      </c>
      <c r="AB39" s="153" t="s">
        <v>299</v>
      </c>
      <c r="AC39" s="153" t="s">
        <v>299</v>
      </c>
      <c r="AD39" s="154" t="s">
        <v>299</v>
      </c>
      <c r="AE39" s="155" t="s">
        <v>299</v>
      </c>
      <c r="AF39" s="155">
        <f t="shared" si="25"/>
        <v>809750.42016806721</v>
      </c>
      <c r="AG39" s="155">
        <f t="shared" si="26"/>
        <v>153852.57983193276</v>
      </c>
      <c r="AH39" s="155">
        <v>963603</v>
      </c>
      <c r="AI39" s="156" t="s">
        <v>299</v>
      </c>
      <c r="AJ39" s="157" t="s">
        <v>299</v>
      </c>
      <c r="AK39" s="158" t="s">
        <v>299</v>
      </c>
      <c r="AL39" s="159" t="s">
        <v>299</v>
      </c>
      <c r="AM39" s="160" t="s">
        <v>305</v>
      </c>
      <c r="AN39" s="161" t="s">
        <v>299</v>
      </c>
      <c r="AO39" s="161" t="s">
        <v>299</v>
      </c>
      <c r="AP39" s="162" t="s">
        <v>299</v>
      </c>
      <c r="AQ39" s="163">
        <v>805455</v>
      </c>
      <c r="AR39" s="164">
        <v>153036</v>
      </c>
      <c r="AS39" s="164">
        <v>958491</v>
      </c>
      <c r="AT39" s="164">
        <v>805455</v>
      </c>
      <c r="AU39" s="164">
        <v>958491</v>
      </c>
      <c r="AV39" s="165">
        <f t="shared" si="15"/>
        <v>884121</v>
      </c>
      <c r="AW39" s="165">
        <f t="shared" si="16"/>
        <v>884121</v>
      </c>
      <c r="AX39" s="165" t="str">
        <f t="shared" si="17"/>
        <v/>
      </c>
      <c r="AY39" s="166">
        <v>3.8E-3</v>
      </c>
      <c r="AZ39" s="5"/>
      <c r="BA39" s="7"/>
      <c r="BB39" s="7"/>
    </row>
    <row r="40" spans="1:54" ht="297" x14ac:dyDescent="0.25">
      <c r="A40" s="137" t="s">
        <v>299</v>
      </c>
      <c r="B40" s="137" t="s">
        <v>299</v>
      </c>
      <c r="C40" s="137" t="s">
        <v>299</v>
      </c>
      <c r="D40" s="137" t="s">
        <v>391</v>
      </c>
      <c r="E40" s="138" t="s">
        <v>392</v>
      </c>
      <c r="F40" s="139" t="s">
        <v>302</v>
      </c>
      <c r="G40" s="140">
        <v>1</v>
      </c>
      <c r="H40" s="139"/>
      <c r="I40" s="141"/>
      <c r="J40" s="142"/>
      <c r="K40" s="143"/>
      <c r="L40" s="144"/>
      <c r="M40" s="142"/>
      <c r="N40" s="145"/>
      <c r="O40" s="145"/>
      <c r="P40" s="145"/>
      <c r="Q40" s="146" t="s">
        <v>303</v>
      </c>
      <c r="R40" s="147" t="s">
        <v>303</v>
      </c>
      <c r="S40" s="147" t="s">
        <v>303</v>
      </c>
      <c r="T40" s="147" t="s">
        <v>303</v>
      </c>
      <c r="U40" s="147" t="s">
        <v>303</v>
      </c>
      <c r="V40" s="148" t="s">
        <v>299</v>
      </c>
      <c r="W40" s="149" t="s">
        <v>299</v>
      </c>
      <c r="X40" s="150" t="s">
        <v>299</v>
      </c>
      <c r="Y40" s="151" t="s">
        <v>299</v>
      </c>
      <c r="Z40" s="152" t="s">
        <v>304</v>
      </c>
      <c r="AA40" s="153" t="s">
        <v>299</v>
      </c>
      <c r="AB40" s="153" t="s">
        <v>299</v>
      </c>
      <c r="AC40" s="153" t="s">
        <v>299</v>
      </c>
      <c r="AD40" s="154" t="s">
        <v>299</v>
      </c>
      <c r="AE40" s="155" t="s">
        <v>299</v>
      </c>
      <c r="AF40" s="155">
        <f t="shared" si="25"/>
        <v>3706663.0252100844</v>
      </c>
      <c r="AG40" s="155">
        <f t="shared" si="26"/>
        <v>704265.97478991607</v>
      </c>
      <c r="AH40" s="155">
        <v>4410929</v>
      </c>
      <c r="AI40" s="156" t="s">
        <v>299</v>
      </c>
      <c r="AJ40" s="157" t="s">
        <v>299</v>
      </c>
      <c r="AK40" s="158" t="s">
        <v>299</v>
      </c>
      <c r="AL40" s="159" t="s">
        <v>299</v>
      </c>
      <c r="AM40" s="160" t="s">
        <v>305</v>
      </c>
      <c r="AN40" s="161" t="s">
        <v>299</v>
      </c>
      <c r="AO40" s="161" t="s">
        <v>299</v>
      </c>
      <c r="AP40" s="162" t="s">
        <v>299</v>
      </c>
      <c r="AQ40" s="163">
        <v>3686999</v>
      </c>
      <c r="AR40" s="164">
        <v>700530</v>
      </c>
      <c r="AS40" s="164">
        <v>4387529</v>
      </c>
      <c r="AT40" s="164">
        <v>3686999</v>
      </c>
      <c r="AU40" s="164">
        <v>4387529</v>
      </c>
      <c r="AV40" s="165">
        <f t="shared" si="15"/>
        <v>4047096</v>
      </c>
      <c r="AW40" s="165">
        <f t="shared" si="16"/>
        <v>4047096</v>
      </c>
      <c r="AX40" s="165" t="str">
        <f t="shared" si="17"/>
        <v/>
      </c>
      <c r="AY40" s="166">
        <v>3.8E-3</v>
      </c>
      <c r="AZ40" s="5"/>
      <c r="BA40" s="7"/>
      <c r="BB40" s="7"/>
    </row>
    <row r="41" spans="1:54" ht="297" x14ac:dyDescent="0.25">
      <c r="A41" s="137" t="s">
        <v>299</v>
      </c>
      <c r="B41" s="137" t="s">
        <v>299</v>
      </c>
      <c r="C41" s="137" t="s">
        <v>299</v>
      </c>
      <c r="D41" s="137" t="s">
        <v>393</v>
      </c>
      <c r="E41" s="138" t="s">
        <v>394</v>
      </c>
      <c r="F41" s="139" t="s">
        <v>302</v>
      </c>
      <c r="G41" s="140">
        <v>1</v>
      </c>
      <c r="H41" s="139"/>
      <c r="I41" s="141"/>
      <c r="J41" s="142"/>
      <c r="K41" s="143"/>
      <c r="L41" s="144"/>
      <c r="M41" s="142"/>
      <c r="N41" s="145"/>
      <c r="O41" s="145"/>
      <c r="P41" s="145"/>
      <c r="Q41" s="146" t="s">
        <v>303</v>
      </c>
      <c r="R41" s="147" t="s">
        <v>303</v>
      </c>
      <c r="S41" s="147" t="s">
        <v>303</v>
      </c>
      <c r="T41" s="147" t="s">
        <v>303</v>
      </c>
      <c r="U41" s="147" t="s">
        <v>303</v>
      </c>
      <c r="V41" s="148" t="s">
        <v>299</v>
      </c>
      <c r="W41" s="149" t="s">
        <v>299</v>
      </c>
      <c r="X41" s="150" t="s">
        <v>299</v>
      </c>
      <c r="Y41" s="151" t="s">
        <v>299</v>
      </c>
      <c r="Z41" s="152" t="s">
        <v>304</v>
      </c>
      <c r="AA41" s="153" t="s">
        <v>299</v>
      </c>
      <c r="AB41" s="153" t="s">
        <v>299</v>
      </c>
      <c r="AC41" s="153" t="s">
        <v>299</v>
      </c>
      <c r="AD41" s="154" t="s">
        <v>299</v>
      </c>
      <c r="AE41" s="155" t="s">
        <v>299</v>
      </c>
      <c r="AF41" s="155">
        <f t="shared" si="25"/>
        <v>53632.773109243702</v>
      </c>
      <c r="AG41" s="155">
        <f t="shared" si="26"/>
        <v>10190.226890756303</v>
      </c>
      <c r="AH41" s="155">
        <v>63823</v>
      </c>
      <c r="AI41" s="156" t="s">
        <v>299</v>
      </c>
      <c r="AJ41" s="157" t="s">
        <v>299</v>
      </c>
      <c r="AK41" s="158" t="s">
        <v>299</v>
      </c>
      <c r="AL41" s="159" t="s">
        <v>299</v>
      </c>
      <c r="AM41" s="160" t="s">
        <v>305</v>
      </c>
      <c r="AN41" s="161" t="s">
        <v>299</v>
      </c>
      <c r="AO41" s="161" t="s">
        <v>299</v>
      </c>
      <c r="AP41" s="162" t="s">
        <v>299</v>
      </c>
      <c r="AQ41" s="163">
        <v>53348</v>
      </c>
      <c r="AR41" s="164">
        <v>10136</v>
      </c>
      <c r="AS41" s="164">
        <v>63485</v>
      </c>
      <c r="AT41" s="164">
        <v>53348</v>
      </c>
      <c r="AU41" s="164">
        <v>63485</v>
      </c>
      <c r="AV41" s="165">
        <f t="shared" si="15"/>
        <v>58559</v>
      </c>
      <c r="AW41" s="165">
        <f t="shared" si="16"/>
        <v>58559</v>
      </c>
      <c r="AX41" s="165" t="str">
        <f t="shared" si="17"/>
        <v/>
      </c>
      <c r="AY41" s="166">
        <v>3.8E-3</v>
      </c>
      <c r="AZ41" s="5"/>
      <c r="BA41" s="7"/>
      <c r="BB41" s="7"/>
    </row>
    <row r="42" spans="1:54" ht="297" x14ac:dyDescent="0.25">
      <c r="A42" s="137" t="s">
        <v>299</v>
      </c>
      <c r="B42" s="137" t="s">
        <v>299</v>
      </c>
      <c r="C42" s="137" t="s">
        <v>299</v>
      </c>
      <c r="D42" s="137" t="s">
        <v>395</v>
      </c>
      <c r="E42" s="138" t="s">
        <v>396</v>
      </c>
      <c r="F42" s="139" t="s">
        <v>302</v>
      </c>
      <c r="G42" s="140">
        <v>1</v>
      </c>
      <c r="H42" s="139"/>
      <c r="I42" s="141"/>
      <c r="J42" s="142"/>
      <c r="K42" s="143"/>
      <c r="L42" s="144"/>
      <c r="M42" s="142"/>
      <c r="N42" s="145"/>
      <c r="O42" s="145"/>
      <c r="P42" s="145"/>
      <c r="Q42" s="146" t="s">
        <v>303</v>
      </c>
      <c r="R42" s="147" t="s">
        <v>303</v>
      </c>
      <c r="S42" s="147" t="s">
        <v>303</v>
      </c>
      <c r="T42" s="147" t="s">
        <v>303</v>
      </c>
      <c r="U42" s="147" t="s">
        <v>303</v>
      </c>
      <c r="V42" s="148" t="s">
        <v>299</v>
      </c>
      <c r="W42" s="149" t="s">
        <v>299</v>
      </c>
      <c r="X42" s="150" t="s">
        <v>299</v>
      </c>
      <c r="Y42" s="151" t="s">
        <v>299</v>
      </c>
      <c r="Z42" s="152" t="s">
        <v>304</v>
      </c>
      <c r="AA42" s="153" t="s">
        <v>299</v>
      </c>
      <c r="AB42" s="153" t="s">
        <v>299</v>
      </c>
      <c r="AC42" s="153" t="s">
        <v>299</v>
      </c>
      <c r="AD42" s="154" t="s">
        <v>299</v>
      </c>
      <c r="AE42" s="155" t="s">
        <v>299</v>
      </c>
      <c r="AF42" s="155">
        <f t="shared" si="25"/>
        <v>1128785.7142857143</v>
      </c>
      <c r="AG42" s="155">
        <f t="shared" si="26"/>
        <v>214469.28571428571</v>
      </c>
      <c r="AH42" s="155">
        <v>1343255</v>
      </c>
      <c r="AI42" s="156" t="s">
        <v>299</v>
      </c>
      <c r="AJ42" s="157" t="s">
        <v>299</v>
      </c>
      <c r="AK42" s="158" t="s">
        <v>299</v>
      </c>
      <c r="AL42" s="159" t="s">
        <v>299</v>
      </c>
      <c r="AM42" s="160" t="s">
        <v>305</v>
      </c>
      <c r="AN42" s="161" t="s">
        <v>299</v>
      </c>
      <c r="AO42" s="161" t="s">
        <v>299</v>
      </c>
      <c r="AP42" s="162" t="s">
        <v>299</v>
      </c>
      <c r="AQ42" s="163">
        <v>1090717</v>
      </c>
      <c r="AR42" s="164">
        <v>207236</v>
      </c>
      <c r="AS42" s="164">
        <v>1297954</v>
      </c>
      <c r="AT42" s="164">
        <v>1090717</v>
      </c>
      <c r="AU42" s="164">
        <v>1297954</v>
      </c>
      <c r="AV42" s="165">
        <f t="shared" si="15"/>
        <v>1213370</v>
      </c>
      <c r="AW42" s="165">
        <f t="shared" si="16"/>
        <v>1213370</v>
      </c>
      <c r="AX42" s="165" t="str">
        <f t="shared" si="17"/>
        <v/>
      </c>
      <c r="AY42" s="166">
        <v>2.4299999999999999E-2</v>
      </c>
      <c r="AZ42" s="5"/>
      <c r="BA42" s="7"/>
      <c r="BB42" s="7"/>
    </row>
    <row r="43" spans="1:54" ht="297" x14ac:dyDescent="0.25">
      <c r="A43" s="137" t="s">
        <v>299</v>
      </c>
      <c r="B43" s="137" t="s">
        <v>299</v>
      </c>
      <c r="C43" s="137" t="s">
        <v>299</v>
      </c>
      <c r="D43" s="137" t="s">
        <v>397</v>
      </c>
      <c r="E43" s="138" t="s">
        <v>398</v>
      </c>
      <c r="F43" s="139" t="s">
        <v>302</v>
      </c>
      <c r="G43" s="140">
        <v>1</v>
      </c>
      <c r="H43" s="139"/>
      <c r="I43" s="141"/>
      <c r="J43" s="142"/>
      <c r="K43" s="143"/>
      <c r="L43" s="144"/>
      <c r="M43" s="142"/>
      <c r="N43" s="145"/>
      <c r="O43" s="145"/>
      <c r="P43" s="145"/>
      <c r="Q43" s="146" t="s">
        <v>303</v>
      </c>
      <c r="R43" s="147" t="s">
        <v>303</v>
      </c>
      <c r="S43" s="147" t="s">
        <v>303</v>
      </c>
      <c r="T43" s="147" t="s">
        <v>303</v>
      </c>
      <c r="U43" s="147" t="s">
        <v>303</v>
      </c>
      <c r="V43" s="148" t="s">
        <v>299</v>
      </c>
      <c r="W43" s="149" t="s">
        <v>299</v>
      </c>
      <c r="X43" s="150" t="s">
        <v>299</v>
      </c>
      <c r="Y43" s="151" t="s">
        <v>299</v>
      </c>
      <c r="Z43" s="152" t="s">
        <v>304</v>
      </c>
      <c r="AA43" s="153" t="s">
        <v>299</v>
      </c>
      <c r="AB43" s="153" t="s">
        <v>299</v>
      </c>
      <c r="AC43" s="153" t="s">
        <v>299</v>
      </c>
      <c r="AD43" s="154" t="s">
        <v>299</v>
      </c>
      <c r="AE43" s="155" t="s">
        <v>299</v>
      </c>
      <c r="AF43" s="155">
        <f t="shared" si="25"/>
        <v>2252912.6050420171</v>
      </c>
      <c r="AG43" s="155">
        <f t="shared" si="26"/>
        <v>428053.39495798323</v>
      </c>
      <c r="AH43" s="155">
        <v>2680966</v>
      </c>
      <c r="AI43" s="156" t="s">
        <v>299</v>
      </c>
      <c r="AJ43" s="157" t="s">
        <v>299</v>
      </c>
      <c r="AK43" s="158" t="s">
        <v>299</v>
      </c>
      <c r="AL43" s="159" t="s">
        <v>299</v>
      </c>
      <c r="AM43" s="160" t="s">
        <v>305</v>
      </c>
      <c r="AN43" s="161" t="s">
        <v>299</v>
      </c>
      <c r="AO43" s="161" t="s">
        <v>299</v>
      </c>
      <c r="AP43" s="162" t="s">
        <v>299</v>
      </c>
      <c r="AQ43" s="163">
        <v>2176933</v>
      </c>
      <c r="AR43" s="164">
        <v>413617</v>
      </c>
      <c r="AS43" s="164">
        <v>2590551</v>
      </c>
      <c r="AT43" s="164">
        <v>2176933</v>
      </c>
      <c r="AU43" s="164">
        <v>2590551</v>
      </c>
      <c r="AV43" s="165">
        <f t="shared" si="15"/>
        <v>2421732</v>
      </c>
      <c r="AW43" s="165">
        <f t="shared" si="16"/>
        <v>2421732</v>
      </c>
      <c r="AX43" s="165" t="str">
        <f t="shared" si="17"/>
        <v/>
      </c>
      <c r="AY43" s="166">
        <v>2.4299999999999999E-2</v>
      </c>
      <c r="AZ43" s="5"/>
      <c r="BA43" s="7"/>
      <c r="BB43" s="7"/>
    </row>
    <row r="44" spans="1:54" ht="297" x14ac:dyDescent="0.25">
      <c r="A44" s="137" t="s">
        <v>299</v>
      </c>
      <c r="B44" s="137" t="s">
        <v>299</v>
      </c>
      <c r="C44" s="137" t="s">
        <v>299</v>
      </c>
      <c r="D44" s="137" t="s">
        <v>399</v>
      </c>
      <c r="E44" s="138" t="s">
        <v>400</v>
      </c>
      <c r="F44" s="139" t="s">
        <v>302</v>
      </c>
      <c r="G44" s="140">
        <v>1</v>
      </c>
      <c r="H44" s="139"/>
      <c r="I44" s="141"/>
      <c r="J44" s="142"/>
      <c r="K44" s="143"/>
      <c r="L44" s="144"/>
      <c r="M44" s="142"/>
      <c r="N44" s="145"/>
      <c r="O44" s="145"/>
      <c r="P44" s="145"/>
      <c r="Q44" s="146" t="s">
        <v>303</v>
      </c>
      <c r="R44" s="147" t="s">
        <v>303</v>
      </c>
      <c r="S44" s="147" t="s">
        <v>303</v>
      </c>
      <c r="T44" s="147" t="s">
        <v>303</v>
      </c>
      <c r="U44" s="147" t="s">
        <v>303</v>
      </c>
      <c r="V44" s="148" t="s">
        <v>299</v>
      </c>
      <c r="W44" s="149" t="s">
        <v>299</v>
      </c>
      <c r="X44" s="150" t="s">
        <v>299</v>
      </c>
      <c r="Y44" s="151" t="s">
        <v>299</v>
      </c>
      <c r="Z44" s="152" t="s">
        <v>304</v>
      </c>
      <c r="AA44" s="153" t="s">
        <v>299</v>
      </c>
      <c r="AB44" s="153" t="s">
        <v>299</v>
      </c>
      <c r="AC44" s="153" t="s">
        <v>299</v>
      </c>
      <c r="AD44" s="154" t="s">
        <v>299</v>
      </c>
      <c r="AE44" s="155" t="s">
        <v>299</v>
      </c>
      <c r="AF44" s="155">
        <f t="shared" si="25"/>
        <v>2860672.2689075633</v>
      </c>
      <c r="AG44" s="155">
        <f t="shared" si="26"/>
        <v>543527.73109243705</v>
      </c>
      <c r="AH44" s="155">
        <v>3404200</v>
      </c>
      <c r="AI44" s="156" t="s">
        <v>299</v>
      </c>
      <c r="AJ44" s="157" t="s">
        <v>299</v>
      </c>
      <c r="AK44" s="158" t="s">
        <v>299</v>
      </c>
      <c r="AL44" s="159" t="s">
        <v>299</v>
      </c>
      <c r="AM44" s="160" t="s">
        <v>305</v>
      </c>
      <c r="AN44" s="161" t="s">
        <v>299</v>
      </c>
      <c r="AO44" s="161" t="s">
        <v>299</v>
      </c>
      <c r="AP44" s="162" t="s">
        <v>299</v>
      </c>
      <c r="AQ44" s="163">
        <v>2764196</v>
      </c>
      <c r="AR44" s="164">
        <v>525197</v>
      </c>
      <c r="AS44" s="164">
        <v>3289393</v>
      </c>
      <c r="AT44" s="164">
        <v>2764196</v>
      </c>
      <c r="AU44" s="164">
        <v>3289393</v>
      </c>
      <c r="AV44" s="165">
        <f t="shared" si="15"/>
        <v>3075033</v>
      </c>
      <c r="AW44" s="165">
        <f t="shared" si="16"/>
        <v>3075033</v>
      </c>
      <c r="AX44" s="165" t="str">
        <f t="shared" si="17"/>
        <v/>
      </c>
      <c r="AY44" s="166">
        <v>2.4299999999999999E-2</v>
      </c>
      <c r="AZ44" s="5"/>
      <c r="BA44" s="7"/>
      <c r="BB44" s="7"/>
    </row>
    <row r="45" spans="1:54" ht="297" x14ac:dyDescent="0.25">
      <c r="A45" s="137" t="s">
        <v>299</v>
      </c>
      <c r="B45" s="137" t="s">
        <v>299</v>
      </c>
      <c r="C45" s="137" t="s">
        <v>299</v>
      </c>
      <c r="D45" s="137" t="s">
        <v>401</v>
      </c>
      <c r="E45" s="138" t="s">
        <v>402</v>
      </c>
      <c r="F45" s="139" t="s">
        <v>302</v>
      </c>
      <c r="G45" s="140">
        <v>1</v>
      </c>
      <c r="H45" s="139"/>
      <c r="I45" s="141"/>
      <c r="J45" s="142"/>
      <c r="K45" s="143"/>
      <c r="L45" s="144"/>
      <c r="M45" s="142"/>
      <c r="N45" s="145"/>
      <c r="O45" s="145"/>
      <c r="P45" s="145"/>
      <c r="Q45" s="146" t="s">
        <v>303</v>
      </c>
      <c r="R45" s="147" t="s">
        <v>303</v>
      </c>
      <c r="S45" s="147" t="s">
        <v>303</v>
      </c>
      <c r="T45" s="147" t="s">
        <v>303</v>
      </c>
      <c r="U45" s="147" t="s">
        <v>303</v>
      </c>
      <c r="V45" s="148" t="s">
        <v>299</v>
      </c>
      <c r="W45" s="149" t="s">
        <v>299</v>
      </c>
      <c r="X45" s="150" t="s">
        <v>299</v>
      </c>
      <c r="Y45" s="151" t="s">
        <v>299</v>
      </c>
      <c r="Z45" s="152" t="s">
        <v>304</v>
      </c>
      <c r="AA45" s="153" t="s">
        <v>299</v>
      </c>
      <c r="AB45" s="153" t="s">
        <v>299</v>
      </c>
      <c r="AC45" s="153" t="s">
        <v>299</v>
      </c>
      <c r="AD45" s="154" t="s">
        <v>299</v>
      </c>
      <c r="AE45" s="155" t="s">
        <v>299</v>
      </c>
      <c r="AF45" s="155">
        <f t="shared" si="25"/>
        <v>3215490.7563025211</v>
      </c>
      <c r="AG45" s="155">
        <f t="shared" si="26"/>
        <v>610943.24369747902</v>
      </c>
      <c r="AH45" s="155">
        <v>3826434</v>
      </c>
      <c r="AI45" s="156" t="s">
        <v>299</v>
      </c>
      <c r="AJ45" s="157" t="s">
        <v>299</v>
      </c>
      <c r="AK45" s="158" t="s">
        <v>299</v>
      </c>
      <c r="AL45" s="159" t="s">
        <v>299</v>
      </c>
      <c r="AM45" s="160" t="s">
        <v>305</v>
      </c>
      <c r="AN45" s="161" t="s">
        <v>299</v>
      </c>
      <c r="AO45" s="161" t="s">
        <v>299</v>
      </c>
      <c r="AP45" s="162" t="s">
        <v>299</v>
      </c>
      <c r="AQ45" s="163">
        <v>3107049</v>
      </c>
      <c r="AR45" s="164">
        <v>590339</v>
      </c>
      <c r="AS45" s="164">
        <v>3697388</v>
      </c>
      <c r="AT45" s="164">
        <v>3107049</v>
      </c>
      <c r="AU45" s="164">
        <v>3697388</v>
      </c>
      <c r="AV45" s="165">
        <f t="shared" si="15"/>
        <v>3456439</v>
      </c>
      <c r="AW45" s="165">
        <f t="shared" si="16"/>
        <v>3456439</v>
      </c>
      <c r="AX45" s="165" t="str">
        <f t="shared" si="17"/>
        <v/>
      </c>
      <c r="AY45" s="166">
        <v>2.4299999999999999E-2</v>
      </c>
      <c r="AZ45" s="5"/>
      <c r="BA45" s="7"/>
      <c r="BB45" s="7"/>
    </row>
    <row r="46" spans="1:54" ht="54" x14ac:dyDescent="0.25">
      <c r="A46" s="137" t="s">
        <v>229</v>
      </c>
      <c r="B46" s="137" t="s">
        <v>288</v>
      </c>
      <c r="C46" s="137" t="s">
        <v>403</v>
      </c>
      <c r="D46" s="137" t="s">
        <v>404</v>
      </c>
      <c r="E46" s="138" t="s">
        <v>405</v>
      </c>
      <c r="F46" s="139" t="s">
        <v>317</v>
      </c>
      <c r="G46" s="140">
        <v>1</v>
      </c>
      <c r="H46" s="139" t="s">
        <v>335</v>
      </c>
      <c r="I46" s="141" t="s">
        <v>234</v>
      </c>
      <c r="J46" s="142">
        <v>46134</v>
      </c>
      <c r="K46" s="143" t="s">
        <v>406</v>
      </c>
      <c r="L46" s="144" t="s">
        <v>241</v>
      </c>
      <c r="M46" s="142" t="s">
        <v>407</v>
      </c>
      <c r="N46" s="145">
        <v>1320000</v>
      </c>
      <c r="O46" s="145" t="s">
        <v>245</v>
      </c>
      <c r="P46" s="145" t="s">
        <v>239</v>
      </c>
      <c r="Q46" s="146">
        <f>IF(O46="IVA Incluido",(N46/1.19),N46)</f>
        <v>1320000</v>
      </c>
      <c r="R46" s="147">
        <f>IF(P46="Si tiene IVA",Q46*19%,0)</f>
        <v>250800</v>
      </c>
      <c r="S46" s="147">
        <f>Q46+R46</f>
        <v>1570800</v>
      </c>
      <c r="T46" s="147">
        <f>IF(B46="","",(N46*G46))</f>
        <v>1320000</v>
      </c>
      <c r="U46" s="147">
        <f>IF(B46="","",(S46*G46))</f>
        <v>1570800</v>
      </c>
      <c r="V46" s="148" t="s">
        <v>234</v>
      </c>
      <c r="W46" s="149">
        <v>46134</v>
      </c>
      <c r="X46" s="150" t="s">
        <v>324</v>
      </c>
      <c r="Y46" s="151" t="s">
        <v>241</v>
      </c>
      <c r="Z46" s="152" t="s">
        <v>325</v>
      </c>
      <c r="AA46" s="153">
        <v>1261500</v>
      </c>
      <c r="AB46" s="153" t="s">
        <v>245</v>
      </c>
      <c r="AC46" s="153" t="s">
        <v>239</v>
      </c>
      <c r="AD46" s="154">
        <f>IF(AB46="IVA Incluido",(AA46/1.19),AA46)</f>
        <v>1261500</v>
      </c>
      <c r="AE46" s="155">
        <f>IF(AC46="Si tiene IVA",AD46*19%,0)</f>
        <v>239685</v>
      </c>
      <c r="AF46" s="155">
        <f>AD46+AE46</f>
        <v>1501185</v>
      </c>
      <c r="AG46" s="155">
        <f>IF(O46="","",(AA46*G46))</f>
        <v>1261500</v>
      </c>
      <c r="AH46" s="155">
        <f>IF(O46="","",(AF46*G46))</f>
        <v>1501185</v>
      </c>
      <c r="AI46" s="156" t="s">
        <v>234</v>
      </c>
      <c r="AJ46" s="157">
        <v>46080</v>
      </c>
      <c r="AK46" s="158" t="s">
        <v>363</v>
      </c>
      <c r="AL46" s="159" t="s">
        <v>241</v>
      </c>
      <c r="AM46" s="160" t="s">
        <v>364</v>
      </c>
      <c r="AN46" s="161">
        <v>1600000</v>
      </c>
      <c r="AO46" s="161" t="s">
        <v>245</v>
      </c>
      <c r="AP46" s="162" t="s">
        <v>239</v>
      </c>
      <c r="AQ46" s="163">
        <f>IF(AO46="IVA Incluido",(AN46/1.19),AN46)</f>
        <v>1600000</v>
      </c>
      <c r="AR46" s="164">
        <f>IF(AP46="Si tiene IVA",AQ46*19%,0)</f>
        <v>304000</v>
      </c>
      <c r="AS46" s="164">
        <f>AQ46+AR46</f>
        <v>1904000</v>
      </c>
      <c r="AT46" s="164">
        <f>IF(AB46="","",(AN46*G46))</f>
        <v>1600000</v>
      </c>
      <c r="AU46" s="164">
        <f>IF(AB46="","",(AS46*G46))</f>
        <v>1904000</v>
      </c>
      <c r="AV46" s="165">
        <f t="shared" si="15"/>
        <v>1658662</v>
      </c>
      <c r="AW46" s="165">
        <f t="shared" si="16"/>
        <v>1658662</v>
      </c>
      <c r="AX46" s="165">
        <f t="shared" si="17"/>
        <v>215301</v>
      </c>
      <c r="AY46" s="166">
        <f>IF(N46="","",(AX46/AW46))</f>
        <v>0.1298040227605142</v>
      </c>
      <c r="AZ46" s="5"/>
      <c r="BA46" s="7">
        <f>COUNTA(M46,Z46,AM46)</f>
        <v>3</v>
      </c>
      <c r="BB46" s="7"/>
    </row>
    <row r="47" spans="1:54" ht="297" x14ac:dyDescent="0.25">
      <c r="A47" s="137" t="s">
        <v>299</v>
      </c>
      <c r="B47" s="137" t="s">
        <v>299</v>
      </c>
      <c r="C47" s="137" t="s">
        <v>299</v>
      </c>
      <c r="D47" s="137" t="s">
        <v>408</v>
      </c>
      <c r="E47" s="138" t="s">
        <v>409</v>
      </c>
      <c r="F47" s="139" t="s">
        <v>302</v>
      </c>
      <c r="G47" s="140">
        <v>1</v>
      </c>
      <c r="H47" s="139"/>
      <c r="I47" s="141"/>
      <c r="J47" s="142"/>
      <c r="K47" s="143"/>
      <c r="L47" s="144"/>
      <c r="M47" s="142"/>
      <c r="N47" s="145"/>
      <c r="O47" s="145"/>
      <c r="P47" s="145"/>
      <c r="Q47" s="146" t="s">
        <v>303</v>
      </c>
      <c r="R47" s="147" t="s">
        <v>303</v>
      </c>
      <c r="S47" s="147" t="s">
        <v>303</v>
      </c>
      <c r="T47" s="147" t="s">
        <v>303</v>
      </c>
      <c r="U47" s="147" t="s">
        <v>303</v>
      </c>
      <c r="V47" s="148" t="s">
        <v>299</v>
      </c>
      <c r="W47" s="149" t="s">
        <v>299</v>
      </c>
      <c r="X47" s="150" t="s">
        <v>299</v>
      </c>
      <c r="Y47" s="151" t="s">
        <v>299</v>
      </c>
      <c r="Z47" s="152" t="s">
        <v>304</v>
      </c>
      <c r="AA47" s="153" t="s">
        <v>299</v>
      </c>
      <c r="AB47" s="153" t="s">
        <v>299</v>
      </c>
      <c r="AC47" s="153" t="s">
        <v>299</v>
      </c>
      <c r="AD47" s="154" t="s">
        <v>299</v>
      </c>
      <c r="AE47" s="155" t="s">
        <v>299</v>
      </c>
      <c r="AF47" s="155">
        <f>AH47/1.19</f>
        <v>1633309.2436974791</v>
      </c>
      <c r="AG47" s="155">
        <f>AF47*19%</f>
        <v>310328.75630252104</v>
      </c>
      <c r="AH47" s="155">
        <v>1943638</v>
      </c>
      <c r="AI47" s="156" t="s">
        <v>299</v>
      </c>
      <c r="AJ47" s="157" t="s">
        <v>299</v>
      </c>
      <c r="AK47" s="158" t="s">
        <v>299</v>
      </c>
      <c r="AL47" s="159" t="s">
        <v>299</v>
      </c>
      <c r="AM47" s="160" t="s">
        <v>305</v>
      </c>
      <c r="AN47" s="161" t="s">
        <v>299</v>
      </c>
      <c r="AO47" s="161" t="s">
        <v>299</v>
      </c>
      <c r="AP47" s="162" t="s">
        <v>299</v>
      </c>
      <c r="AQ47" s="163">
        <v>1578226</v>
      </c>
      <c r="AR47" s="164">
        <v>299863</v>
      </c>
      <c r="AS47" s="164">
        <v>1878089</v>
      </c>
      <c r="AT47" s="164">
        <v>1578226</v>
      </c>
      <c r="AU47" s="164">
        <v>1878089</v>
      </c>
      <c r="AV47" s="165">
        <f t="shared" si="15"/>
        <v>1755699</v>
      </c>
      <c r="AW47" s="165">
        <f t="shared" si="16"/>
        <v>1755699</v>
      </c>
      <c r="AX47" s="165" t="str">
        <f t="shared" si="17"/>
        <v/>
      </c>
      <c r="AY47" s="166">
        <v>2.4299999999999999E-2</v>
      </c>
      <c r="AZ47" s="5"/>
      <c r="BA47" s="7"/>
      <c r="BB47" s="7"/>
    </row>
    <row r="48" spans="1:54" ht="297" x14ac:dyDescent="0.25">
      <c r="A48" s="137" t="s">
        <v>299</v>
      </c>
      <c r="B48" s="137" t="s">
        <v>299</v>
      </c>
      <c r="C48" s="137" t="s">
        <v>299</v>
      </c>
      <c r="D48" s="137" t="s">
        <v>410</v>
      </c>
      <c r="E48" s="138" t="s">
        <v>411</v>
      </c>
      <c r="F48" s="139" t="s">
        <v>302</v>
      </c>
      <c r="G48" s="140">
        <v>1</v>
      </c>
      <c r="H48" s="139"/>
      <c r="I48" s="141"/>
      <c r="J48" s="142"/>
      <c r="K48" s="143"/>
      <c r="L48" s="144"/>
      <c r="M48" s="142"/>
      <c r="N48" s="145"/>
      <c r="O48" s="145"/>
      <c r="P48" s="145"/>
      <c r="Q48" s="146" t="s">
        <v>303</v>
      </c>
      <c r="R48" s="147" t="s">
        <v>303</v>
      </c>
      <c r="S48" s="147" t="s">
        <v>303</v>
      </c>
      <c r="T48" s="147" t="s">
        <v>303</v>
      </c>
      <c r="U48" s="147" t="s">
        <v>303</v>
      </c>
      <c r="V48" s="148" t="s">
        <v>299</v>
      </c>
      <c r="W48" s="149" t="s">
        <v>299</v>
      </c>
      <c r="X48" s="150" t="s">
        <v>299</v>
      </c>
      <c r="Y48" s="151" t="s">
        <v>299</v>
      </c>
      <c r="Z48" s="152" t="s">
        <v>304</v>
      </c>
      <c r="AA48" s="153" t="s">
        <v>299</v>
      </c>
      <c r="AB48" s="153" t="s">
        <v>299</v>
      </c>
      <c r="AC48" s="153" t="s">
        <v>299</v>
      </c>
      <c r="AD48" s="154" t="s">
        <v>299</v>
      </c>
      <c r="AE48" s="155" t="s">
        <v>299</v>
      </c>
      <c r="AF48" s="155">
        <f>AH48/1.19</f>
        <v>184506.72268907563</v>
      </c>
      <c r="AG48" s="155">
        <f>AF48*19%</f>
        <v>35056.277310924372</v>
      </c>
      <c r="AH48" s="155">
        <v>219563</v>
      </c>
      <c r="AI48" s="156" t="s">
        <v>299</v>
      </c>
      <c r="AJ48" s="157" t="s">
        <v>299</v>
      </c>
      <c r="AK48" s="158" t="s">
        <v>299</v>
      </c>
      <c r="AL48" s="159" t="s">
        <v>299</v>
      </c>
      <c r="AM48" s="160" t="s">
        <v>305</v>
      </c>
      <c r="AN48" s="161" t="s">
        <v>299</v>
      </c>
      <c r="AO48" s="161" t="s">
        <v>299</v>
      </c>
      <c r="AP48" s="162" t="s">
        <v>299</v>
      </c>
      <c r="AQ48" s="163">
        <v>178284</v>
      </c>
      <c r="AR48" s="164">
        <v>33874</v>
      </c>
      <c r="AS48" s="164">
        <v>212158</v>
      </c>
      <c r="AT48" s="164">
        <v>178284</v>
      </c>
      <c r="AU48" s="164">
        <v>212158</v>
      </c>
      <c r="AV48" s="165">
        <f t="shared" si="15"/>
        <v>198332</v>
      </c>
      <c r="AW48" s="165">
        <f t="shared" si="16"/>
        <v>198332</v>
      </c>
      <c r="AX48" s="165" t="str">
        <f t="shared" si="17"/>
        <v/>
      </c>
      <c r="AY48" s="166">
        <v>2.4299999999999999E-2</v>
      </c>
      <c r="AZ48" s="5"/>
      <c r="BA48" s="7"/>
      <c r="BB48" s="7"/>
    </row>
    <row r="49" spans="1:54" ht="297" x14ac:dyDescent="0.25">
      <c r="A49" s="137" t="s">
        <v>299</v>
      </c>
      <c r="B49" s="137" t="s">
        <v>299</v>
      </c>
      <c r="C49" s="137" t="s">
        <v>299</v>
      </c>
      <c r="D49" s="137" t="s">
        <v>412</v>
      </c>
      <c r="E49" s="138" t="s">
        <v>413</v>
      </c>
      <c r="F49" s="139" t="s">
        <v>302</v>
      </c>
      <c r="G49" s="140">
        <v>1</v>
      </c>
      <c r="H49" s="139"/>
      <c r="I49" s="141"/>
      <c r="J49" s="142"/>
      <c r="K49" s="143"/>
      <c r="L49" s="144"/>
      <c r="M49" s="142"/>
      <c r="N49" s="145"/>
      <c r="O49" s="145"/>
      <c r="P49" s="145"/>
      <c r="Q49" s="146" t="s">
        <v>303</v>
      </c>
      <c r="R49" s="147" t="s">
        <v>303</v>
      </c>
      <c r="S49" s="147" t="s">
        <v>303</v>
      </c>
      <c r="T49" s="147" t="s">
        <v>303</v>
      </c>
      <c r="U49" s="147" t="s">
        <v>303</v>
      </c>
      <c r="V49" s="148" t="s">
        <v>299</v>
      </c>
      <c r="W49" s="149" t="s">
        <v>299</v>
      </c>
      <c r="X49" s="150" t="s">
        <v>299</v>
      </c>
      <c r="Y49" s="151" t="s">
        <v>299</v>
      </c>
      <c r="Z49" s="152" t="s">
        <v>304</v>
      </c>
      <c r="AA49" s="153" t="s">
        <v>299</v>
      </c>
      <c r="AB49" s="153" t="s">
        <v>299</v>
      </c>
      <c r="AC49" s="153" t="s">
        <v>299</v>
      </c>
      <c r="AD49" s="154" t="s">
        <v>299</v>
      </c>
      <c r="AE49" s="155" t="s">
        <v>299</v>
      </c>
      <c r="AF49" s="155">
        <f>AH49/1.19</f>
        <v>81027.731092436981</v>
      </c>
      <c r="AG49" s="155">
        <f>AF49*19%</f>
        <v>15395.268907563026</v>
      </c>
      <c r="AH49" s="155">
        <v>96423</v>
      </c>
      <c r="AI49" s="156" t="s">
        <v>299</v>
      </c>
      <c r="AJ49" s="157" t="s">
        <v>299</v>
      </c>
      <c r="AK49" s="158" t="s">
        <v>299</v>
      </c>
      <c r="AL49" s="159" t="s">
        <v>299</v>
      </c>
      <c r="AM49" s="160" t="s">
        <v>305</v>
      </c>
      <c r="AN49" s="161" t="s">
        <v>299</v>
      </c>
      <c r="AO49" s="161" t="s">
        <v>299</v>
      </c>
      <c r="AP49" s="162" t="s">
        <v>299</v>
      </c>
      <c r="AQ49" s="163">
        <v>78295</v>
      </c>
      <c r="AR49" s="164">
        <v>14876</v>
      </c>
      <c r="AS49" s="164">
        <v>93171</v>
      </c>
      <c r="AT49" s="164">
        <v>78295</v>
      </c>
      <c r="AU49" s="164">
        <v>93171</v>
      </c>
      <c r="AV49" s="165">
        <f t="shared" si="15"/>
        <v>87099</v>
      </c>
      <c r="AW49" s="165">
        <f t="shared" si="16"/>
        <v>87099</v>
      </c>
      <c r="AX49" s="165" t="str">
        <f t="shared" si="17"/>
        <v/>
      </c>
      <c r="AY49" s="166">
        <v>2.4299999999999999E-2</v>
      </c>
      <c r="AZ49" s="5"/>
      <c r="BA49" s="7"/>
      <c r="BB49" s="7"/>
    </row>
    <row r="50" spans="1:54" ht="297" x14ac:dyDescent="0.25">
      <c r="A50" s="137" t="s">
        <v>299</v>
      </c>
      <c r="B50" s="137" t="s">
        <v>299</v>
      </c>
      <c r="C50" s="137" t="s">
        <v>299</v>
      </c>
      <c r="D50" s="137" t="s">
        <v>414</v>
      </c>
      <c r="E50" s="138" t="s">
        <v>415</v>
      </c>
      <c r="F50" s="139" t="s">
        <v>302</v>
      </c>
      <c r="G50" s="140">
        <v>1</v>
      </c>
      <c r="H50" s="139"/>
      <c r="I50" s="141"/>
      <c r="J50" s="142"/>
      <c r="K50" s="143"/>
      <c r="L50" s="144"/>
      <c r="M50" s="142"/>
      <c r="N50" s="145"/>
      <c r="O50" s="145"/>
      <c r="P50" s="145"/>
      <c r="Q50" s="146" t="s">
        <v>303</v>
      </c>
      <c r="R50" s="147" t="s">
        <v>303</v>
      </c>
      <c r="S50" s="147" t="s">
        <v>303</v>
      </c>
      <c r="T50" s="147" t="s">
        <v>303</v>
      </c>
      <c r="U50" s="147" t="s">
        <v>303</v>
      </c>
      <c r="V50" s="148" t="s">
        <v>299</v>
      </c>
      <c r="W50" s="149" t="s">
        <v>299</v>
      </c>
      <c r="X50" s="150" t="s">
        <v>299</v>
      </c>
      <c r="Y50" s="151" t="s">
        <v>299</v>
      </c>
      <c r="Z50" s="152" t="s">
        <v>304</v>
      </c>
      <c r="AA50" s="153" t="s">
        <v>299</v>
      </c>
      <c r="AB50" s="153" t="s">
        <v>299</v>
      </c>
      <c r="AC50" s="153" t="s">
        <v>299</v>
      </c>
      <c r="AD50" s="154" t="s">
        <v>299</v>
      </c>
      <c r="AE50" s="155" t="s">
        <v>299</v>
      </c>
      <c r="AF50" s="155">
        <f>AH50/1.19</f>
        <v>975838.65546218492</v>
      </c>
      <c r="AG50" s="155">
        <f>AF50*19%</f>
        <v>185409.34453781514</v>
      </c>
      <c r="AH50" s="155">
        <v>1161248</v>
      </c>
      <c r="AI50" s="156" t="s">
        <v>299</v>
      </c>
      <c r="AJ50" s="157" t="s">
        <v>299</v>
      </c>
      <c r="AK50" s="158" t="s">
        <v>299</v>
      </c>
      <c r="AL50" s="159" t="s">
        <v>299</v>
      </c>
      <c r="AM50" s="160" t="s">
        <v>305</v>
      </c>
      <c r="AN50" s="161" t="s">
        <v>299</v>
      </c>
      <c r="AO50" s="161" t="s">
        <v>299</v>
      </c>
      <c r="AP50" s="162" t="s">
        <v>299</v>
      </c>
      <c r="AQ50" s="163">
        <v>961418</v>
      </c>
      <c r="AR50" s="164">
        <v>182669</v>
      </c>
      <c r="AS50" s="164">
        <v>1144087</v>
      </c>
      <c r="AT50" s="164">
        <v>961418</v>
      </c>
      <c r="AU50" s="164">
        <v>1144087</v>
      </c>
      <c r="AV50" s="165">
        <f t="shared" si="15"/>
        <v>1059963</v>
      </c>
      <c r="AW50" s="165">
        <f t="shared" si="16"/>
        <v>1059963</v>
      </c>
      <c r="AX50" s="165" t="str">
        <f t="shared" si="17"/>
        <v/>
      </c>
      <c r="AY50" s="166">
        <v>1.0500000000000001E-2</v>
      </c>
      <c r="AZ50" s="5"/>
      <c r="BA50" s="7"/>
      <c r="BB50" s="7"/>
    </row>
    <row r="51" spans="1:54" ht="67.5" x14ac:dyDescent="0.25">
      <c r="A51" s="137" t="s">
        <v>229</v>
      </c>
      <c r="B51" s="137" t="s">
        <v>288</v>
      </c>
      <c r="C51" s="137" t="s">
        <v>332</v>
      </c>
      <c r="D51" s="137" t="s">
        <v>416</v>
      </c>
      <c r="E51" s="138" t="s">
        <v>417</v>
      </c>
      <c r="F51" s="139" t="s">
        <v>233</v>
      </c>
      <c r="G51" s="140">
        <v>1</v>
      </c>
      <c r="H51" s="139" t="s">
        <v>335</v>
      </c>
      <c r="I51" s="141" t="s">
        <v>234</v>
      </c>
      <c r="J51" s="142">
        <v>46152</v>
      </c>
      <c r="K51" s="143" t="s">
        <v>336</v>
      </c>
      <c r="L51" s="144" t="s">
        <v>236</v>
      </c>
      <c r="M51" s="142" t="s">
        <v>337</v>
      </c>
      <c r="N51" s="145">
        <v>1150000</v>
      </c>
      <c r="O51" s="145" t="s">
        <v>245</v>
      </c>
      <c r="P51" s="145" t="s">
        <v>239</v>
      </c>
      <c r="Q51" s="146">
        <f>IF(O51="IVA Incluido",(N51/1.19),N51)</f>
        <v>1150000</v>
      </c>
      <c r="R51" s="147">
        <f>IF(P51="Si tiene IVA",Q51*19%,0)</f>
        <v>218500</v>
      </c>
      <c r="S51" s="147">
        <f>Q51+R51</f>
        <v>1368500</v>
      </c>
      <c r="T51" s="147">
        <f>IF(B51="","",(N51*G51))</f>
        <v>1150000</v>
      </c>
      <c r="U51" s="147">
        <f>IF(B51="","",(S51*G51))</f>
        <v>1368500</v>
      </c>
      <c r="V51" s="148" t="s">
        <v>234</v>
      </c>
      <c r="W51" s="149">
        <v>46152</v>
      </c>
      <c r="X51" s="150" t="s">
        <v>418</v>
      </c>
      <c r="Y51" s="151" t="s">
        <v>241</v>
      </c>
      <c r="Z51" s="152" t="s">
        <v>419</v>
      </c>
      <c r="AA51" s="153">
        <v>1008403</v>
      </c>
      <c r="AB51" s="153" t="s">
        <v>245</v>
      </c>
      <c r="AC51" s="153" t="s">
        <v>239</v>
      </c>
      <c r="AD51" s="154">
        <f>IF(AB51="IVA Incluido",(AA51/1.19),AA51)</f>
        <v>1008403</v>
      </c>
      <c r="AE51" s="155">
        <f>IF(AC51="Si tiene IVA",AD51*19%,0)</f>
        <v>191596.57</v>
      </c>
      <c r="AF51" s="155">
        <f>AD51+AE51</f>
        <v>1199999.57</v>
      </c>
      <c r="AG51" s="155">
        <f>IF(O51="","",(AA51*G51))</f>
        <v>1008403</v>
      </c>
      <c r="AH51" s="155">
        <f>IF(O51="","",(AF51*G51))</f>
        <v>1199999.57</v>
      </c>
      <c r="AI51" s="156" t="s">
        <v>420</v>
      </c>
      <c r="AJ51" s="157">
        <v>46071</v>
      </c>
      <c r="AK51" s="158" t="s">
        <v>340</v>
      </c>
      <c r="AL51" s="159" t="s">
        <v>241</v>
      </c>
      <c r="AM51" s="160" t="s">
        <v>341</v>
      </c>
      <c r="AN51" s="161">
        <v>1100000</v>
      </c>
      <c r="AO51" s="161" t="s">
        <v>245</v>
      </c>
      <c r="AP51" s="162" t="s">
        <v>239</v>
      </c>
      <c r="AQ51" s="163">
        <f>IF(AO51="IVA Incluido",(AN51/1.19),AN51)</f>
        <v>1100000</v>
      </c>
      <c r="AR51" s="164">
        <f>IF(AP51="Si tiene IVA",AQ51*19%,0)</f>
        <v>209000</v>
      </c>
      <c r="AS51" s="164">
        <f>AQ51+AR51</f>
        <v>1309000</v>
      </c>
      <c r="AT51" s="164">
        <f>IF(AB51="","",(AN51*G51))</f>
        <v>1100000</v>
      </c>
      <c r="AU51" s="164">
        <f>IF(AB51="","",(AS51*G51))</f>
        <v>1309000</v>
      </c>
      <c r="AV51" s="165">
        <f t="shared" si="15"/>
        <v>1292500</v>
      </c>
      <c r="AW51" s="165">
        <f t="shared" si="16"/>
        <v>1292500</v>
      </c>
      <c r="AX51" s="165">
        <f t="shared" si="17"/>
        <v>85453</v>
      </c>
      <c r="AY51" s="166">
        <f>IF(N51="","",(AX51/AW51))</f>
        <v>6.6114506769825915E-2</v>
      </c>
      <c r="AZ51" s="5"/>
      <c r="BA51" s="7">
        <f>COUNTA(M51,Z51,AM51)</f>
        <v>3</v>
      </c>
      <c r="BB51" s="7"/>
    </row>
    <row r="52" spans="1:54" ht="297" x14ac:dyDescent="0.25">
      <c r="A52" s="137" t="s">
        <v>299</v>
      </c>
      <c r="B52" s="137" t="s">
        <v>299</v>
      </c>
      <c r="C52" s="137" t="s">
        <v>299</v>
      </c>
      <c r="D52" s="137" t="s">
        <v>421</v>
      </c>
      <c r="E52" s="138" t="s">
        <v>422</v>
      </c>
      <c r="F52" s="139" t="s">
        <v>302</v>
      </c>
      <c r="G52" s="140">
        <v>1</v>
      </c>
      <c r="H52" s="139"/>
      <c r="I52" s="141"/>
      <c r="J52" s="142"/>
      <c r="K52" s="143"/>
      <c r="L52" s="144"/>
      <c r="M52" s="142"/>
      <c r="N52" s="145"/>
      <c r="O52" s="145"/>
      <c r="P52" s="145"/>
      <c r="Q52" s="146" t="s">
        <v>303</v>
      </c>
      <c r="R52" s="147" t="s">
        <v>303</v>
      </c>
      <c r="S52" s="147" t="s">
        <v>303</v>
      </c>
      <c r="T52" s="147" t="s">
        <v>303</v>
      </c>
      <c r="U52" s="147" t="s">
        <v>303</v>
      </c>
      <c r="V52" s="148" t="s">
        <v>299</v>
      </c>
      <c r="W52" s="149" t="s">
        <v>299</v>
      </c>
      <c r="X52" s="150" t="s">
        <v>299</v>
      </c>
      <c r="Y52" s="151" t="s">
        <v>299</v>
      </c>
      <c r="Z52" s="152" t="s">
        <v>304</v>
      </c>
      <c r="AA52" s="153" t="s">
        <v>299</v>
      </c>
      <c r="AB52" s="153" t="s">
        <v>299</v>
      </c>
      <c r="AC52" s="153" t="s">
        <v>299</v>
      </c>
      <c r="AD52" s="154" t="s">
        <v>299</v>
      </c>
      <c r="AE52" s="155" t="s">
        <v>299</v>
      </c>
      <c r="AF52" s="155">
        <f>AH52/1.19</f>
        <v>1997464.705882353</v>
      </c>
      <c r="AG52" s="155">
        <f>AF52*19%</f>
        <v>379518.29411764705</v>
      </c>
      <c r="AH52" s="155">
        <v>2376983</v>
      </c>
      <c r="AI52" s="156" t="s">
        <v>299</v>
      </c>
      <c r="AJ52" s="157" t="s">
        <v>299</v>
      </c>
      <c r="AK52" s="158" t="s">
        <v>299</v>
      </c>
      <c r="AL52" s="159" t="s">
        <v>299</v>
      </c>
      <c r="AM52" s="160" t="s">
        <v>305</v>
      </c>
      <c r="AN52" s="161" t="s">
        <v>299</v>
      </c>
      <c r="AO52" s="161" t="s">
        <v>299</v>
      </c>
      <c r="AP52" s="162" t="s">
        <v>299</v>
      </c>
      <c r="AQ52" s="163">
        <v>1986868</v>
      </c>
      <c r="AR52" s="164">
        <v>377505</v>
      </c>
      <c r="AS52" s="164">
        <v>2364373</v>
      </c>
      <c r="AT52" s="164">
        <v>1986868</v>
      </c>
      <c r="AU52" s="164">
        <v>2364373</v>
      </c>
      <c r="AV52" s="165">
        <f t="shared" si="15"/>
        <v>2180919</v>
      </c>
      <c r="AW52" s="165">
        <f t="shared" si="16"/>
        <v>2180919</v>
      </c>
      <c r="AX52" s="165" t="str">
        <f t="shared" si="17"/>
        <v/>
      </c>
      <c r="AY52" s="166">
        <v>3.8E-3</v>
      </c>
      <c r="AZ52" s="5"/>
      <c r="BA52" s="7"/>
      <c r="BB52" s="7"/>
    </row>
    <row r="53" spans="1:54" ht="297" x14ac:dyDescent="0.25">
      <c r="A53" s="137" t="s">
        <v>299</v>
      </c>
      <c r="B53" s="137" t="s">
        <v>299</v>
      </c>
      <c r="C53" s="137" t="s">
        <v>299</v>
      </c>
      <c r="D53" s="137" t="s">
        <v>423</v>
      </c>
      <c r="E53" s="138" t="s">
        <v>424</v>
      </c>
      <c r="F53" s="139" t="s">
        <v>302</v>
      </c>
      <c r="G53" s="140">
        <v>1</v>
      </c>
      <c r="H53" s="139"/>
      <c r="I53" s="141"/>
      <c r="J53" s="142"/>
      <c r="K53" s="143"/>
      <c r="L53" s="144"/>
      <c r="M53" s="142"/>
      <c r="N53" s="145"/>
      <c r="O53" s="145"/>
      <c r="P53" s="145"/>
      <c r="Q53" s="146" t="s">
        <v>303</v>
      </c>
      <c r="R53" s="147" t="s">
        <v>303</v>
      </c>
      <c r="S53" s="147" t="s">
        <v>303</v>
      </c>
      <c r="T53" s="147" t="s">
        <v>303</v>
      </c>
      <c r="U53" s="147" t="s">
        <v>303</v>
      </c>
      <c r="V53" s="148" t="s">
        <v>299</v>
      </c>
      <c r="W53" s="149" t="s">
        <v>299</v>
      </c>
      <c r="X53" s="150" t="s">
        <v>299</v>
      </c>
      <c r="Y53" s="151" t="s">
        <v>299</v>
      </c>
      <c r="Z53" s="152" t="s">
        <v>304</v>
      </c>
      <c r="AA53" s="153" t="s">
        <v>299</v>
      </c>
      <c r="AB53" s="153" t="s">
        <v>299</v>
      </c>
      <c r="AC53" s="153" t="s">
        <v>299</v>
      </c>
      <c r="AD53" s="154" t="s">
        <v>299</v>
      </c>
      <c r="AE53" s="155" t="s">
        <v>299</v>
      </c>
      <c r="AF53" s="155">
        <f>AH53/1.19</f>
        <v>2363376.4705882352</v>
      </c>
      <c r="AG53" s="155">
        <f>AF53*19%</f>
        <v>449041.5294117647</v>
      </c>
      <c r="AH53" s="155">
        <v>2812418</v>
      </c>
      <c r="AI53" s="156" t="s">
        <v>299</v>
      </c>
      <c r="AJ53" s="157" t="s">
        <v>299</v>
      </c>
      <c r="AK53" s="158" t="s">
        <v>299</v>
      </c>
      <c r="AL53" s="159" t="s">
        <v>299</v>
      </c>
      <c r="AM53" s="160" t="s">
        <v>305</v>
      </c>
      <c r="AN53" s="161" t="s">
        <v>299</v>
      </c>
      <c r="AO53" s="161" t="s">
        <v>299</v>
      </c>
      <c r="AP53" s="162" t="s">
        <v>299</v>
      </c>
      <c r="AQ53" s="163">
        <v>2350838</v>
      </c>
      <c r="AR53" s="164">
        <v>446659</v>
      </c>
      <c r="AS53" s="164">
        <v>2797498</v>
      </c>
      <c r="AT53" s="164">
        <v>2350838</v>
      </c>
      <c r="AU53" s="164">
        <v>2797498</v>
      </c>
      <c r="AV53" s="165">
        <f t="shared" si="15"/>
        <v>2580437</v>
      </c>
      <c r="AW53" s="165">
        <f t="shared" si="16"/>
        <v>2580437</v>
      </c>
      <c r="AX53" s="165" t="str">
        <f t="shared" si="17"/>
        <v/>
      </c>
      <c r="AY53" s="166">
        <v>3.8E-3</v>
      </c>
      <c r="AZ53" s="5"/>
      <c r="BA53" s="7"/>
      <c r="BB53" s="7"/>
    </row>
    <row r="54" spans="1:54" ht="54" x14ac:dyDescent="0.25">
      <c r="A54" s="137" t="s">
        <v>229</v>
      </c>
      <c r="B54" s="137" t="s">
        <v>288</v>
      </c>
      <c r="C54" s="137" t="s">
        <v>425</v>
      </c>
      <c r="D54" s="137" t="s">
        <v>426</v>
      </c>
      <c r="E54" s="138" t="s">
        <v>427</v>
      </c>
      <c r="F54" s="139" t="s">
        <v>233</v>
      </c>
      <c r="G54" s="140">
        <v>1</v>
      </c>
      <c r="H54" s="139" t="s">
        <v>335</v>
      </c>
      <c r="I54" s="141" t="s">
        <v>428</v>
      </c>
      <c r="J54" s="142">
        <v>46056</v>
      </c>
      <c r="K54" s="143" t="s">
        <v>429</v>
      </c>
      <c r="L54" s="144" t="s">
        <v>241</v>
      </c>
      <c r="M54" s="142" t="s">
        <v>325</v>
      </c>
      <c r="N54" s="145">
        <v>1050000</v>
      </c>
      <c r="O54" s="145" t="s">
        <v>245</v>
      </c>
      <c r="P54" s="145" t="s">
        <v>239</v>
      </c>
      <c r="Q54" s="146">
        <f>IF(O54="IVA Incluido",(N54/1.19),N54)</f>
        <v>1050000</v>
      </c>
      <c r="R54" s="147">
        <f>IF(P54="Si tiene IVA",Q54*19%,0)</f>
        <v>199500</v>
      </c>
      <c r="S54" s="147">
        <f>Q54+R54</f>
        <v>1249500</v>
      </c>
      <c r="T54" s="147">
        <f>IF(B54="","",(N54*G54))</f>
        <v>1050000</v>
      </c>
      <c r="U54" s="147">
        <f>IF(B54="","",(S54*G54))</f>
        <v>1249500</v>
      </c>
      <c r="V54" s="148" t="s">
        <v>428</v>
      </c>
      <c r="W54" s="149">
        <v>46070</v>
      </c>
      <c r="X54" s="150" t="s">
        <v>430</v>
      </c>
      <c r="Y54" s="151" t="s">
        <v>241</v>
      </c>
      <c r="Z54" s="152" t="s">
        <v>431</v>
      </c>
      <c r="AA54" s="153">
        <v>1500000</v>
      </c>
      <c r="AB54" s="153" t="s">
        <v>245</v>
      </c>
      <c r="AC54" s="153" t="s">
        <v>239</v>
      </c>
      <c r="AD54" s="154">
        <f>IF(AB54="IVA Incluido",(AA54/1.19),AA54)</f>
        <v>1500000</v>
      </c>
      <c r="AE54" s="155">
        <f>IF(AC54="Si tiene IVA",AD54*19%,0)</f>
        <v>285000</v>
      </c>
      <c r="AF54" s="155">
        <f>AD54+AE54</f>
        <v>1785000</v>
      </c>
      <c r="AG54" s="155">
        <f>IF(O54="","",(AA54*G54))</f>
        <v>1500000</v>
      </c>
      <c r="AH54" s="155">
        <f>IF(O54="","",(AF54*G54))</f>
        <v>1785000</v>
      </c>
      <c r="AI54" s="156" t="s">
        <v>428</v>
      </c>
      <c r="AJ54" s="157">
        <v>46105</v>
      </c>
      <c r="AK54" s="158" t="s">
        <v>418</v>
      </c>
      <c r="AL54" s="159" t="s">
        <v>241</v>
      </c>
      <c r="AM54" s="160" t="s">
        <v>419</v>
      </c>
      <c r="AN54" s="161">
        <v>1260504</v>
      </c>
      <c r="AO54" s="161" t="s">
        <v>245</v>
      </c>
      <c r="AP54" s="162" t="s">
        <v>239</v>
      </c>
      <c r="AQ54" s="163">
        <f>IF(AO54="IVA Incluido",(AN54/1.19),AN54)</f>
        <v>1260504</v>
      </c>
      <c r="AR54" s="164">
        <f>IF(AP54="Si tiene IVA",AQ54*19%,0)</f>
        <v>239495.76</v>
      </c>
      <c r="AS54" s="164">
        <f>AQ54+AR54</f>
        <v>1499999.76</v>
      </c>
      <c r="AT54" s="164">
        <f>IF(AB54="","",(AN54*G54))</f>
        <v>1260504</v>
      </c>
      <c r="AU54" s="164">
        <f>IF(AB54="","",(AS54*G54))</f>
        <v>1499999.76</v>
      </c>
      <c r="AV54" s="165">
        <f t="shared" si="15"/>
        <v>1511500</v>
      </c>
      <c r="AW54" s="165">
        <f t="shared" si="16"/>
        <v>1511500</v>
      </c>
      <c r="AX54" s="165">
        <f t="shared" si="17"/>
        <v>267935</v>
      </c>
      <c r="AY54" s="166">
        <f>IF(N54="","",(AX54/AW54))</f>
        <v>0.17726430697982137</v>
      </c>
      <c r="AZ54" s="5"/>
      <c r="BA54" s="7">
        <f>COUNTA(M54,Z54,AM54)</f>
        <v>3</v>
      </c>
      <c r="BB54" s="7"/>
    </row>
    <row r="55" spans="1:54" ht="54" x14ac:dyDescent="0.25">
      <c r="A55" s="137" t="s">
        <v>229</v>
      </c>
      <c r="B55" s="137" t="s">
        <v>288</v>
      </c>
      <c r="C55" s="137" t="s">
        <v>425</v>
      </c>
      <c r="D55" s="137" t="s">
        <v>432</v>
      </c>
      <c r="E55" s="138" t="s">
        <v>433</v>
      </c>
      <c r="F55" s="139" t="s">
        <v>233</v>
      </c>
      <c r="G55" s="140">
        <v>1</v>
      </c>
      <c r="H55" s="139" t="s">
        <v>335</v>
      </c>
      <c r="I55" s="141" t="s">
        <v>428</v>
      </c>
      <c r="J55" s="142">
        <v>46056</v>
      </c>
      <c r="K55" s="143" t="s">
        <v>429</v>
      </c>
      <c r="L55" s="144" t="s">
        <v>241</v>
      </c>
      <c r="M55" s="142" t="s">
        <v>325</v>
      </c>
      <c r="N55" s="145">
        <v>1050000</v>
      </c>
      <c r="O55" s="145" t="s">
        <v>245</v>
      </c>
      <c r="P55" s="145" t="s">
        <v>239</v>
      </c>
      <c r="Q55" s="146">
        <f>IF(O55="IVA Incluido",(N55/1.19),N55)</f>
        <v>1050000</v>
      </c>
      <c r="R55" s="147">
        <f>IF(P55="Si tiene IVA",Q55*19%,0)</f>
        <v>199500</v>
      </c>
      <c r="S55" s="147">
        <f>Q55+R55</f>
        <v>1249500</v>
      </c>
      <c r="T55" s="147">
        <f>IF(B55="","",(N55*G55))</f>
        <v>1050000</v>
      </c>
      <c r="U55" s="147">
        <f>IF(B55="","",(S55*G55))</f>
        <v>1249500</v>
      </c>
      <c r="V55" s="148" t="s">
        <v>428</v>
      </c>
      <c r="W55" s="149">
        <v>46070</v>
      </c>
      <c r="X55" s="150" t="s">
        <v>430</v>
      </c>
      <c r="Y55" s="151" t="s">
        <v>241</v>
      </c>
      <c r="Z55" s="152" t="s">
        <v>431</v>
      </c>
      <c r="AA55" s="153">
        <v>1500000</v>
      </c>
      <c r="AB55" s="153" t="s">
        <v>245</v>
      </c>
      <c r="AC55" s="153" t="s">
        <v>239</v>
      </c>
      <c r="AD55" s="154">
        <f>IF(AB55="IVA Incluido",(AA55/1.19),AA55)</f>
        <v>1500000</v>
      </c>
      <c r="AE55" s="155">
        <f>IF(AC55="Si tiene IVA",AD55*19%,0)</f>
        <v>285000</v>
      </c>
      <c r="AF55" s="155">
        <f>AD55+AE55</f>
        <v>1785000</v>
      </c>
      <c r="AG55" s="155">
        <f>IF(O55="","",(AA55*G55))</f>
        <v>1500000</v>
      </c>
      <c r="AH55" s="155">
        <f>IF(O55="","",(AF55*G55))</f>
        <v>1785000</v>
      </c>
      <c r="AI55" s="156" t="s">
        <v>428</v>
      </c>
      <c r="AJ55" s="157">
        <v>46105</v>
      </c>
      <c r="AK55" s="158" t="s">
        <v>418</v>
      </c>
      <c r="AL55" s="159" t="s">
        <v>241</v>
      </c>
      <c r="AM55" s="160" t="s">
        <v>419</v>
      </c>
      <c r="AN55" s="161">
        <v>1260504</v>
      </c>
      <c r="AO55" s="161" t="s">
        <v>245</v>
      </c>
      <c r="AP55" s="162" t="s">
        <v>239</v>
      </c>
      <c r="AQ55" s="163">
        <f>IF(AO55="IVA Incluido",(AN55/1.19),AN55)</f>
        <v>1260504</v>
      </c>
      <c r="AR55" s="164">
        <f>IF(AP55="Si tiene IVA",AQ55*19%,0)</f>
        <v>239495.76</v>
      </c>
      <c r="AS55" s="164">
        <f>AQ55+AR55</f>
        <v>1499999.76</v>
      </c>
      <c r="AT55" s="164">
        <f>IF(AB55="","",(AN55*G55))</f>
        <v>1260504</v>
      </c>
      <c r="AU55" s="164">
        <f>IF(AB55="","",(AS55*G55))</f>
        <v>1499999.76</v>
      </c>
      <c r="AV55" s="165">
        <f t="shared" si="15"/>
        <v>1511500</v>
      </c>
      <c r="AW55" s="165">
        <f t="shared" si="16"/>
        <v>1511500</v>
      </c>
      <c r="AX55" s="165">
        <f t="shared" si="17"/>
        <v>267935</v>
      </c>
      <c r="AY55" s="166">
        <f>IF(N55="","",(AX55/AW55))</f>
        <v>0.17726430697982137</v>
      </c>
      <c r="AZ55" s="5"/>
      <c r="BA55" s="7">
        <f>COUNTA(M55,Z55,AM55)</f>
        <v>3</v>
      </c>
      <c r="BB55" s="7"/>
    </row>
    <row r="56" spans="1:54" ht="108" x14ac:dyDescent="0.25">
      <c r="A56" s="137" t="s">
        <v>229</v>
      </c>
      <c r="B56" s="137" t="s">
        <v>288</v>
      </c>
      <c r="C56" s="137" t="s">
        <v>425</v>
      </c>
      <c r="D56" s="137" t="s">
        <v>434</v>
      </c>
      <c r="E56" s="138" t="s">
        <v>435</v>
      </c>
      <c r="F56" s="139" t="s">
        <v>233</v>
      </c>
      <c r="G56" s="140">
        <v>1</v>
      </c>
      <c r="H56" s="139" t="s">
        <v>335</v>
      </c>
      <c r="I56" s="141" t="s">
        <v>234</v>
      </c>
      <c r="J56" s="142">
        <v>46134</v>
      </c>
      <c r="K56" s="143" t="s">
        <v>324</v>
      </c>
      <c r="L56" s="144" t="s">
        <v>241</v>
      </c>
      <c r="M56" s="142" t="s">
        <v>325</v>
      </c>
      <c r="N56" s="145">
        <v>4590000</v>
      </c>
      <c r="O56" s="145" t="s">
        <v>245</v>
      </c>
      <c r="P56" s="145" t="s">
        <v>239</v>
      </c>
      <c r="Q56" s="146">
        <f>IF(O56="IVA Incluido",(N56/1.19),N56)</f>
        <v>4590000</v>
      </c>
      <c r="R56" s="147">
        <f>IF(P56="Si tiene IVA",Q56*19%,0)</f>
        <v>872100</v>
      </c>
      <c r="S56" s="147">
        <f>Q56+R56</f>
        <v>5462100</v>
      </c>
      <c r="T56" s="147">
        <f>IF(B56="","",(N56*G56))</f>
        <v>4590000</v>
      </c>
      <c r="U56" s="147">
        <f>IF(B56="","",(S56*G56))</f>
        <v>5462100</v>
      </c>
      <c r="V56" s="148" t="s">
        <v>234</v>
      </c>
      <c r="W56" s="149">
        <v>46134</v>
      </c>
      <c r="X56" s="150" t="s">
        <v>436</v>
      </c>
      <c r="Y56" s="151" t="s">
        <v>241</v>
      </c>
      <c r="Z56" s="152" t="s">
        <v>347</v>
      </c>
      <c r="AA56" s="153">
        <v>4550000</v>
      </c>
      <c r="AB56" s="153" t="s">
        <v>238</v>
      </c>
      <c r="AC56" s="153" t="s">
        <v>239</v>
      </c>
      <c r="AD56" s="154">
        <f>IF(AB56="IVA Incluido",(AA56/1.19),AA56)</f>
        <v>3823529.411764706</v>
      </c>
      <c r="AE56" s="155">
        <f>IF(AC56="Si tiene IVA",AD56*19%,0)</f>
        <v>726470.5882352941</v>
      </c>
      <c r="AF56" s="155">
        <f>AD56+AE56</f>
        <v>4550000</v>
      </c>
      <c r="AG56" s="155">
        <f>IF(O56="","",(AA56*G56))</f>
        <v>4550000</v>
      </c>
      <c r="AH56" s="155">
        <f>IF(O56="","",(AF56*G56))</f>
        <v>4550000</v>
      </c>
      <c r="AI56" s="156"/>
      <c r="AJ56" s="157"/>
      <c r="AK56" s="158"/>
      <c r="AL56" s="159"/>
      <c r="AM56" s="160"/>
      <c r="AN56" s="161"/>
      <c r="AO56" s="161"/>
      <c r="AP56" s="162"/>
      <c r="AQ56" s="163"/>
      <c r="AR56" s="164"/>
      <c r="AS56" s="164"/>
      <c r="AT56" s="164"/>
      <c r="AU56" s="164"/>
      <c r="AV56" s="165">
        <f t="shared" si="15"/>
        <v>5006050</v>
      </c>
      <c r="AW56" s="165">
        <f t="shared" si="16"/>
        <v>5006050</v>
      </c>
      <c r="AX56" s="165">
        <f t="shared" si="17"/>
        <v>644952</v>
      </c>
      <c r="AY56" s="166">
        <f>IF(N56="","",(AX56/AW56))</f>
        <v>0.12883451024260645</v>
      </c>
      <c r="AZ56" s="5"/>
      <c r="BA56" s="7">
        <f>COUNTA(M56,Z56,AM56)</f>
        <v>2</v>
      </c>
      <c r="BB56" s="7"/>
    </row>
    <row r="57" spans="1:54" ht="297" x14ac:dyDescent="0.25">
      <c r="A57" s="137" t="s">
        <v>299</v>
      </c>
      <c r="B57" s="137" t="s">
        <v>299</v>
      </c>
      <c r="C57" s="137" t="s">
        <v>299</v>
      </c>
      <c r="D57" s="137" t="s">
        <v>437</v>
      </c>
      <c r="E57" s="138" t="s">
        <v>438</v>
      </c>
      <c r="F57" s="139" t="s">
        <v>302</v>
      </c>
      <c r="G57" s="140">
        <v>1</v>
      </c>
      <c r="H57" s="139"/>
      <c r="I57" s="141"/>
      <c r="J57" s="142"/>
      <c r="K57" s="143"/>
      <c r="L57" s="144"/>
      <c r="M57" s="142"/>
      <c r="N57" s="145"/>
      <c r="O57" s="145"/>
      <c r="P57" s="145"/>
      <c r="Q57" s="146" t="s">
        <v>303</v>
      </c>
      <c r="R57" s="147" t="s">
        <v>303</v>
      </c>
      <c r="S57" s="147" t="s">
        <v>303</v>
      </c>
      <c r="T57" s="147" t="s">
        <v>303</v>
      </c>
      <c r="U57" s="147" t="s">
        <v>303</v>
      </c>
      <c r="V57" s="148" t="s">
        <v>299</v>
      </c>
      <c r="W57" s="149" t="s">
        <v>299</v>
      </c>
      <c r="X57" s="150" t="s">
        <v>299</v>
      </c>
      <c r="Y57" s="151" t="s">
        <v>299</v>
      </c>
      <c r="Z57" s="152" t="s">
        <v>304</v>
      </c>
      <c r="AA57" s="153" t="s">
        <v>299</v>
      </c>
      <c r="AB57" s="153" t="s">
        <v>299</v>
      </c>
      <c r="AC57" s="153" t="s">
        <v>299</v>
      </c>
      <c r="AD57" s="154" t="s">
        <v>299</v>
      </c>
      <c r="AE57" s="155" t="s">
        <v>299</v>
      </c>
      <c r="AF57" s="155">
        <f>AH57/1.19</f>
        <v>2692327.7310924372</v>
      </c>
      <c r="AG57" s="155">
        <f>AF57*19%</f>
        <v>511542.26890756306</v>
      </c>
      <c r="AH57" s="155">
        <v>3203870</v>
      </c>
      <c r="AI57" s="156" t="s">
        <v>299</v>
      </c>
      <c r="AJ57" s="157" t="s">
        <v>299</v>
      </c>
      <c r="AK57" s="158" t="s">
        <v>299</v>
      </c>
      <c r="AL57" s="159" t="s">
        <v>299</v>
      </c>
      <c r="AM57" s="160" t="s">
        <v>305</v>
      </c>
      <c r="AN57" s="161" t="s">
        <v>299</v>
      </c>
      <c r="AO57" s="161" t="s">
        <v>299</v>
      </c>
      <c r="AP57" s="162" t="s">
        <v>299</v>
      </c>
      <c r="AQ57" s="163">
        <v>2601529</v>
      </c>
      <c r="AR57" s="164">
        <v>494290</v>
      </c>
      <c r="AS57" s="164">
        <v>3095819</v>
      </c>
      <c r="AT57" s="164">
        <v>2601529</v>
      </c>
      <c r="AU57" s="164">
        <v>3095819</v>
      </c>
      <c r="AV57" s="165">
        <f t="shared" si="15"/>
        <v>2894073</v>
      </c>
      <c r="AW57" s="165">
        <f t="shared" si="16"/>
        <v>2894073</v>
      </c>
      <c r="AX57" s="165" t="str">
        <f t="shared" si="17"/>
        <v/>
      </c>
      <c r="AY57" s="166">
        <v>2.4299999999999999E-2</v>
      </c>
      <c r="AZ57" s="5"/>
      <c r="BA57" s="7"/>
      <c r="BB57" s="7"/>
    </row>
    <row r="58" spans="1:54" ht="54" x14ac:dyDescent="0.25">
      <c r="A58" s="137" t="s">
        <v>229</v>
      </c>
      <c r="B58" s="137" t="s">
        <v>288</v>
      </c>
      <c r="C58" s="137" t="s">
        <v>425</v>
      </c>
      <c r="D58" s="137" t="s">
        <v>439</v>
      </c>
      <c r="E58" s="138" t="s">
        <v>440</v>
      </c>
      <c r="F58" s="139" t="s">
        <v>233</v>
      </c>
      <c r="G58" s="140">
        <v>1</v>
      </c>
      <c r="H58" s="139" t="s">
        <v>335</v>
      </c>
      <c r="I58" s="141" t="s">
        <v>428</v>
      </c>
      <c r="J58" s="142">
        <v>46056</v>
      </c>
      <c r="K58" s="143" t="s">
        <v>429</v>
      </c>
      <c r="L58" s="144" t="s">
        <v>241</v>
      </c>
      <c r="M58" s="142" t="s">
        <v>325</v>
      </c>
      <c r="N58" s="145">
        <v>1650000</v>
      </c>
      <c r="O58" s="145" t="s">
        <v>245</v>
      </c>
      <c r="P58" s="145" t="s">
        <v>239</v>
      </c>
      <c r="Q58" s="146">
        <f>IF(O58="IVA Incluido",(N58/1.19),N58)</f>
        <v>1650000</v>
      </c>
      <c r="R58" s="147">
        <f>IF(P58="Si tiene IVA",Q58*19%,0)</f>
        <v>313500</v>
      </c>
      <c r="S58" s="147">
        <f>Q58+R58</f>
        <v>1963500</v>
      </c>
      <c r="T58" s="147">
        <f>IF(B58="","",(N58*G58))</f>
        <v>1650000</v>
      </c>
      <c r="U58" s="147">
        <f>IF(B58="","",(S58*G58))</f>
        <v>1963500</v>
      </c>
      <c r="V58" s="148" t="s">
        <v>441</v>
      </c>
      <c r="W58" s="149">
        <v>46070</v>
      </c>
      <c r="X58" s="150" t="s">
        <v>430</v>
      </c>
      <c r="Y58" s="151" t="s">
        <v>241</v>
      </c>
      <c r="Z58" s="152" t="s">
        <v>431</v>
      </c>
      <c r="AA58" s="153">
        <v>2000000</v>
      </c>
      <c r="AB58" s="153" t="s">
        <v>245</v>
      </c>
      <c r="AC58" s="153" t="s">
        <v>239</v>
      </c>
      <c r="AD58" s="154">
        <f>IF(AB58="IVA Incluido",(AA58/1.19),AA58)</f>
        <v>2000000</v>
      </c>
      <c r="AE58" s="155">
        <f>IF(AC58="Si tiene IVA",AD58*19%,0)</f>
        <v>380000</v>
      </c>
      <c r="AF58" s="155">
        <f>AD58+AE58</f>
        <v>2380000</v>
      </c>
      <c r="AG58" s="155">
        <f>IF(O58="","",(AA58*G58))</f>
        <v>2000000</v>
      </c>
      <c r="AH58" s="155">
        <f>IF(O58="","",(AF58*G58))</f>
        <v>2380000</v>
      </c>
      <c r="AI58" s="156" t="s">
        <v>428</v>
      </c>
      <c r="AJ58" s="157">
        <v>46105</v>
      </c>
      <c r="AK58" s="158" t="s">
        <v>418</v>
      </c>
      <c r="AL58" s="159" t="s">
        <v>241</v>
      </c>
      <c r="AM58" s="160" t="s">
        <v>419</v>
      </c>
      <c r="AN58" s="161">
        <v>1680672</v>
      </c>
      <c r="AO58" s="161" t="s">
        <v>245</v>
      </c>
      <c r="AP58" s="162" t="s">
        <v>239</v>
      </c>
      <c r="AQ58" s="163">
        <f>IF(AO58="IVA Incluido",(AN58/1.19),AN58)</f>
        <v>1680672</v>
      </c>
      <c r="AR58" s="164">
        <f>IF(AP58="Si tiene IVA",AQ58*19%,0)</f>
        <v>319327.68</v>
      </c>
      <c r="AS58" s="164">
        <f>AQ58+AR58</f>
        <v>1999999.68</v>
      </c>
      <c r="AT58" s="164">
        <f>IF(AB58="","",(AN58*G58))</f>
        <v>1680672</v>
      </c>
      <c r="AU58" s="164">
        <f>IF(AB58="","",(AS58*G58))</f>
        <v>1999999.68</v>
      </c>
      <c r="AV58" s="165">
        <f t="shared" si="15"/>
        <v>2114500</v>
      </c>
      <c r="AW58" s="165">
        <f t="shared" si="16"/>
        <v>2114500</v>
      </c>
      <c r="AX58" s="165">
        <f t="shared" si="17"/>
        <v>230653</v>
      </c>
      <c r="AY58" s="166">
        <f>IF(N58="","",(AX58/AW58))</f>
        <v>0.10908157956963821</v>
      </c>
      <c r="AZ58" s="5"/>
      <c r="BA58" s="7">
        <f>COUNTA(M58,Z58,AM58)</f>
        <v>3</v>
      </c>
      <c r="BB58" s="7"/>
    </row>
    <row r="59" spans="1:54" ht="54" x14ac:dyDescent="0.25">
      <c r="A59" s="137" t="s">
        <v>229</v>
      </c>
      <c r="B59" s="137" t="s">
        <v>288</v>
      </c>
      <c r="C59" s="137" t="s">
        <v>425</v>
      </c>
      <c r="D59" s="137" t="s">
        <v>442</v>
      </c>
      <c r="E59" s="138" t="s">
        <v>443</v>
      </c>
      <c r="F59" s="139" t="s">
        <v>233</v>
      </c>
      <c r="G59" s="140">
        <v>1</v>
      </c>
      <c r="H59" s="139" t="s">
        <v>335</v>
      </c>
      <c r="I59" s="141" t="s">
        <v>428</v>
      </c>
      <c r="J59" s="142">
        <v>46056</v>
      </c>
      <c r="K59" s="143" t="s">
        <v>429</v>
      </c>
      <c r="L59" s="144" t="s">
        <v>241</v>
      </c>
      <c r="M59" s="142" t="s">
        <v>325</v>
      </c>
      <c r="N59" s="145">
        <v>1650000</v>
      </c>
      <c r="O59" s="145" t="s">
        <v>245</v>
      </c>
      <c r="P59" s="145" t="s">
        <v>239</v>
      </c>
      <c r="Q59" s="146">
        <f>IF(O59="IVA Incluido",(N59/1.19),N59)</f>
        <v>1650000</v>
      </c>
      <c r="R59" s="147">
        <f>IF(P59="Si tiene IVA",Q59*19%,0)</f>
        <v>313500</v>
      </c>
      <c r="S59" s="147">
        <f>Q59+R59</f>
        <v>1963500</v>
      </c>
      <c r="T59" s="147">
        <f>IF(B59="","",(N59*G59))</f>
        <v>1650000</v>
      </c>
      <c r="U59" s="147">
        <f>IF(B59="","",(S59*G59))</f>
        <v>1963500</v>
      </c>
      <c r="V59" s="148" t="s">
        <v>428</v>
      </c>
      <c r="W59" s="149">
        <v>46070</v>
      </c>
      <c r="X59" s="150" t="s">
        <v>430</v>
      </c>
      <c r="Y59" s="151" t="s">
        <v>241</v>
      </c>
      <c r="Z59" s="152" t="s">
        <v>431</v>
      </c>
      <c r="AA59" s="153">
        <v>2000000</v>
      </c>
      <c r="AB59" s="153" t="s">
        <v>245</v>
      </c>
      <c r="AC59" s="153" t="s">
        <v>239</v>
      </c>
      <c r="AD59" s="154">
        <f>IF(AB59="IVA Incluido",(AA59/1.19),AA59)</f>
        <v>2000000</v>
      </c>
      <c r="AE59" s="155">
        <f>IF(AC59="Si tiene IVA",AD59*19%,0)</f>
        <v>380000</v>
      </c>
      <c r="AF59" s="155">
        <f>AD59+AE59</f>
        <v>2380000</v>
      </c>
      <c r="AG59" s="155">
        <f>IF(AB59="","",(AA59*G59))</f>
        <v>2000000</v>
      </c>
      <c r="AH59" s="155">
        <f>IF(O59="","",(AF59*G59))</f>
        <v>2380000</v>
      </c>
      <c r="AI59" s="156" t="s">
        <v>428</v>
      </c>
      <c r="AJ59" s="157">
        <v>46105</v>
      </c>
      <c r="AK59" s="158" t="s">
        <v>418</v>
      </c>
      <c r="AL59" s="159" t="s">
        <v>241</v>
      </c>
      <c r="AM59" s="160" t="s">
        <v>419</v>
      </c>
      <c r="AN59" s="161">
        <v>1680672</v>
      </c>
      <c r="AO59" s="161" t="s">
        <v>245</v>
      </c>
      <c r="AP59" s="162" t="s">
        <v>239</v>
      </c>
      <c r="AQ59" s="163">
        <f>IF(AO59="IVA Incluido",(AN59/1.19),AN59)</f>
        <v>1680672</v>
      </c>
      <c r="AR59" s="164">
        <f>IF(AP59="Si tiene IVA",AQ59*19%,0)</f>
        <v>319327.68</v>
      </c>
      <c r="AS59" s="164">
        <f>AQ59+AR59</f>
        <v>1999999.68</v>
      </c>
      <c r="AT59" s="164">
        <f>IF(AB59="","",(AN59*G59))</f>
        <v>1680672</v>
      </c>
      <c r="AU59" s="164">
        <f>IF(AB59="","",(AS59*G59))</f>
        <v>1999999.68</v>
      </c>
      <c r="AV59" s="165">
        <f t="shared" si="15"/>
        <v>2114500</v>
      </c>
      <c r="AW59" s="165">
        <f t="shared" si="16"/>
        <v>2114500</v>
      </c>
      <c r="AX59" s="165">
        <f t="shared" si="17"/>
        <v>230653</v>
      </c>
      <c r="AY59" s="166">
        <f>IF(N59="","",(AX59/AW59))</f>
        <v>0.10908157956963821</v>
      </c>
      <c r="AZ59" s="5"/>
      <c r="BA59" s="7">
        <f>COUNTA(M59,Z59,AM59)</f>
        <v>3</v>
      </c>
      <c r="BB59" s="7"/>
    </row>
    <row r="60" spans="1:54" ht="175.5" x14ac:dyDescent="0.25">
      <c r="A60" s="137" t="s">
        <v>229</v>
      </c>
      <c r="B60" s="137" t="s">
        <v>288</v>
      </c>
      <c r="C60" s="137" t="s">
        <v>425</v>
      </c>
      <c r="D60" s="137" t="s">
        <v>444</v>
      </c>
      <c r="E60" s="138" t="s">
        <v>445</v>
      </c>
      <c r="F60" s="139" t="s">
        <v>233</v>
      </c>
      <c r="G60" s="140">
        <v>1</v>
      </c>
      <c r="H60" s="139" t="s">
        <v>335</v>
      </c>
      <c r="I60" s="141" t="s">
        <v>428</v>
      </c>
      <c r="J60" s="142">
        <v>46056</v>
      </c>
      <c r="K60" s="143" t="s">
        <v>429</v>
      </c>
      <c r="L60" s="144" t="s">
        <v>241</v>
      </c>
      <c r="M60" s="142" t="s">
        <v>325</v>
      </c>
      <c r="N60" s="145">
        <v>2150000</v>
      </c>
      <c r="O60" s="145" t="s">
        <v>245</v>
      </c>
      <c r="P60" s="145" t="s">
        <v>239</v>
      </c>
      <c r="Q60" s="146">
        <f>IF(O60="IVA Incluido",(N60/1.19),N60)</f>
        <v>2150000</v>
      </c>
      <c r="R60" s="147">
        <f>IF(P60="Si tiene IVA",Q60*19%,0)</f>
        <v>408500</v>
      </c>
      <c r="S60" s="147">
        <f>Q60+R60</f>
        <v>2558500</v>
      </c>
      <c r="T60" s="147">
        <f>IF(B60="","",(N60*G60))</f>
        <v>2150000</v>
      </c>
      <c r="U60" s="147">
        <f>IF(B60="","",(S60*G60))</f>
        <v>2558500</v>
      </c>
      <c r="V60" s="148" t="s">
        <v>428</v>
      </c>
      <c r="W60" s="149">
        <v>46070</v>
      </c>
      <c r="X60" s="150" t="s">
        <v>430</v>
      </c>
      <c r="Y60" s="151" t="s">
        <v>241</v>
      </c>
      <c r="Z60" s="152" t="s">
        <v>431</v>
      </c>
      <c r="AA60" s="153">
        <v>3000000</v>
      </c>
      <c r="AB60" s="153" t="s">
        <v>245</v>
      </c>
      <c r="AC60" s="153" t="s">
        <v>239</v>
      </c>
      <c r="AD60" s="154">
        <f>IF(AB60="IVA Incluido",(AA60/1.19),AA60)</f>
        <v>3000000</v>
      </c>
      <c r="AE60" s="155">
        <f>IF(AC60="Si tiene IVA",AD60*19%,0)</f>
        <v>570000</v>
      </c>
      <c r="AF60" s="155">
        <f>AD60+AE60</f>
        <v>3570000</v>
      </c>
      <c r="AG60" s="155">
        <f>IF(AB60="","",(AA60*G60))</f>
        <v>3000000</v>
      </c>
      <c r="AH60" s="155">
        <f>IF(AB60="","",(AF60*G60))</f>
        <v>3570000</v>
      </c>
      <c r="AI60" s="156" t="s">
        <v>428</v>
      </c>
      <c r="AJ60" s="157">
        <v>46105</v>
      </c>
      <c r="AK60" s="158" t="s">
        <v>418</v>
      </c>
      <c r="AL60" s="159" t="s">
        <v>241</v>
      </c>
      <c r="AM60" s="160" t="s">
        <v>419</v>
      </c>
      <c r="AN60" s="161">
        <v>2521008</v>
      </c>
      <c r="AO60" s="161" t="s">
        <v>245</v>
      </c>
      <c r="AP60" s="162" t="s">
        <v>239</v>
      </c>
      <c r="AQ60" s="163">
        <f>IF(AO60="IVA Incluido",(AN60/1.19),AN60)</f>
        <v>2521008</v>
      </c>
      <c r="AR60" s="164">
        <f>IF(AP60="Si tiene IVA",AQ60*19%,0)</f>
        <v>478991.52</v>
      </c>
      <c r="AS60" s="164">
        <f>AQ60+AR60</f>
        <v>2999999.52</v>
      </c>
      <c r="AT60" s="164">
        <f>IF(AB60="","",(AN60*G60))</f>
        <v>2521008</v>
      </c>
      <c r="AU60" s="164">
        <f>IF(AB60="","",(AS60*G60))</f>
        <v>2999999.52</v>
      </c>
      <c r="AV60" s="165">
        <f t="shared" si="15"/>
        <v>3042833</v>
      </c>
      <c r="AW60" s="165">
        <f t="shared" si="16"/>
        <v>3042833</v>
      </c>
      <c r="AX60" s="165">
        <f t="shared" si="17"/>
        <v>507109</v>
      </c>
      <c r="AY60" s="166">
        <f>IF(N60="","",(AX60/AW60))</f>
        <v>0.16665686220702877</v>
      </c>
      <c r="AZ60" s="5"/>
      <c r="BA60" s="7">
        <f>COUNTA(M60,Z60,AM60)</f>
        <v>3</v>
      </c>
      <c r="BB60" s="7"/>
    </row>
    <row r="61" spans="1:54" ht="297" x14ac:dyDescent="0.25">
      <c r="A61" s="137" t="s">
        <v>299</v>
      </c>
      <c r="B61" s="137" t="s">
        <v>299</v>
      </c>
      <c r="C61" s="137" t="s">
        <v>299</v>
      </c>
      <c r="D61" s="137" t="s">
        <v>446</v>
      </c>
      <c r="E61" s="138" t="s">
        <v>447</v>
      </c>
      <c r="F61" s="139" t="s">
        <v>302</v>
      </c>
      <c r="G61" s="140">
        <v>1</v>
      </c>
      <c r="H61" s="139"/>
      <c r="I61" s="141"/>
      <c r="J61" s="142"/>
      <c r="K61" s="143"/>
      <c r="L61" s="144"/>
      <c r="M61" s="142"/>
      <c r="N61" s="145"/>
      <c r="O61" s="145"/>
      <c r="P61" s="145"/>
      <c r="Q61" s="146" t="s">
        <v>303</v>
      </c>
      <c r="R61" s="147" t="s">
        <v>303</v>
      </c>
      <c r="S61" s="147" t="s">
        <v>303</v>
      </c>
      <c r="T61" s="147" t="s">
        <v>303</v>
      </c>
      <c r="U61" s="147" t="s">
        <v>303</v>
      </c>
      <c r="V61" s="148" t="s">
        <v>299</v>
      </c>
      <c r="W61" s="149" t="s">
        <v>299</v>
      </c>
      <c r="X61" s="150" t="s">
        <v>299</v>
      </c>
      <c r="Y61" s="151" t="s">
        <v>299</v>
      </c>
      <c r="Z61" s="152" t="s">
        <v>304</v>
      </c>
      <c r="AA61" s="153" t="s">
        <v>299</v>
      </c>
      <c r="AB61" s="153" t="s">
        <v>299</v>
      </c>
      <c r="AC61" s="153" t="s">
        <v>299</v>
      </c>
      <c r="AD61" s="154" t="s">
        <v>299</v>
      </c>
      <c r="AE61" s="155" t="s">
        <v>299</v>
      </c>
      <c r="AF61" s="155">
        <f>AH61/1.19</f>
        <v>4425640.3361344542</v>
      </c>
      <c r="AG61" s="155">
        <f>AF61*19%</f>
        <v>840871.66386554635</v>
      </c>
      <c r="AH61" s="155">
        <v>5266512</v>
      </c>
      <c r="AI61" s="156" t="s">
        <v>299</v>
      </c>
      <c r="AJ61" s="157" t="s">
        <v>299</v>
      </c>
      <c r="AK61" s="158" t="s">
        <v>299</v>
      </c>
      <c r="AL61" s="159" t="s">
        <v>299</v>
      </c>
      <c r="AM61" s="160" t="s">
        <v>305</v>
      </c>
      <c r="AN61" s="161" t="s">
        <v>299</v>
      </c>
      <c r="AO61" s="161" t="s">
        <v>299</v>
      </c>
      <c r="AP61" s="162" t="s">
        <v>299</v>
      </c>
      <c r="AQ61" s="163">
        <v>4276386</v>
      </c>
      <c r="AR61" s="164">
        <v>812513</v>
      </c>
      <c r="AS61" s="164">
        <v>5088899</v>
      </c>
      <c r="AT61" s="164">
        <v>4276386</v>
      </c>
      <c r="AU61" s="164">
        <v>5088899</v>
      </c>
      <c r="AV61" s="165">
        <f t="shared" si="15"/>
        <v>4757270</v>
      </c>
      <c r="AW61" s="165">
        <f t="shared" si="16"/>
        <v>4757270</v>
      </c>
      <c r="AX61" s="165" t="str">
        <f t="shared" si="17"/>
        <v/>
      </c>
      <c r="AY61" s="166">
        <v>2.4299999999999999E-2</v>
      </c>
      <c r="AZ61" s="5"/>
      <c r="BA61" s="7"/>
      <c r="BB61" s="7"/>
    </row>
    <row r="62" spans="1:54" ht="297" x14ac:dyDescent="0.25">
      <c r="A62" s="137" t="s">
        <v>299</v>
      </c>
      <c r="B62" s="137" t="s">
        <v>299</v>
      </c>
      <c r="C62" s="137" t="s">
        <v>299</v>
      </c>
      <c r="D62" s="137" t="s">
        <v>448</v>
      </c>
      <c r="E62" s="138" t="s">
        <v>449</v>
      </c>
      <c r="F62" s="139" t="s">
        <v>302</v>
      </c>
      <c r="G62" s="140">
        <v>1</v>
      </c>
      <c r="H62" s="139"/>
      <c r="I62" s="141"/>
      <c r="J62" s="142"/>
      <c r="K62" s="143"/>
      <c r="L62" s="144"/>
      <c r="M62" s="142"/>
      <c r="N62" s="145"/>
      <c r="O62" s="145"/>
      <c r="P62" s="145"/>
      <c r="Q62" s="146" t="s">
        <v>303</v>
      </c>
      <c r="R62" s="147" t="s">
        <v>303</v>
      </c>
      <c r="S62" s="147" t="s">
        <v>303</v>
      </c>
      <c r="T62" s="147" t="s">
        <v>303</v>
      </c>
      <c r="U62" s="147" t="s">
        <v>303</v>
      </c>
      <c r="V62" s="148" t="s">
        <v>299</v>
      </c>
      <c r="W62" s="149" t="s">
        <v>299</v>
      </c>
      <c r="X62" s="150" t="s">
        <v>299</v>
      </c>
      <c r="Y62" s="151" t="s">
        <v>299</v>
      </c>
      <c r="Z62" s="152" t="s">
        <v>304</v>
      </c>
      <c r="AA62" s="153" t="s">
        <v>299</v>
      </c>
      <c r="AB62" s="153" t="s">
        <v>299</v>
      </c>
      <c r="AC62" s="153" t="s">
        <v>299</v>
      </c>
      <c r="AD62" s="154" t="s">
        <v>299</v>
      </c>
      <c r="AE62" s="155" t="s">
        <v>299</v>
      </c>
      <c r="AF62" s="155">
        <f>AH62/1.19</f>
        <v>4790127.7310924372</v>
      </c>
      <c r="AG62" s="155">
        <f>AF62*19%</f>
        <v>910124.26890756306</v>
      </c>
      <c r="AH62" s="155">
        <v>5700252</v>
      </c>
      <c r="AI62" s="156" t="s">
        <v>299</v>
      </c>
      <c r="AJ62" s="157" t="s">
        <v>299</v>
      </c>
      <c r="AK62" s="158" t="s">
        <v>299</v>
      </c>
      <c r="AL62" s="159" t="s">
        <v>299</v>
      </c>
      <c r="AM62" s="160" t="s">
        <v>305</v>
      </c>
      <c r="AN62" s="161" t="s">
        <v>299</v>
      </c>
      <c r="AO62" s="161" t="s">
        <v>299</v>
      </c>
      <c r="AP62" s="162" t="s">
        <v>299</v>
      </c>
      <c r="AQ62" s="163">
        <v>4628581</v>
      </c>
      <c r="AR62" s="164">
        <v>879430</v>
      </c>
      <c r="AS62" s="164">
        <v>5508011</v>
      </c>
      <c r="AT62" s="164">
        <v>4628581</v>
      </c>
      <c r="AU62" s="164">
        <v>5508011</v>
      </c>
      <c r="AV62" s="165">
        <f t="shared" si="15"/>
        <v>5149069</v>
      </c>
      <c r="AW62" s="165">
        <f t="shared" si="16"/>
        <v>5149069</v>
      </c>
      <c r="AX62" s="165" t="str">
        <f t="shared" si="17"/>
        <v/>
      </c>
      <c r="AY62" s="166">
        <v>2.4299999999999999E-2</v>
      </c>
      <c r="AZ62" s="5"/>
      <c r="BA62" s="7"/>
      <c r="BB62" s="7"/>
    </row>
    <row r="63" spans="1:54" ht="297" x14ac:dyDescent="0.25">
      <c r="A63" s="137" t="s">
        <v>299</v>
      </c>
      <c r="B63" s="137" t="s">
        <v>299</v>
      </c>
      <c r="C63" s="137" t="s">
        <v>299</v>
      </c>
      <c r="D63" s="137" t="s">
        <v>450</v>
      </c>
      <c r="E63" s="138" t="s">
        <v>451</v>
      </c>
      <c r="F63" s="139" t="s">
        <v>302</v>
      </c>
      <c r="G63" s="140">
        <v>1</v>
      </c>
      <c r="H63" s="139"/>
      <c r="I63" s="141"/>
      <c r="J63" s="142"/>
      <c r="K63" s="143"/>
      <c r="L63" s="144"/>
      <c r="M63" s="142"/>
      <c r="N63" s="145"/>
      <c r="O63" s="145"/>
      <c r="P63" s="145"/>
      <c r="Q63" s="146" t="s">
        <v>303</v>
      </c>
      <c r="R63" s="147" t="s">
        <v>303</v>
      </c>
      <c r="S63" s="147" t="s">
        <v>303</v>
      </c>
      <c r="T63" s="147" t="s">
        <v>303</v>
      </c>
      <c r="U63" s="147" t="s">
        <v>303</v>
      </c>
      <c r="V63" s="148" t="s">
        <v>299</v>
      </c>
      <c r="W63" s="149" t="s">
        <v>299</v>
      </c>
      <c r="X63" s="150" t="s">
        <v>299</v>
      </c>
      <c r="Y63" s="151" t="s">
        <v>299</v>
      </c>
      <c r="Z63" s="152" t="s">
        <v>304</v>
      </c>
      <c r="AA63" s="153" t="s">
        <v>299</v>
      </c>
      <c r="AB63" s="153" t="s">
        <v>299</v>
      </c>
      <c r="AC63" s="153" t="s">
        <v>299</v>
      </c>
      <c r="AD63" s="154" t="s">
        <v>299</v>
      </c>
      <c r="AE63" s="155" t="s">
        <v>299</v>
      </c>
      <c r="AF63" s="155">
        <f>AH63/1.19</f>
        <v>6741667.2268907567</v>
      </c>
      <c r="AG63" s="155">
        <f>AF63*19%</f>
        <v>1280916.7731092437</v>
      </c>
      <c r="AH63" s="155">
        <v>8022584</v>
      </c>
      <c r="AI63" s="156" t="s">
        <v>299</v>
      </c>
      <c r="AJ63" s="157" t="s">
        <v>299</v>
      </c>
      <c r="AK63" s="158" t="s">
        <v>299</v>
      </c>
      <c r="AL63" s="159" t="s">
        <v>299</v>
      </c>
      <c r="AM63" s="160" t="s">
        <v>305</v>
      </c>
      <c r="AN63" s="161" t="s">
        <v>299</v>
      </c>
      <c r="AO63" s="161" t="s">
        <v>299</v>
      </c>
      <c r="AP63" s="162" t="s">
        <v>299</v>
      </c>
      <c r="AQ63" s="163">
        <v>6705902</v>
      </c>
      <c r="AR63" s="164">
        <v>1274121</v>
      </c>
      <c r="AS63" s="164">
        <v>7980024</v>
      </c>
      <c r="AT63" s="164">
        <v>6705902</v>
      </c>
      <c r="AU63" s="164">
        <v>7980024</v>
      </c>
      <c r="AV63" s="165">
        <f t="shared" si="15"/>
        <v>7360846</v>
      </c>
      <c r="AW63" s="165">
        <f t="shared" si="16"/>
        <v>7360846</v>
      </c>
      <c r="AX63" s="165" t="str">
        <f t="shared" si="17"/>
        <v/>
      </c>
      <c r="AY63" s="166">
        <v>3.8E-3</v>
      </c>
      <c r="AZ63" s="5"/>
      <c r="BA63" s="7"/>
      <c r="BB63" s="7"/>
    </row>
    <row r="64" spans="1:54" ht="297" x14ac:dyDescent="0.25">
      <c r="A64" s="137" t="s">
        <v>299</v>
      </c>
      <c r="B64" s="137" t="s">
        <v>299</v>
      </c>
      <c r="C64" s="137" t="s">
        <v>299</v>
      </c>
      <c r="D64" s="137" t="s">
        <v>452</v>
      </c>
      <c r="E64" s="138" t="s">
        <v>453</v>
      </c>
      <c r="F64" s="139" t="s">
        <v>302</v>
      </c>
      <c r="G64" s="140">
        <v>1</v>
      </c>
      <c r="H64" s="139"/>
      <c r="I64" s="141"/>
      <c r="J64" s="142"/>
      <c r="K64" s="143"/>
      <c r="L64" s="144"/>
      <c r="M64" s="142"/>
      <c r="N64" s="145"/>
      <c r="O64" s="145"/>
      <c r="P64" s="145"/>
      <c r="Q64" s="146" t="s">
        <v>303</v>
      </c>
      <c r="R64" s="147" t="s">
        <v>303</v>
      </c>
      <c r="S64" s="147" t="s">
        <v>303</v>
      </c>
      <c r="T64" s="147" t="s">
        <v>303</v>
      </c>
      <c r="U64" s="147" t="s">
        <v>303</v>
      </c>
      <c r="V64" s="148" t="s">
        <v>299</v>
      </c>
      <c r="W64" s="149" t="s">
        <v>299</v>
      </c>
      <c r="X64" s="150" t="s">
        <v>299</v>
      </c>
      <c r="Y64" s="151" t="s">
        <v>299</v>
      </c>
      <c r="Z64" s="152" t="s">
        <v>304</v>
      </c>
      <c r="AA64" s="153" t="s">
        <v>299</v>
      </c>
      <c r="AB64" s="153" t="s">
        <v>299</v>
      </c>
      <c r="AC64" s="153" t="s">
        <v>299</v>
      </c>
      <c r="AD64" s="154" t="s">
        <v>299</v>
      </c>
      <c r="AE64" s="155" t="s">
        <v>299</v>
      </c>
      <c r="AF64" s="155">
        <f>AH64/1.19</f>
        <v>88516.806722689085</v>
      </c>
      <c r="AG64" s="155">
        <f>AF64*19%</f>
        <v>16818.193277310926</v>
      </c>
      <c r="AH64" s="155">
        <v>105335</v>
      </c>
      <c r="AI64" s="156" t="s">
        <v>299</v>
      </c>
      <c r="AJ64" s="157" t="s">
        <v>299</v>
      </c>
      <c r="AK64" s="158" t="s">
        <v>299</v>
      </c>
      <c r="AL64" s="159" t="s">
        <v>299</v>
      </c>
      <c r="AM64" s="160" t="s">
        <v>305</v>
      </c>
      <c r="AN64" s="161" t="s">
        <v>299</v>
      </c>
      <c r="AO64" s="161" t="s">
        <v>299</v>
      </c>
      <c r="AP64" s="162" t="s">
        <v>299</v>
      </c>
      <c r="AQ64" s="163">
        <v>85532</v>
      </c>
      <c r="AR64" s="164">
        <v>16251</v>
      </c>
      <c r="AS64" s="164">
        <v>101783</v>
      </c>
      <c r="AT64" s="164">
        <v>85532</v>
      </c>
      <c r="AU64" s="164">
        <v>101783</v>
      </c>
      <c r="AV64" s="165">
        <f t="shared" si="15"/>
        <v>95150</v>
      </c>
      <c r="AW64" s="165">
        <f t="shared" si="16"/>
        <v>95150</v>
      </c>
      <c r="AX64" s="165" t="str">
        <f t="shared" si="17"/>
        <v/>
      </c>
      <c r="AY64" s="166">
        <v>2.4299999999999999E-2</v>
      </c>
      <c r="AZ64" s="5"/>
      <c r="BA64" s="7"/>
      <c r="BB64" s="7"/>
    </row>
    <row r="65" spans="1:54" ht="94.5" x14ac:dyDescent="0.25">
      <c r="A65" s="137" t="s">
        <v>229</v>
      </c>
      <c r="B65" s="137" t="s">
        <v>288</v>
      </c>
      <c r="C65" s="137" t="s">
        <v>332</v>
      </c>
      <c r="D65" s="137" t="s">
        <v>454</v>
      </c>
      <c r="E65" s="138" t="s">
        <v>455</v>
      </c>
      <c r="F65" s="139" t="s">
        <v>233</v>
      </c>
      <c r="G65" s="140">
        <v>1</v>
      </c>
      <c r="H65" s="139" t="s">
        <v>335</v>
      </c>
      <c r="I65" s="141" t="s">
        <v>428</v>
      </c>
      <c r="J65" s="142">
        <v>46071</v>
      </c>
      <c r="K65" s="143" t="s">
        <v>336</v>
      </c>
      <c r="L65" s="144" t="s">
        <v>241</v>
      </c>
      <c r="M65" s="142" t="s">
        <v>337</v>
      </c>
      <c r="N65" s="145">
        <v>3280000</v>
      </c>
      <c r="O65" s="145" t="s">
        <v>245</v>
      </c>
      <c r="P65" s="145" t="s">
        <v>239</v>
      </c>
      <c r="Q65" s="146">
        <f>IF(O65="IVA Incluido",(N65/1.19),N65)</f>
        <v>3280000</v>
      </c>
      <c r="R65" s="147">
        <f>IF(P65="Si tiene IVA",Q65*19%,0)</f>
        <v>623200</v>
      </c>
      <c r="S65" s="147">
        <f>Q65+R65</f>
        <v>3903200</v>
      </c>
      <c r="T65" s="147">
        <f>IF(B65="","",(N65*G65))</f>
        <v>3280000</v>
      </c>
      <c r="U65" s="147">
        <f>IF(B65="","",(S65*G65))</f>
        <v>3903200</v>
      </c>
      <c r="V65" s="148" t="s">
        <v>420</v>
      </c>
      <c r="W65" s="149">
        <v>46071</v>
      </c>
      <c r="X65" s="150" t="s">
        <v>338</v>
      </c>
      <c r="Y65" s="151" t="s">
        <v>241</v>
      </c>
      <c r="Z65" s="152" t="s">
        <v>339</v>
      </c>
      <c r="AA65" s="153">
        <v>5000000</v>
      </c>
      <c r="AB65" s="153" t="s">
        <v>245</v>
      </c>
      <c r="AC65" s="153" t="s">
        <v>239</v>
      </c>
      <c r="AD65" s="154">
        <f>IF(AB65="IVA Incluido",(AA65/1.19),AA65)</f>
        <v>5000000</v>
      </c>
      <c r="AE65" s="155">
        <f>IF(AC65="Si tiene IVA",AD65*19%,0)</f>
        <v>950000</v>
      </c>
      <c r="AF65" s="155">
        <f>AD65+AE65</f>
        <v>5950000</v>
      </c>
      <c r="AG65" s="155">
        <f>IF(O65="","",(AA65*G65))</f>
        <v>5000000</v>
      </c>
      <c r="AH65" s="155">
        <f>IF(O65="","",(AF65*G65))</f>
        <v>5950000</v>
      </c>
      <c r="AI65" s="156" t="s">
        <v>420</v>
      </c>
      <c r="AJ65" s="157">
        <v>46071</v>
      </c>
      <c r="AK65" s="158" t="s">
        <v>340</v>
      </c>
      <c r="AL65" s="159" t="s">
        <v>241</v>
      </c>
      <c r="AM65" s="160" t="s">
        <v>341</v>
      </c>
      <c r="AN65" s="161">
        <v>4200000</v>
      </c>
      <c r="AO65" s="161" t="s">
        <v>245</v>
      </c>
      <c r="AP65" s="162" t="s">
        <v>239</v>
      </c>
      <c r="AQ65" s="163">
        <f>IF(AO65="IVA Incluido",(AN65/1.19),AN65)</f>
        <v>4200000</v>
      </c>
      <c r="AR65" s="164">
        <f>IF(AP65="Si tiene IVA",AQ65*19%,0)</f>
        <v>798000</v>
      </c>
      <c r="AS65" s="164">
        <f>AQ65+AR65</f>
        <v>4998000</v>
      </c>
      <c r="AT65" s="164">
        <f>IF(AB65="","",(AN65*G65))</f>
        <v>4200000</v>
      </c>
      <c r="AU65" s="164">
        <f>IF(AB65="","",(AS65*G65))</f>
        <v>4998000</v>
      </c>
      <c r="AV65" s="165">
        <f t="shared" si="15"/>
        <v>4950400</v>
      </c>
      <c r="AW65" s="165">
        <f t="shared" si="16"/>
        <v>4950400</v>
      </c>
      <c r="AX65" s="165">
        <f t="shared" si="17"/>
        <v>1024230</v>
      </c>
      <c r="AY65" s="166">
        <f>IF(N65="","",(AX65/AW65))</f>
        <v>0.20689843244990302</v>
      </c>
      <c r="AZ65" s="5"/>
      <c r="BA65" s="7">
        <f>COUNTA(M65,Z65,AM65)</f>
        <v>3</v>
      </c>
      <c r="BB65" s="7"/>
    </row>
    <row r="66" spans="1:54" ht="108" x14ac:dyDescent="0.25">
      <c r="A66" s="137" t="s">
        <v>229</v>
      </c>
      <c r="B66" s="137" t="s">
        <v>288</v>
      </c>
      <c r="C66" s="137" t="s">
        <v>332</v>
      </c>
      <c r="D66" s="137" t="s">
        <v>456</v>
      </c>
      <c r="E66" s="138" t="s">
        <v>457</v>
      </c>
      <c r="F66" s="139" t="s">
        <v>233</v>
      </c>
      <c r="G66" s="140">
        <v>1</v>
      </c>
      <c r="H66" s="139" t="s">
        <v>335</v>
      </c>
      <c r="I66" s="141" t="s">
        <v>428</v>
      </c>
      <c r="J66" s="142">
        <v>46105</v>
      </c>
      <c r="K66" s="143" t="s">
        <v>418</v>
      </c>
      <c r="L66" s="144" t="s">
        <v>241</v>
      </c>
      <c r="M66" s="142" t="s">
        <v>419</v>
      </c>
      <c r="N66" s="145">
        <v>756303</v>
      </c>
      <c r="O66" s="145" t="s">
        <v>245</v>
      </c>
      <c r="P66" s="145" t="s">
        <v>239</v>
      </c>
      <c r="Q66" s="146">
        <f>IF(O66="IVA Incluido",(N66/1.19),N66)</f>
        <v>756303</v>
      </c>
      <c r="R66" s="147">
        <f>IF(P66="Si tiene IVA",Q66*19%,0)</f>
        <v>143697.57</v>
      </c>
      <c r="S66" s="147">
        <f>Q66+R66</f>
        <v>900000.57000000007</v>
      </c>
      <c r="T66" s="147">
        <f>IF(B66="","",(N66*G66))</f>
        <v>756303</v>
      </c>
      <c r="U66" s="147">
        <f>IF(B66="","",(S66*G66))</f>
        <v>900000.57000000007</v>
      </c>
      <c r="V66" s="148" t="s">
        <v>428</v>
      </c>
      <c r="W66" s="149">
        <v>46056</v>
      </c>
      <c r="X66" s="150" t="s">
        <v>429</v>
      </c>
      <c r="Y66" s="151" t="s">
        <v>241</v>
      </c>
      <c r="Z66" s="152" t="s">
        <v>325</v>
      </c>
      <c r="AA66" s="153">
        <v>815000</v>
      </c>
      <c r="AB66" s="153" t="s">
        <v>245</v>
      </c>
      <c r="AC66" s="153" t="s">
        <v>239</v>
      </c>
      <c r="AD66" s="154">
        <f>IF(AB66="IVA Incluido",(AA66/1.19),AA66)</f>
        <v>815000</v>
      </c>
      <c r="AE66" s="155">
        <f>IF(AC66="Si tiene IVA",AD66*19%,0)</f>
        <v>154850</v>
      </c>
      <c r="AF66" s="155">
        <f>AD66+AE66</f>
        <v>969850</v>
      </c>
      <c r="AG66" s="155">
        <f>IF(AB66="","",(AA66*G66))</f>
        <v>815000</v>
      </c>
      <c r="AH66" s="155">
        <f>IF(AB66="","",(AF66*G66))</f>
        <v>969850</v>
      </c>
      <c r="AI66" s="156"/>
      <c r="AJ66" s="157"/>
      <c r="AK66" s="158"/>
      <c r="AL66" s="159"/>
      <c r="AM66" s="160"/>
      <c r="AN66" s="161"/>
      <c r="AO66" s="161"/>
      <c r="AP66" s="162"/>
      <c r="AQ66" s="163"/>
      <c r="AR66" s="164"/>
      <c r="AS66" s="164"/>
      <c r="AT66" s="164"/>
      <c r="AU66" s="164"/>
      <c r="AV66" s="165">
        <f t="shared" si="15"/>
        <v>934925</v>
      </c>
      <c r="AW66" s="165">
        <f t="shared" si="16"/>
        <v>934925</v>
      </c>
      <c r="AX66" s="165">
        <f t="shared" si="17"/>
        <v>49391</v>
      </c>
      <c r="AY66" s="166">
        <f>IF(N66="","",(AX66/AW66))</f>
        <v>5.2828836537690188E-2</v>
      </c>
      <c r="AZ66" s="5"/>
      <c r="BA66" s="7">
        <f>COUNTA(M66,Z66,AM66)</f>
        <v>2</v>
      </c>
      <c r="BB66" s="7"/>
    </row>
    <row r="67" spans="1:54" ht="108" x14ac:dyDescent="0.25">
      <c r="A67" s="137" t="s">
        <v>229</v>
      </c>
      <c r="B67" s="137" t="s">
        <v>288</v>
      </c>
      <c r="C67" s="137" t="s">
        <v>332</v>
      </c>
      <c r="D67" s="137" t="s">
        <v>458</v>
      </c>
      <c r="E67" s="138" t="s">
        <v>459</v>
      </c>
      <c r="F67" s="139" t="s">
        <v>233</v>
      </c>
      <c r="G67" s="140">
        <v>1</v>
      </c>
      <c r="H67" s="139" t="s">
        <v>335</v>
      </c>
      <c r="I67" s="141" t="s">
        <v>428</v>
      </c>
      <c r="J67" s="142">
        <v>46056</v>
      </c>
      <c r="K67" s="143" t="s">
        <v>429</v>
      </c>
      <c r="L67" s="144" t="s">
        <v>241</v>
      </c>
      <c r="M67" s="142" t="s">
        <v>325</v>
      </c>
      <c r="N67" s="145">
        <v>710000</v>
      </c>
      <c r="O67" s="145" t="s">
        <v>245</v>
      </c>
      <c r="P67" s="145" t="s">
        <v>239</v>
      </c>
      <c r="Q67" s="146">
        <f>IF(O67="IVA Incluido",(N67/1.19),N67)</f>
        <v>710000</v>
      </c>
      <c r="R67" s="147">
        <f>IF(P67="Si tiene IVA",Q67*19%,0)</f>
        <v>134900</v>
      </c>
      <c r="S67" s="147">
        <f>Q67+R67</f>
        <v>844900</v>
      </c>
      <c r="T67" s="147">
        <f>IF(B67="","",(N67*G67))</f>
        <v>710000</v>
      </c>
      <c r="U67" s="147">
        <f>IF(B67="","",(S67*G67))</f>
        <v>844900</v>
      </c>
      <c r="V67" s="148" t="s">
        <v>428</v>
      </c>
      <c r="W67" s="149">
        <v>46105</v>
      </c>
      <c r="X67" s="150" t="s">
        <v>418</v>
      </c>
      <c r="Y67" s="151" t="s">
        <v>241</v>
      </c>
      <c r="Z67" s="152" t="s">
        <v>419</v>
      </c>
      <c r="AA67" s="153">
        <v>756303</v>
      </c>
      <c r="AB67" s="153" t="s">
        <v>245</v>
      </c>
      <c r="AC67" s="153" t="s">
        <v>239</v>
      </c>
      <c r="AD67" s="154">
        <f>IF(AB67="IVA Incluido",(AA67/1.19),AA67)</f>
        <v>756303</v>
      </c>
      <c r="AE67" s="155">
        <f>IF(AC67="Si tiene IVA",AD67*19%,0)</f>
        <v>143697.57</v>
      </c>
      <c r="AF67" s="155">
        <f>AD67+AE67</f>
        <v>900000.57000000007</v>
      </c>
      <c r="AG67" s="155">
        <f>IF(O67="","",(AA67*G67))</f>
        <v>756303</v>
      </c>
      <c r="AH67" s="155">
        <f>IF(O67="","",(AF67*G67))</f>
        <v>900000.57000000007</v>
      </c>
      <c r="AI67" s="156"/>
      <c r="AJ67" s="157"/>
      <c r="AK67" s="158"/>
      <c r="AL67" s="159"/>
      <c r="AM67" s="160"/>
      <c r="AN67" s="161"/>
      <c r="AO67" s="161"/>
      <c r="AP67" s="162"/>
      <c r="AQ67" s="163"/>
      <c r="AR67" s="164"/>
      <c r="AS67" s="164"/>
      <c r="AT67" s="164"/>
      <c r="AU67" s="164"/>
      <c r="AV67" s="165">
        <f t="shared" si="15"/>
        <v>872450</v>
      </c>
      <c r="AW67" s="165">
        <f t="shared" si="16"/>
        <v>872450</v>
      </c>
      <c r="AX67" s="165">
        <f t="shared" si="17"/>
        <v>38962</v>
      </c>
      <c r="AY67" s="166">
        <f>IF(N67="","",(AX67/AW67))</f>
        <v>4.4658146598658952E-2</v>
      </c>
      <c r="AZ67" s="5"/>
      <c r="BA67" s="7">
        <f>COUNTA(M67,Z67,AM67)</f>
        <v>2</v>
      </c>
      <c r="BB67" s="7"/>
    </row>
    <row r="68" spans="1:54" ht="297" x14ac:dyDescent="0.25">
      <c r="A68" s="137" t="s">
        <v>299</v>
      </c>
      <c r="B68" s="137" t="s">
        <v>299</v>
      </c>
      <c r="C68" s="137" t="s">
        <v>299</v>
      </c>
      <c r="D68" s="137" t="s">
        <v>460</v>
      </c>
      <c r="E68" s="138" t="s">
        <v>461</v>
      </c>
      <c r="F68" s="139" t="s">
        <v>302</v>
      </c>
      <c r="G68" s="140">
        <v>1</v>
      </c>
      <c r="H68" s="139"/>
      <c r="I68" s="141"/>
      <c r="J68" s="142"/>
      <c r="K68" s="143"/>
      <c r="L68" s="144"/>
      <c r="M68" s="142"/>
      <c r="N68" s="145"/>
      <c r="O68" s="145"/>
      <c r="P68" s="145"/>
      <c r="Q68" s="146" t="s">
        <v>303</v>
      </c>
      <c r="R68" s="147" t="s">
        <v>303</v>
      </c>
      <c r="S68" s="147" t="s">
        <v>303</v>
      </c>
      <c r="T68" s="147" t="s">
        <v>303</v>
      </c>
      <c r="U68" s="147" t="s">
        <v>303</v>
      </c>
      <c r="V68" s="148" t="s">
        <v>299</v>
      </c>
      <c r="W68" s="149" t="s">
        <v>299</v>
      </c>
      <c r="X68" s="150" t="s">
        <v>299</v>
      </c>
      <c r="Y68" s="151" t="s">
        <v>299</v>
      </c>
      <c r="Z68" s="152" t="s">
        <v>304</v>
      </c>
      <c r="AA68" s="153" t="s">
        <v>299</v>
      </c>
      <c r="AB68" s="153" t="s">
        <v>299</v>
      </c>
      <c r="AC68" s="153" t="s">
        <v>299</v>
      </c>
      <c r="AD68" s="154" t="s">
        <v>299</v>
      </c>
      <c r="AE68" s="155" t="s">
        <v>299</v>
      </c>
      <c r="AF68" s="155">
        <f>AH68/1.19</f>
        <v>1974890.7563025211</v>
      </c>
      <c r="AG68" s="155">
        <f>AF68*19%</f>
        <v>375229.24369747902</v>
      </c>
      <c r="AH68" s="155">
        <v>2350120</v>
      </c>
      <c r="AI68" s="156" t="s">
        <v>299</v>
      </c>
      <c r="AJ68" s="157" t="s">
        <v>299</v>
      </c>
      <c r="AK68" s="158" t="s">
        <v>299</v>
      </c>
      <c r="AL68" s="159" t="s">
        <v>299</v>
      </c>
      <c r="AM68" s="160" t="s">
        <v>305</v>
      </c>
      <c r="AN68" s="161" t="s">
        <v>299</v>
      </c>
      <c r="AO68" s="161" t="s">
        <v>299</v>
      </c>
      <c r="AP68" s="162" t="s">
        <v>299</v>
      </c>
      <c r="AQ68" s="163">
        <v>1945705</v>
      </c>
      <c r="AR68" s="164">
        <v>369684</v>
      </c>
      <c r="AS68" s="164">
        <v>2315389</v>
      </c>
      <c r="AT68" s="164">
        <v>1945705</v>
      </c>
      <c r="AU68" s="164">
        <v>2315389</v>
      </c>
      <c r="AV68" s="165">
        <f t="shared" ref="AV68:AV131" si="27">IF(A68="","",ROUND(AVERAGE(S68,AF68,AS68),0))</f>
        <v>2145140</v>
      </c>
      <c r="AW68" s="165">
        <f t="shared" ref="AW68:AW131" si="28">IF(A68="","",AV68*G68)</f>
        <v>2145140</v>
      </c>
      <c r="AX68" s="165" t="str">
        <f t="shared" ref="AX68:AX131" si="29">IF(N68="","",ROUND(STDEV(U68,AH68,AU68),0))</f>
        <v/>
      </c>
      <c r="AY68" s="166">
        <v>1.0500000000000001E-2</v>
      </c>
      <c r="AZ68" s="5"/>
      <c r="BA68" s="7"/>
      <c r="BB68" s="7"/>
    </row>
    <row r="69" spans="1:54" ht="108" x14ac:dyDescent="0.25">
      <c r="A69" s="137" t="s">
        <v>229</v>
      </c>
      <c r="B69" s="137" t="s">
        <v>288</v>
      </c>
      <c r="C69" s="137" t="s">
        <v>332</v>
      </c>
      <c r="D69" s="137" t="s">
        <v>462</v>
      </c>
      <c r="E69" s="138" t="s">
        <v>463</v>
      </c>
      <c r="F69" s="139" t="s">
        <v>233</v>
      </c>
      <c r="G69" s="140">
        <v>1</v>
      </c>
      <c r="H69" s="139" t="s">
        <v>335</v>
      </c>
      <c r="I69" s="141" t="s">
        <v>428</v>
      </c>
      <c r="J69" s="142">
        <v>46056</v>
      </c>
      <c r="K69" s="143" t="s">
        <v>429</v>
      </c>
      <c r="L69" s="144" t="s">
        <v>241</v>
      </c>
      <c r="M69" s="142" t="s">
        <v>325</v>
      </c>
      <c r="N69" s="145">
        <v>890000</v>
      </c>
      <c r="O69" s="145" t="s">
        <v>245</v>
      </c>
      <c r="P69" s="145" t="s">
        <v>239</v>
      </c>
      <c r="Q69" s="146">
        <f>IF(O69="IVA Incluido",(N69/1.19),N69)</f>
        <v>890000</v>
      </c>
      <c r="R69" s="147">
        <f>IF(P69="Si tiene IVA",Q69*19%,0)</f>
        <v>169100</v>
      </c>
      <c r="S69" s="147">
        <f>Q69+R69</f>
        <v>1059100</v>
      </c>
      <c r="T69" s="147">
        <f>IF(B69="","",(N69*G69))</f>
        <v>890000</v>
      </c>
      <c r="U69" s="147">
        <f>IF(B69="","",(S69*G69))</f>
        <v>1059100</v>
      </c>
      <c r="V69" s="148" t="s">
        <v>441</v>
      </c>
      <c r="W69" s="149">
        <v>46105</v>
      </c>
      <c r="X69" s="150" t="s">
        <v>418</v>
      </c>
      <c r="Y69" s="151" t="s">
        <v>241</v>
      </c>
      <c r="Z69" s="152" t="s">
        <v>419</v>
      </c>
      <c r="AA69" s="153">
        <v>840336</v>
      </c>
      <c r="AB69" s="153" t="s">
        <v>245</v>
      </c>
      <c r="AC69" s="153" t="s">
        <v>239</v>
      </c>
      <c r="AD69" s="154">
        <f>IF(AB69="IVA Incluido",(AA69/1.19),AA69)</f>
        <v>840336</v>
      </c>
      <c r="AE69" s="155">
        <f>IF(AC69="Si tiene IVA",AD69*19%,0)</f>
        <v>159663.84</v>
      </c>
      <c r="AF69" s="155">
        <f>AD69+AE69</f>
        <v>999999.84</v>
      </c>
      <c r="AG69" s="155">
        <f>IF(O69="","",(AA69*G69))</f>
        <v>840336</v>
      </c>
      <c r="AH69" s="155">
        <f>IF(O69="","",(AF69*G69))</f>
        <v>999999.84</v>
      </c>
      <c r="AI69" s="156" t="s">
        <v>441</v>
      </c>
      <c r="AJ69" s="157">
        <v>46070</v>
      </c>
      <c r="AK69" s="158" t="s">
        <v>464</v>
      </c>
      <c r="AL69" s="159" t="s">
        <v>241</v>
      </c>
      <c r="AM69" s="160" t="s">
        <v>465</v>
      </c>
      <c r="AN69" s="161">
        <v>650000</v>
      </c>
      <c r="AO69" s="161" t="s">
        <v>245</v>
      </c>
      <c r="AP69" s="162" t="s">
        <v>239</v>
      </c>
      <c r="AQ69" s="163">
        <f>IF(AO69="IVA Incluido",(AN69/1.19),AN69)</f>
        <v>650000</v>
      </c>
      <c r="AR69" s="164">
        <f>IF(AP69="Si tiene IVA",AQ69*19%,0)</f>
        <v>123500</v>
      </c>
      <c r="AS69" s="164">
        <f>AQ69+AR69</f>
        <v>773500</v>
      </c>
      <c r="AT69" s="164">
        <f>IF(AB69="","",(AN69*G69))</f>
        <v>650000</v>
      </c>
      <c r="AU69" s="164">
        <f>IF(AB69="","",(AS69*G69))</f>
        <v>773500</v>
      </c>
      <c r="AV69" s="165">
        <f t="shared" si="27"/>
        <v>944200</v>
      </c>
      <c r="AW69" s="165">
        <f t="shared" si="28"/>
        <v>944200</v>
      </c>
      <c r="AX69" s="165">
        <f t="shared" si="29"/>
        <v>150755</v>
      </c>
      <c r="AY69" s="166">
        <f>IF(N69="","",(AX69/AW69))</f>
        <v>0.15966426604532938</v>
      </c>
      <c r="AZ69" s="5"/>
      <c r="BA69" s="7">
        <f>COUNTA(M69,Z69,AM69)</f>
        <v>3</v>
      </c>
      <c r="BB69" s="7"/>
    </row>
    <row r="70" spans="1:54" ht="297" x14ac:dyDescent="0.25">
      <c r="A70" s="137" t="s">
        <v>299</v>
      </c>
      <c r="B70" s="137" t="s">
        <v>299</v>
      </c>
      <c r="C70" s="137" t="s">
        <v>299</v>
      </c>
      <c r="D70" s="137" t="s">
        <v>466</v>
      </c>
      <c r="E70" s="138" t="s">
        <v>467</v>
      </c>
      <c r="F70" s="139" t="s">
        <v>302</v>
      </c>
      <c r="G70" s="140">
        <v>1</v>
      </c>
      <c r="H70" s="139"/>
      <c r="I70" s="141"/>
      <c r="J70" s="142"/>
      <c r="K70" s="143"/>
      <c r="L70" s="144"/>
      <c r="M70" s="142"/>
      <c r="N70" s="145"/>
      <c r="O70" s="145"/>
      <c r="P70" s="145"/>
      <c r="Q70" s="146" t="s">
        <v>303</v>
      </c>
      <c r="R70" s="147" t="s">
        <v>303</v>
      </c>
      <c r="S70" s="147" t="s">
        <v>303</v>
      </c>
      <c r="T70" s="147" t="s">
        <v>303</v>
      </c>
      <c r="U70" s="147" t="s">
        <v>303</v>
      </c>
      <c r="V70" s="148" t="s">
        <v>299</v>
      </c>
      <c r="W70" s="149" t="s">
        <v>299</v>
      </c>
      <c r="X70" s="150" t="s">
        <v>299</v>
      </c>
      <c r="Y70" s="151" t="s">
        <v>299</v>
      </c>
      <c r="Z70" s="152" t="s">
        <v>304</v>
      </c>
      <c r="AA70" s="153" t="s">
        <v>299</v>
      </c>
      <c r="AB70" s="153" t="s">
        <v>299</v>
      </c>
      <c r="AC70" s="153" t="s">
        <v>299</v>
      </c>
      <c r="AD70" s="154" t="s">
        <v>299</v>
      </c>
      <c r="AE70" s="155" t="s">
        <v>299</v>
      </c>
      <c r="AF70" s="155">
        <f>AH70/1.19</f>
        <v>1218534.4537815126</v>
      </c>
      <c r="AG70" s="155">
        <f>AF70*19%</f>
        <v>231521.54621848738</v>
      </c>
      <c r="AH70" s="155">
        <v>1450056</v>
      </c>
      <c r="AI70" s="156" t="s">
        <v>299</v>
      </c>
      <c r="AJ70" s="157" t="s">
        <v>299</v>
      </c>
      <c r="AK70" s="158" t="s">
        <v>299</v>
      </c>
      <c r="AL70" s="159" t="s">
        <v>299</v>
      </c>
      <c r="AM70" s="160" t="s">
        <v>305</v>
      </c>
      <c r="AN70" s="161" t="s">
        <v>299</v>
      </c>
      <c r="AO70" s="161" t="s">
        <v>299</v>
      </c>
      <c r="AP70" s="162" t="s">
        <v>299</v>
      </c>
      <c r="AQ70" s="163">
        <v>1200527</v>
      </c>
      <c r="AR70" s="164">
        <v>228100</v>
      </c>
      <c r="AS70" s="164">
        <v>1428627</v>
      </c>
      <c r="AT70" s="164">
        <v>1200527</v>
      </c>
      <c r="AU70" s="164">
        <v>1428627</v>
      </c>
      <c r="AV70" s="165">
        <f t="shared" si="27"/>
        <v>1323581</v>
      </c>
      <c r="AW70" s="165">
        <f t="shared" si="28"/>
        <v>1323581</v>
      </c>
      <c r="AX70" s="165" t="str">
        <f t="shared" si="29"/>
        <v/>
      </c>
      <c r="AY70" s="166">
        <v>1.0500000000000001E-2</v>
      </c>
      <c r="AZ70" s="5"/>
      <c r="BA70" s="7"/>
      <c r="BB70" s="7"/>
    </row>
    <row r="71" spans="1:54" ht="297" x14ac:dyDescent="0.25">
      <c r="A71" s="137" t="s">
        <v>299</v>
      </c>
      <c r="B71" s="137" t="s">
        <v>299</v>
      </c>
      <c r="C71" s="137" t="s">
        <v>299</v>
      </c>
      <c r="D71" s="137" t="s">
        <v>468</v>
      </c>
      <c r="E71" s="138" t="s">
        <v>469</v>
      </c>
      <c r="F71" s="139" t="s">
        <v>302</v>
      </c>
      <c r="G71" s="140">
        <v>1</v>
      </c>
      <c r="H71" s="139"/>
      <c r="I71" s="141"/>
      <c r="J71" s="142"/>
      <c r="K71" s="143"/>
      <c r="L71" s="144"/>
      <c r="M71" s="142"/>
      <c r="N71" s="145"/>
      <c r="O71" s="145"/>
      <c r="P71" s="145"/>
      <c r="Q71" s="146" t="s">
        <v>303</v>
      </c>
      <c r="R71" s="147" t="s">
        <v>303</v>
      </c>
      <c r="S71" s="147" t="s">
        <v>303</v>
      </c>
      <c r="T71" s="147" t="s">
        <v>303</v>
      </c>
      <c r="U71" s="147" t="s">
        <v>303</v>
      </c>
      <c r="V71" s="148" t="s">
        <v>299</v>
      </c>
      <c r="W71" s="149" t="s">
        <v>299</v>
      </c>
      <c r="X71" s="150" t="s">
        <v>299</v>
      </c>
      <c r="Y71" s="151" t="s">
        <v>299</v>
      </c>
      <c r="Z71" s="152" t="s">
        <v>304</v>
      </c>
      <c r="AA71" s="153" t="s">
        <v>299</v>
      </c>
      <c r="AB71" s="153" t="s">
        <v>299</v>
      </c>
      <c r="AC71" s="153" t="s">
        <v>299</v>
      </c>
      <c r="AD71" s="154" t="s">
        <v>299</v>
      </c>
      <c r="AE71" s="155" t="s">
        <v>299</v>
      </c>
      <c r="AF71" s="155">
        <f>AH71/1.19</f>
        <v>1712023.5294117648</v>
      </c>
      <c r="AG71" s="155">
        <f>AF71*19%</f>
        <v>325284.4705882353</v>
      </c>
      <c r="AH71" s="155">
        <v>2037308</v>
      </c>
      <c r="AI71" s="156" t="s">
        <v>299</v>
      </c>
      <c r="AJ71" s="157" t="s">
        <v>299</v>
      </c>
      <c r="AK71" s="158" t="s">
        <v>299</v>
      </c>
      <c r="AL71" s="159" t="s">
        <v>299</v>
      </c>
      <c r="AM71" s="160" t="s">
        <v>305</v>
      </c>
      <c r="AN71" s="161" t="s">
        <v>299</v>
      </c>
      <c r="AO71" s="161" t="s">
        <v>299</v>
      </c>
      <c r="AP71" s="162" t="s">
        <v>299</v>
      </c>
      <c r="AQ71" s="163">
        <v>1686723</v>
      </c>
      <c r="AR71" s="164">
        <v>320477</v>
      </c>
      <c r="AS71" s="164">
        <v>2007200</v>
      </c>
      <c r="AT71" s="164">
        <v>1686723</v>
      </c>
      <c r="AU71" s="164">
        <v>2007200</v>
      </c>
      <c r="AV71" s="165">
        <f t="shared" si="27"/>
        <v>1859612</v>
      </c>
      <c r="AW71" s="165">
        <f t="shared" si="28"/>
        <v>1859612</v>
      </c>
      <c r="AX71" s="165" t="str">
        <f t="shared" si="29"/>
        <v/>
      </c>
      <c r="AY71" s="166">
        <v>1.0500000000000001E-2</v>
      </c>
      <c r="AZ71" s="5"/>
      <c r="BA71" s="7"/>
      <c r="BB71" s="7"/>
    </row>
    <row r="72" spans="1:54" ht="108" x14ac:dyDescent="0.25">
      <c r="A72" s="137" t="s">
        <v>229</v>
      </c>
      <c r="B72" s="137" t="s">
        <v>288</v>
      </c>
      <c r="C72" s="137" t="s">
        <v>332</v>
      </c>
      <c r="D72" s="137" t="s">
        <v>470</v>
      </c>
      <c r="E72" s="138" t="s">
        <v>471</v>
      </c>
      <c r="F72" s="139" t="s">
        <v>233</v>
      </c>
      <c r="G72" s="140">
        <v>1</v>
      </c>
      <c r="H72" s="139" t="s">
        <v>335</v>
      </c>
      <c r="I72" s="141" t="s">
        <v>428</v>
      </c>
      <c r="J72" s="142">
        <v>46071</v>
      </c>
      <c r="K72" s="143" t="s">
        <v>336</v>
      </c>
      <c r="L72" s="144" t="s">
        <v>241</v>
      </c>
      <c r="M72" s="142" t="s">
        <v>337</v>
      </c>
      <c r="N72" s="145">
        <v>1650000</v>
      </c>
      <c r="O72" s="145" t="s">
        <v>245</v>
      </c>
      <c r="P72" s="145" t="s">
        <v>239</v>
      </c>
      <c r="Q72" s="146">
        <v>1250000</v>
      </c>
      <c r="R72" s="147">
        <f>IF(P72="Si tiene IVA",Q72*19%,0)</f>
        <v>237500</v>
      </c>
      <c r="S72" s="147">
        <f>Q72+R72</f>
        <v>1487500</v>
      </c>
      <c r="T72" s="147">
        <f>IF(B72="","",(N72*G72))</f>
        <v>1650000</v>
      </c>
      <c r="U72" s="147">
        <f>IF(B72="","",(S72*G72))</f>
        <v>1487500</v>
      </c>
      <c r="V72" s="148" t="s">
        <v>234</v>
      </c>
      <c r="W72" s="149">
        <v>46105</v>
      </c>
      <c r="X72" s="150" t="s">
        <v>418</v>
      </c>
      <c r="Y72" s="151" t="s">
        <v>241</v>
      </c>
      <c r="Z72" s="152" t="s">
        <v>419</v>
      </c>
      <c r="AA72" s="153">
        <v>1008403</v>
      </c>
      <c r="AB72" s="153" t="s">
        <v>245</v>
      </c>
      <c r="AC72" s="153" t="s">
        <v>239</v>
      </c>
      <c r="AD72" s="154">
        <f>IF(AB72="IVA Incluido",(AA72/1.19),AA72)</f>
        <v>1008403</v>
      </c>
      <c r="AE72" s="155">
        <f>IF(AC72="Si tiene IVA",AD72*19%,0)</f>
        <v>191596.57</v>
      </c>
      <c r="AF72" s="155">
        <f>AD72+AE72</f>
        <v>1199999.57</v>
      </c>
      <c r="AG72" s="155">
        <f>IF(O72="","",(AA72*G72))</f>
        <v>1008403</v>
      </c>
      <c r="AH72" s="155">
        <f>IF(O72="","",(AF72*G72))</f>
        <v>1199999.57</v>
      </c>
      <c r="AI72" s="156" t="s">
        <v>420</v>
      </c>
      <c r="AJ72" s="157">
        <v>46071</v>
      </c>
      <c r="AK72" s="158" t="s">
        <v>340</v>
      </c>
      <c r="AL72" s="159" t="s">
        <v>241</v>
      </c>
      <c r="AM72" s="160" t="s">
        <v>465</v>
      </c>
      <c r="AN72" s="161">
        <v>1100000</v>
      </c>
      <c r="AO72" s="161" t="s">
        <v>245</v>
      </c>
      <c r="AP72" s="162" t="s">
        <v>239</v>
      </c>
      <c r="AQ72" s="163">
        <f>IF(AO72="IVA Incluido",(AN72/1.19),AN72)</f>
        <v>1100000</v>
      </c>
      <c r="AR72" s="164">
        <f>IF(AP72="Si tiene IVA",AQ72*19%,0)</f>
        <v>209000</v>
      </c>
      <c r="AS72" s="164">
        <f>AQ72+AR72</f>
        <v>1309000</v>
      </c>
      <c r="AT72" s="164">
        <f>IF(AB72="","",(AN72*G72))</f>
        <v>1100000</v>
      </c>
      <c r="AU72" s="164">
        <f>IF(AB72="","",(AS72*G72))</f>
        <v>1309000</v>
      </c>
      <c r="AV72" s="165">
        <f t="shared" si="27"/>
        <v>1332167</v>
      </c>
      <c r="AW72" s="165">
        <f t="shared" si="28"/>
        <v>1332167</v>
      </c>
      <c r="AX72" s="165">
        <f t="shared" si="29"/>
        <v>145144</v>
      </c>
      <c r="AY72" s="166">
        <f>IF(N72="","",(AX72/AW72))</f>
        <v>0.10895330690521533</v>
      </c>
      <c r="AZ72" s="5"/>
      <c r="BA72" s="7">
        <f>COUNTA(M72,Z72,AM72)</f>
        <v>3</v>
      </c>
      <c r="BB72" s="7"/>
    </row>
    <row r="73" spans="1:54" ht="108" x14ac:dyDescent="0.25">
      <c r="A73" s="137" t="s">
        <v>229</v>
      </c>
      <c r="B73" s="137" t="s">
        <v>288</v>
      </c>
      <c r="C73" s="137" t="s">
        <v>332</v>
      </c>
      <c r="D73" s="137" t="s">
        <v>472</v>
      </c>
      <c r="E73" s="138" t="s">
        <v>473</v>
      </c>
      <c r="F73" s="139" t="s">
        <v>233</v>
      </c>
      <c r="G73" s="140">
        <v>1</v>
      </c>
      <c r="H73" s="139" t="s">
        <v>335</v>
      </c>
      <c r="I73" s="141" t="s">
        <v>428</v>
      </c>
      <c r="J73" s="142">
        <v>46056</v>
      </c>
      <c r="K73" s="143" t="s">
        <v>429</v>
      </c>
      <c r="L73" s="144" t="s">
        <v>241</v>
      </c>
      <c r="M73" s="142" t="s">
        <v>325</v>
      </c>
      <c r="N73" s="145">
        <v>987500</v>
      </c>
      <c r="O73" s="145" t="s">
        <v>245</v>
      </c>
      <c r="P73" s="145" t="s">
        <v>239</v>
      </c>
      <c r="Q73" s="146">
        <f>IF(O73="IVA Incluido",(N73/1.19),N73)</f>
        <v>987500</v>
      </c>
      <c r="R73" s="147">
        <f>IF(P73="Si tiene IVA",Q73*19%,0)</f>
        <v>187625</v>
      </c>
      <c r="S73" s="147">
        <f>Q73+R73</f>
        <v>1175125</v>
      </c>
      <c r="T73" s="147">
        <f>IF(B73="","",(N73*G73))</f>
        <v>987500</v>
      </c>
      <c r="U73" s="147">
        <f>IF(B73="","",(S73*G73))</f>
        <v>1175125</v>
      </c>
      <c r="V73" s="148" t="s">
        <v>428</v>
      </c>
      <c r="W73" s="149">
        <v>46105</v>
      </c>
      <c r="X73" s="150" t="s">
        <v>418</v>
      </c>
      <c r="Y73" s="151" t="s">
        <v>241</v>
      </c>
      <c r="Z73" s="152" t="s">
        <v>419</v>
      </c>
      <c r="AA73" s="153">
        <v>1008403</v>
      </c>
      <c r="AB73" s="153" t="s">
        <v>245</v>
      </c>
      <c r="AC73" s="153" t="s">
        <v>239</v>
      </c>
      <c r="AD73" s="154">
        <f>IF(AB73="IVA Incluido",(AA73/1.19),AA73)</f>
        <v>1008403</v>
      </c>
      <c r="AE73" s="155">
        <f>IF(AC73="Si tiene IVA",AD73*19%,0)</f>
        <v>191596.57</v>
      </c>
      <c r="AF73" s="155">
        <f>AD73+AE73</f>
        <v>1199999.57</v>
      </c>
      <c r="AG73" s="155">
        <f>IF(O73="","",(AA73*G73))</f>
        <v>1008403</v>
      </c>
      <c r="AH73" s="155">
        <f>IF(O73="","",(AF73*G73))</f>
        <v>1199999.57</v>
      </c>
      <c r="AI73" s="156"/>
      <c r="AJ73" s="157"/>
      <c r="AK73" s="158"/>
      <c r="AL73" s="159"/>
      <c r="AM73" s="160"/>
      <c r="AN73" s="161"/>
      <c r="AO73" s="161"/>
      <c r="AP73" s="162"/>
      <c r="AQ73" s="163"/>
      <c r="AR73" s="164"/>
      <c r="AS73" s="164"/>
      <c r="AT73" s="164"/>
      <c r="AU73" s="164"/>
      <c r="AV73" s="165">
        <f t="shared" si="27"/>
        <v>1187562</v>
      </c>
      <c r="AW73" s="165">
        <f t="shared" si="28"/>
        <v>1187562</v>
      </c>
      <c r="AX73" s="165">
        <f t="shared" si="29"/>
        <v>17589</v>
      </c>
      <c r="AY73" s="166">
        <f>IF(N73="","",(AX73/AW73))</f>
        <v>1.4811016182734038E-2</v>
      </c>
      <c r="AZ73" s="5"/>
      <c r="BA73" s="7">
        <f>COUNTA(M73,Z73,AM73)</f>
        <v>2</v>
      </c>
      <c r="BB73" s="7"/>
    </row>
    <row r="74" spans="1:54" ht="94.5" x14ac:dyDescent="0.25">
      <c r="A74" s="137" t="s">
        <v>229</v>
      </c>
      <c r="B74" s="137" t="s">
        <v>288</v>
      </c>
      <c r="C74" s="137" t="s">
        <v>332</v>
      </c>
      <c r="D74" s="137" t="s">
        <v>474</v>
      </c>
      <c r="E74" s="138" t="s">
        <v>475</v>
      </c>
      <c r="F74" s="139" t="s">
        <v>233</v>
      </c>
      <c r="G74" s="140">
        <v>1</v>
      </c>
      <c r="H74" s="139" t="s">
        <v>335</v>
      </c>
      <c r="I74" s="141" t="s">
        <v>428</v>
      </c>
      <c r="J74" s="142">
        <v>46070</v>
      </c>
      <c r="K74" s="143" t="s">
        <v>430</v>
      </c>
      <c r="L74" s="144" t="s">
        <v>241</v>
      </c>
      <c r="M74" s="142" t="s">
        <v>431</v>
      </c>
      <c r="N74" s="145">
        <v>3800000</v>
      </c>
      <c r="O74" s="145" t="s">
        <v>245</v>
      </c>
      <c r="P74" s="145" t="s">
        <v>239</v>
      </c>
      <c r="Q74" s="146">
        <f>IF(O74="IVA Incluido",(N74/1.19),N74)</f>
        <v>3800000</v>
      </c>
      <c r="R74" s="147">
        <f>IF(P74="Si tiene IVA",Q74*19%,0)</f>
        <v>722000</v>
      </c>
      <c r="S74" s="147">
        <f>Q74+R74</f>
        <v>4522000</v>
      </c>
      <c r="T74" s="147">
        <f>IF(B74="","",(N74*G74))</f>
        <v>3800000</v>
      </c>
      <c r="U74" s="147">
        <f>IF(B74="","",(S74*G74))</f>
        <v>4522000</v>
      </c>
      <c r="V74" s="148" t="s">
        <v>428</v>
      </c>
      <c r="W74" s="149">
        <v>46105</v>
      </c>
      <c r="X74" s="150" t="s">
        <v>418</v>
      </c>
      <c r="Y74" s="151" t="s">
        <v>241</v>
      </c>
      <c r="Z74" s="152" t="s">
        <v>419</v>
      </c>
      <c r="AA74" s="153">
        <v>2941177</v>
      </c>
      <c r="AB74" s="153" t="s">
        <v>245</v>
      </c>
      <c r="AC74" s="153" t="s">
        <v>239</v>
      </c>
      <c r="AD74" s="154">
        <f>IF(AB74="IVA Incluido",(AA74/1.19),AA74)</f>
        <v>2941177</v>
      </c>
      <c r="AE74" s="155">
        <f>IF(AC74="Si tiene IVA",AD74*19%,0)</f>
        <v>558823.63</v>
      </c>
      <c r="AF74" s="155">
        <f>AD74+AE74</f>
        <v>3500000.63</v>
      </c>
      <c r="AG74" s="155">
        <f>IF(O74="","",(AA74*G74))</f>
        <v>2941177</v>
      </c>
      <c r="AH74" s="155">
        <f>IF(O74="","",(AF74*G74))</f>
        <v>3500000.63</v>
      </c>
      <c r="AI74" s="156"/>
      <c r="AJ74" s="157"/>
      <c r="AK74" s="158"/>
      <c r="AL74" s="159"/>
      <c r="AM74" s="160"/>
      <c r="AN74" s="161"/>
      <c r="AO74" s="161"/>
      <c r="AP74" s="162"/>
      <c r="AQ74" s="163"/>
      <c r="AR74" s="164"/>
      <c r="AS74" s="164"/>
      <c r="AT74" s="164"/>
      <c r="AU74" s="164"/>
      <c r="AV74" s="165">
        <f t="shared" si="27"/>
        <v>4011000</v>
      </c>
      <c r="AW74" s="165">
        <f t="shared" si="28"/>
        <v>4011000</v>
      </c>
      <c r="AX74" s="165">
        <f t="shared" si="29"/>
        <v>722663</v>
      </c>
      <c r="AY74" s="166">
        <f>IF(N74="","",(AX74/AW74))</f>
        <v>0.18017028172525554</v>
      </c>
      <c r="AZ74" s="5"/>
      <c r="BA74" s="7">
        <f>COUNTA(M74,Z74,AM74)</f>
        <v>2</v>
      </c>
      <c r="BB74" s="7"/>
    </row>
    <row r="75" spans="1:54" ht="94.5" x14ac:dyDescent="0.25">
      <c r="A75" s="137" t="s">
        <v>229</v>
      </c>
      <c r="B75" s="137" t="s">
        <v>288</v>
      </c>
      <c r="C75" s="137" t="s">
        <v>332</v>
      </c>
      <c r="D75" s="137" t="s">
        <v>476</v>
      </c>
      <c r="E75" s="138" t="s">
        <v>477</v>
      </c>
      <c r="F75" s="139" t="s">
        <v>233</v>
      </c>
      <c r="G75" s="140">
        <v>1</v>
      </c>
      <c r="H75" s="139" t="s">
        <v>335</v>
      </c>
      <c r="I75" s="141" t="s">
        <v>428</v>
      </c>
      <c r="J75" s="142">
        <v>46070</v>
      </c>
      <c r="K75" s="143" t="s">
        <v>430</v>
      </c>
      <c r="L75" s="144" t="s">
        <v>241</v>
      </c>
      <c r="M75" s="142" t="s">
        <v>431</v>
      </c>
      <c r="N75" s="145">
        <v>3800000</v>
      </c>
      <c r="O75" s="145" t="s">
        <v>245</v>
      </c>
      <c r="P75" s="145" t="s">
        <v>239</v>
      </c>
      <c r="Q75" s="146">
        <f>IF(O75="IVA Incluido",(N75/1.19),N75)</f>
        <v>3800000</v>
      </c>
      <c r="R75" s="147">
        <f>IF(P75="Si tiene IVA",Q75*19%,0)</f>
        <v>722000</v>
      </c>
      <c r="S75" s="147">
        <f>Q75+R75</f>
        <v>4522000</v>
      </c>
      <c r="T75" s="147">
        <f>IF(B75="","",(N75*G75))</f>
        <v>3800000</v>
      </c>
      <c r="U75" s="147">
        <f>IF(B75="","",(S75*G75))</f>
        <v>4522000</v>
      </c>
      <c r="V75" s="148" t="s">
        <v>428</v>
      </c>
      <c r="W75" s="149">
        <v>46105</v>
      </c>
      <c r="X75" s="150" t="s">
        <v>418</v>
      </c>
      <c r="Y75" s="151" t="s">
        <v>241</v>
      </c>
      <c r="Z75" s="152" t="s">
        <v>419</v>
      </c>
      <c r="AA75" s="153">
        <v>2941177</v>
      </c>
      <c r="AB75" s="153" t="s">
        <v>245</v>
      </c>
      <c r="AC75" s="153" t="s">
        <v>239</v>
      </c>
      <c r="AD75" s="154">
        <f>IF(AB75="IVA Incluido",(AA75/1.19),AA75)</f>
        <v>2941177</v>
      </c>
      <c r="AE75" s="155">
        <f>IF(AC75="Si tiene IVA",AD75*19%,0)</f>
        <v>558823.63</v>
      </c>
      <c r="AF75" s="155">
        <f>AD75+AE75</f>
        <v>3500000.63</v>
      </c>
      <c r="AG75" s="155">
        <f>IF(O75="","",(AA75*G75))</f>
        <v>2941177</v>
      </c>
      <c r="AH75" s="155">
        <f>IF(O75="","",(AF75*G75))</f>
        <v>3500000.63</v>
      </c>
      <c r="AI75" s="156"/>
      <c r="AJ75" s="157"/>
      <c r="AK75" s="158"/>
      <c r="AL75" s="159"/>
      <c r="AM75" s="160"/>
      <c r="AN75" s="161"/>
      <c r="AO75" s="161"/>
      <c r="AP75" s="162"/>
      <c r="AQ75" s="163"/>
      <c r="AR75" s="164"/>
      <c r="AS75" s="164"/>
      <c r="AT75" s="164"/>
      <c r="AU75" s="164"/>
      <c r="AV75" s="165">
        <f t="shared" si="27"/>
        <v>4011000</v>
      </c>
      <c r="AW75" s="165">
        <f t="shared" si="28"/>
        <v>4011000</v>
      </c>
      <c r="AX75" s="165">
        <f t="shared" si="29"/>
        <v>722663</v>
      </c>
      <c r="AY75" s="166">
        <f>IF(N75="","",(AX75/AW75))</f>
        <v>0.18017028172525554</v>
      </c>
      <c r="AZ75" s="5"/>
      <c r="BA75" s="7">
        <f>COUNTA(M75,Z75,AM75)</f>
        <v>2</v>
      </c>
      <c r="BB75" s="7"/>
    </row>
    <row r="76" spans="1:54" ht="297" x14ac:dyDescent="0.25">
      <c r="A76" s="137" t="s">
        <v>299</v>
      </c>
      <c r="B76" s="137" t="s">
        <v>299</v>
      </c>
      <c r="C76" s="137" t="s">
        <v>299</v>
      </c>
      <c r="D76" s="137" t="s">
        <v>478</v>
      </c>
      <c r="E76" s="138" t="s">
        <v>479</v>
      </c>
      <c r="F76" s="139" t="s">
        <v>302</v>
      </c>
      <c r="G76" s="140">
        <v>1</v>
      </c>
      <c r="H76" s="139"/>
      <c r="I76" s="141"/>
      <c r="J76" s="142"/>
      <c r="K76" s="143"/>
      <c r="L76" s="144"/>
      <c r="M76" s="142"/>
      <c r="N76" s="145"/>
      <c r="O76" s="145"/>
      <c r="P76" s="145"/>
      <c r="Q76" s="146" t="s">
        <v>303</v>
      </c>
      <c r="R76" s="147" t="s">
        <v>303</v>
      </c>
      <c r="S76" s="147" t="s">
        <v>303</v>
      </c>
      <c r="T76" s="147" t="s">
        <v>303</v>
      </c>
      <c r="U76" s="147" t="s">
        <v>303</v>
      </c>
      <c r="V76" s="148" t="s">
        <v>299</v>
      </c>
      <c r="W76" s="149" t="s">
        <v>299</v>
      </c>
      <c r="X76" s="150" t="s">
        <v>299</v>
      </c>
      <c r="Y76" s="151" t="s">
        <v>299</v>
      </c>
      <c r="Z76" s="152" t="s">
        <v>304</v>
      </c>
      <c r="AA76" s="153" t="s">
        <v>299</v>
      </c>
      <c r="AB76" s="153" t="s">
        <v>299</v>
      </c>
      <c r="AC76" s="153" t="s">
        <v>299</v>
      </c>
      <c r="AD76" s="154" t="s">
        <v>299</v>
      </c>
      <c r="AE76" s="155" t="s">
        <v>299</v>
      </c>
      <c r="AF76" s="155">
        <f t="shared" ref="AF76:AF81" si="30">AH76/1.19</f>
        <v>4411356.302521009</v>
      </c>
      <c r="AG76" s="155">
        <f t="shared" ref="AG76:AG81" si="31">AF76*19%</f>
        <v>838157.6974789917</v>
      </c>
      <c r="AH76" s="155">
        <v>5249514</v>
      </c>
      <c r="AI76" s="156" t="s">
        <v>299</v>
      </c>
      <c r="AJ76" s="157" t="s">
        <v>299</v>
      </c>
      <c r="AK76" s="158" t="s">
        <v>299</v>
      </c>
      <c r="AL76" s="159" t="s">
        <v>299</v>
      </c>
      <c r="AM76" s="160" t="s">
        <v>305</v>
      </c>
      <c r="AN76" s="161" t="s">
        <v>299</v>
      </c>
      <c r="AO76" s="161" t="s">
        <v>299</v>
      </c>
      <c r="AP76" s="162" t="s">
        <v>299</v>
      </c>
      <c r="AQ76" s="163">
        <v>4387954</v>
      </c>
      <c r="AR76" s="164">
        <v>833711</v>
      </c>
      <c r="AS76" s="164">
        <v>5221665</v>
      </c>
      <c r="AT76" s="164">
        <v>4387954</v>
      </c>
      <c r="AU76" s="164">
        <v>5221665</v>
      </c>
      <c r="AV76" s="165">
        <f t="shared" si="27"/>
        <v>4816511</v>
      </c>
      <c r="AW76" s="165">
        <f t="shared" si="28"/>
        <v>4816511</v>
      </c>
      <c r="AX76" s="165" t="str">
        <f t="shared" si="29"/>
        <v/>
      </c>
      <c r="AY76" s="166">
        <v>3.8E-3</v>
      </c>
      <c r="AZ76" s="5"/>
      <c r="BA76" s="7"/>
      <c r="BB76" s="7"/>
    </row>
    <row r="77" spans="1:54" ht="297" x14ac:dyDescent="0.25">
      <c r="A77" s="137" t="s">
        <v>299</v>
      </c>
      <c r="B77" s="137" t="s">
        <v>299</v>
      </c>
      <c r="C77" s="137" t="s">
        <v>299</v>
      </c>
      <c r="D77" s="137" t="s">
        <v>480</v>
      </c>
      <c r="E77" s="138" t="s">
        <v>481</v>
      </c>
      <c r="F77" s="139" t="s">
        <v>302</v>
      </c>
      <c r="G77" s="140">
        <v>1</v>
      </c>
      <c r="H77" s="139"/>
      <c r="I77" s="141"/>
      <c r="J77" s="142"/>
      <c r="K77" s="143"/>
      <c r="L77" s="144"/>
      <c r="M77" s="142"/>
      <c r="N77" s="145"/>
      <c r="O77" s="145"/>
      <c r="P77" s="145"/>
      <c r="Q77" s="146" t="s">
        <v>303</v>
      </c>
      <c r="R77" s="147" t="s">
        <v>303</v>
      </c>
      <c r="S77" s="147" t="s">
        <v>303</v>
      </c>
      <c r="T77" s="147" t="s">
        <v>303</v>
      </c>
      <c r="U77" s="147" t="s">
        <v>303</v>
      </c>
      <c r="V77" s="148" t="s">
        <v>299</v>
      </c>
      <c r="W77" s="149" t="s">
        <v>299</v>
      </c>
      <c r="X77" s="150" t="s">
        <v>299</v>
      </c>
      <c r="Y77" s="151" t="s">
        <v>299</v>
      </c>
      <c r="Z77" s="152" t="s">
        <v>304</v>
      </c>
      <c r="AA77" s="153" t="s">
        <v>299</v>
      </c>
      <c r="AB77" s="153" t="s">
        <v>299</v>
      </c>
      <c r="AC77" s="153" t="s">
        <v>299</v>
      </c>
      <c r="AD77" s="154" t="s">
        <v>299</v>
      </c>
      <c r="AE77" s="155" t="s">
        <v>299</v>
      </c>
      <c r="AF77" s="155">
        <f t="shared" si="30"/>
        <v>3227120.1680672271</v>
      </c>
      <c r="AG77" s="155">
        <f t="shared" si="31"/>
        <v>613152.83193277312</v>
      </c>
      <c r="AH77" s="155">
        <v>3840273</v>
      </c>
      <c r="AI77" s="156" t="s">
        <v>299</v>
      </c>
      <c r="AJ77" s="157" t="s">
        <v>299</v>
      </c>
      <c r="AK77" s="158" t="s">
        <v>299</v>
      </c>
      <c r="AL77" s="159" t="s">
        <v>299</v>
      </c>
      <c r="AM77" s="160" t="s">
        <v>305</v>
      </c>
      <c r="AN77" s="161" t="s">
        <v>299</v>
      </c>
      <c r="AO77" s="161" t="s">
        <v>299</v>
      </c>
      <c r="AP77" s="162" t="s">
        <v>299</v>
      </c>
      <c r="AQ77" s="163">
        <v>3210000</v>
      </c>
      <c r="AR77" s="164">
        <v>609900</v>
      </c>
      <c r="AS77" s="164">
        <v>3819900</v>
      </c>
      <c r="AT77" s="164">
        <v>3210000</v>
      </c>
      <c r="AU77" s="164">
        <v>3819900</v>
      </c>
      <c r="AV77" s="165">
        <f t="shared" si="27"/>
        <v>3523510</v>
      </c>
      <c r="AW77" s="165">
        <f t="shared" si="28"/>
        <v>3523510</v>
      </c>
      <c r="AX77" s="165" t="str">
        <f t="shared" si="29"/>
        <v/>
      </c>
      <c r="AY77" s="166">
        <v>3.8E-3</v>
      </c>
      <c r="AZ77" s="5"/>
      <c r="BA77" s="7"/>
      <c r="BB77" s="7"/>
    </row>
    <row r="78" spans="1:54" ht="297" x14ac:dyDescent="0.25">
      <c r="A78" s="137" t="s">
        <v>299</v>
      </c>
      <c r="B78" s="137" t="s">
        <v>299</v>
      </c>
      <c r="C78" s="137" t="s">
        <v>299</v>
      </c>
      <c r="D78" s="137" t="s">
        <v>482</v>
      </c>
      <c r="E78" s="138" t="s">
        <v>483</v>
      </c>
      <c r="F78" s="139" t="s">
        <v>302</v>
      </c>
      <c r="G78" s="140">
        <v>1</v>
      </c>
      <c r="H78" s="139"/>
      <c r="I78" s="141"/>
      <c r="J78" s="142"/>
      <c r="K78" s="143"/>
      <c r="L78" s="144"/>
      <c r="M78" s="142"/>
      <c r="N78" s="145"/>
      <c r="O78" s="145"/>
      <c r="P78" s="145"/>
      <c r="Q78" s="146" t="s">
        <v>303</v>
      </c>
      <c r="R78" s="147" t="s">
        <v>303</v>
      </c>
      <c r="S78" s="147" t="s">
        <v>303</v>
      </c>
      <c r="T78" s="147" t="s">
        <v>303</v>
      </c>
      <c r="U78" s="147" t="s">
        <v>303</v>
      </c>
      <c r="V78" s="148" t="s">
        <v>299</v>
      </c>
      <c r="W78" s="149" t="s">
        <v>299</v>
      </c>
      <c r="X78" s="150" t="s">
        <v>299</v>
      </c>
      <c r="Y78" s="151" t="s">
        <v>299</v>
      </c>
      <c r="Z78" s="152" t="s">
        <v>304</v>
      </c>
      <c r="AA78" s="153" t="s">
        <v>299</v>
      </c>
      <c r="AB78" s="153" t="s">
        <v>299</v>
      </c>
      <c r="AC78" s="153" t="s">
        <v>299</v>
      </c>
      <c r="AD78" s="154" t="s">
        <v>299</v>
      </c>
      <c r="AE78" s="155" t="s">
        <v>299</v>
      </c>
      <c r="AF78" s="155">
        <f t="shared" si="30"/>
        <v>32826.89075630252</v>
      </c>
      <c r="AG78" s="155">
        <f t="shared" si="31"/>
        <v>6237.1092436974786</v>
      </c>
      <c r="AH78" s="155">
        <v>39064</v>
      </c>
      <c r="AI78" s="156" t="s">
        <v>299</v>
      </c>
      <c r="AJ78" s="157" t="s">
        <v>299</v>
      </c>
      <c r="AK78" s="158" t="s">
        <v>299</v>
      </c>
      <c r="AL78" s="159" t="s">
        <v>299</v>
      </c>
      <c r="AM78" s="160" t="s">
        <v>305</v>
      </c>
      <c r="AN78" s="161" t="s">
        <v>299</v>
      </c>
      <c r="AO78" s="161" t="s">
        <v>299</v>
      </c>
      <c r="AP78" s="162" t="s">
        <v>299</v>
      </c>
      <c r="AQ78" s="163">
        <v>31719</v>
      </c>
      <c r="AR78" s="164">
        <v>6027</v>
      </c>
      <c r="AS78" s="164">
        <v>37746</v>
      </c>
      <c r="AT78" s="164">
        <v>31719</v>
      </c>
      <c r="AU78" s="164">
        <v>37746</v>
      </c>
      <c r="AV78" s="165">
        <f t="shared" si="27"/>
        <v>35286</v>
      </c>
      <c r="AW78" s="165">
        <f t="shared" si="28"/>
        <v>35286</v>
      </c>
      <c r="AX78" s="165" t="str">
        <f t="shared" si="29"/>
        <v/>
      </c>
      <c r="AY78" s="166">
        <v>2.4299999999999999E-2</v>
      </c>
      <c r="AZ78" s="5"/>
      <c r="BA78" s="7"/>
      <c r="BB78" s="7"/>
    </row>
    <row r="79" spans="1:54" ht="297" x14ac:dyDescent="0.25">
      <c r="A79" s="137" t="s">
        <v>299</v>
      </c>
      <c r="B79" s="137" t="s">
        <v>299</v>
      </c>
      <c r="C79" s="137" t="s">
        <v>299</v>
      </c>
      <c r="D79" s="137" t="s">
        <v>484</v>
      </c>
      <c r="E79" s="138" t="s">
        <v>485</v>
      </c>
      <c r="F79" s="139" t="s">
        <v>302</v>
      </c>
      <c r="G79" s="140">
        <v>1</v>
      </c>
      <c r="H79" s="139"/>
      <c r="I79" s="141"/>
      <c r="J79" s="142"/>
      <c r="K79" s="143"/>
      <c r="L79" s="144"/>
      <c r="M79" s="142"/>
      <c r="N79" s="145"/>
      <c r="O79" s="145"/>
      <c r="P79" s="145"/>
      <c r="Q79" s="146" t="s">
        <v>303</v>
      </c>
      <c r="R79" s="147" t="s">
        <v>303</v>
      </c>
      <c r="S79" s="147" t="s">
        <v>303</v>
      </c>
      <c r="T79" s="147" t="s">
        <v>303</v>
      </c>
      <c r="U79" s="147" t="s">
        <v>303</v>
      </c>
      <c r="V79" s="148" t="s">
        <v>299</v>
      </c>
      <c r="W79" s="149" t="s">
        <v>299</v>
      </c>
      <c r="X79" s="150" t="s">
        <v>299</v>
      </c>
      <c r="Y79" s="151" t="s">
        <v>299</v>
      </c>
      <c r="Z79" s="152" t="s">
        <v>304</v>
      </c>
      <c r="AA79" s="153" t="s">
        <v>299</v>
      </c>
      <c r="AB79" s="153" t="s">
        <v>299</v>
      </c>
      <c r="AC79" s="153" t="s">
        <v>299</v>
      </c>
      <c r="AD79" s="154" t="s">
        <v>299</v>
      </c>
      <c r="AE79" s="155" t="s">
        <v>299</v>
      </c>
      <c r="AF79" s="155">
        <f t="shared" si="30"/>
        <v>1347710.924369748</v>
      </c>
      <c r="AG79" s="155">
        <f t="shared" si="31"/>
        <v>256065.07563025213</v>
      </c>
      <c r="AH79" s="155">
        <v>1603776</v>
      </c>
      <c r="AI79" s="156" t="s">
        <v>299</v>
      </c>
      <c r="AJ79" s="157" t="s">
        <v>299</v>
      </c>
      <c r="AK79" s="158" t="s">
        <v>299</v>
      </c>
      <c r="AL79" s="159" t="s">
        <v>299</v>
      </c>
      <c r="AM79" s="160" t="s">
        <v>305</v>
      </c>
      <c r="AN79" s="161" t="s">
        <v>299</v>
      </c>
      <c r="AO79" s="161" t="s">
        <v>299</v>
      </c>
      <c r="AP79" s="162" t="s">
        <v>299</v>
      </c>
      <c r="AQ79" s="163">
        <v>1302260</v>
      </c>
      <c r="AR79" s="164">
        <v>247429</v>
      </c>
      <c r="AS79" s="164">
        <v>1549689</v>
      </c>
      <c r="AT79" s="164">
        <v>1302260</v>
      </c>
      <c r="AU79" s="164">
        <v>1549689</v>
      </c>
      <c r="AV79" s="165">
        <f t="shared" si="27"/>
        <v>1448700</v>
      </c>
      <c r="AW79" s="165">
        <f t="shared" si="28"/>
        <v>1448700</v>
      </c>
      <c r="AX79" s="165" t="str">
        <f t="shared" si="29"/>
        <v/>
      </c>
      <c r="AY79" s="166">
        <v>2.4299999999999999E-2</v>
      </c>
      <c r="AZ79" s="5"/>
      <c r="BA79" s="7"/>
      <c r="BB79" s="7"/>
    </row>
    <row r="80" spans="1:54" ht="297" x14ac:dyDescent="0.25">
      <c r="A80" s="137" t="s">
        <v>299</v>
      </c>
      <c r="B80" s="137" t="s">
        <v>299</v>
      </c>
      <c r="C80" s="137" t="s">
        <v>299</v>
      </c>
      <c r="D80" s="137" t="s">
        <v>486</v>
      </c>
      <c r="E80" s="138" t="s">
        <v>487</v>
      </c>
      <c r="F80" s="139" t="s">
        <v>302</v>
      </c>
      <c r="G80" s="140">
        <v>1</v>
      </c>
      <c r="H80" s="139"/>
      <c r="I80" s="141"/>
      <c r="J80" s="142"/>
      <c r="K80" s="143"/>
      <c r="L80" s="144"/>
      <c r="M80" s="142"/>
      <c r="N80" s="145"/>
      <c r="O80" s="145"/>
      <c r="P80" s="145"/>
      <c r="Q80" s="146" t="s">
        <v>303</v>
      </c>
      <c r="R80" s="147" t="s">
        <v>303</v>
      </c>
      <c r="S80" s="147" t="s">
        <v>303</v>
      </c>
      <c r="T80" s="147" t="s">
        <v>303</v>
      </c>
      <c r="U80" s="147" t="s">
        <v>303</v>
      </c>
      <c r="V80" s="148" t="s">
        <v>299</v>
      </c>
      <c r="W80" s="149" t="s">
        <v>299</v>
      </c>
      <c r="X80" s="150" t="s">
        <v>299</v>
      </c>
      <c r="Y80" s="151" t="s">
        <v>299</v>
      </c>
      <c r="Z80" s="152" t="s">
        <v>304</v>
      </c>
      <c r="AA80" s="153" t="s">
        <v>299</v>
      </c>
      <c r="AB80" s="153" t="s">
        <v>299</v>
      </c>
      <c r="AC80" s="153" t="s">
        <v>299</v>
      </c>
      <c r="AD80" s="154" t="s">
        <v>299</v>
      </c>
      <c r="AE80" s="155" t="s">
        <v>299</v>
      </c>
      <c r="AF80" s="155">
        <f t="shared" si="30"/>
        <v>121305.04201680672</v>
      </c>
      <c r="AG80" s="155">
        <f t="shared" si="31"/>
        <v>23047.957983193279</v>
      </c>
      <c r="AH80" s="155">
        <v>144353</v>
      </c>
      <c r="AI80" s="156" t="s">
        <v>299</v>
      </c>
      <c r="AJ80" s="157" t="s">
        <v>299</v>
      </c>
      <c r="AK80" s="158" t="s">
        <v>299</v>
      </c>
      <c r="AL80" s="159" t="s">
        <v>299</v>
      </c>
      <c r="AM80" s="160" t="s">
        <v>305</v>
      </c>
      <c r="AN80" s="161" t="s">
        <v>299</v>
      </c>
      <c r="AO80" s="161" t="s">
        <v>299</v>
      </c>
      <c r="AP80" s="162" t="s">
        <v>299</v>
      </c>
      <c r="AQ80" s="163">
        <v>117214</v>
      </c>
      <c r="AR80" s="164">
        <v>22271</v>
      </c>
      <c r="AS80" s="164">
        <v>139485</v>
      </c>
      <c r="AT80" s="164">
        <v>117214</v>
      </c>
      <c r="AU80" s="164">
        <v>139485</v>
      </c>
      <c r="AV80" s="165">
        <f t="shared" si="27"/>
        <v>130395</v>
      </c>
      <c r="AW80" s="165">
        <f t="shared" si="28"/>
        <v>130395</v>
      </c>
      <c r="AX80" s="165" t="str">
        <f t="shared" si="29"/>
        <v/>
      </c>
      <c r="AY80" s="166">
        <v>2.4299999999999999E-2</v>
      </c>
      <c r="AZ80" s="5"/>
      <c r="BA80" s="7"/>
      <c r="BB80" s="7"/>
    </row>
    <row r="81" spans="1:54" ht="297" x14ac:dyDescent="0.25">
      <c r="A81" s="137" t="s">
        <v>299</v>
      </c>
      <c r="B81" s="137" t="s">
        <v>299</v>
      </c>
      <c r="C81" s="137" t="s">
        <v>299</v>
      </c>
      <c r="D81" s="137" t="s">
        <v>488</v>
      </c>
      <c r="E81" s="138" t="s">
        <v>489</v>
      </c>
      <c r="F81" s="139" t="s">
        <v>302</v>
      </c>
      <c r="G81" s="140">
        <v>1</v>
      </c>
      <c r="H81" s="139"/>
      <c r="I81" s="141"/>
      <c r="J81" s="142"/>
      <c r="K81" s="143"/>
      <c r="L81" s="144"/>
      <c r="M81" s="142"/>
      <c r="N81" s="145"/>
      <c r="O81" s="145"/>
      <c r="P81" s="145"/>
      <c r="Q81" s="146" t="s">
        <v>303</v>
      </c>
      <c r="R81" s="147" t="s">
        <v>303</v>
      </c>
      <c r="S81" s="147" t="s">
        <v>303</v>
      </c>
      <c r="T81" s="147" t="s">
        <v>303</v>
      </c>
      <c r="U81" s="147" t="s">
        <v>303</v>
      </c>
      <c r="V81" s="148" t="s">
        <v>299</v>
      </c>
      <c r="W81" s="149" t="s">
        <v>299</v>
      </c>
      <c r="X81" s="150" t="s">
        <v>299</v>
      </c>
      <c r="Y81" s="151" t="s">
        <v>299</v>
      </c>
      <c r="Z81" s="152" t="s">
        <v>304</v>
      </c>
      <c r="AA81" s="153" t="s">
        <v>299</v>
      </c>
      <c r="AB81" s="153" t="s">
        <v>299</v>
      </c>
      <c r="AC81" s="153" t="s">
        <v>299</v>
      </c>
      <c r="AD81" s="154" t="s">
        <v>299</v>
      </c>
      <c r="AE81" s="155" t="s">
        <v>299</v>
      </c>
      <c r="AF81" s="155">
        <f t="shared" si="30"/>
        <v>514745.37815126055</v>
      </c>
      <c r="AG81" s="155">
        <f t="shared" si="31"/>
        <v>97801.621848739509</v>
      </c>
      <c r="AH81" s="155">
        <v>612547</v>
      </c>
      <c r="AI81" s="156" t="s">
        <v>299</v>
      </c>
      <c r="AJ81" s="157" t="s">
        <v>299</v>
      </c>
      <c r="AK81" s="158" t="s">
        <v>299</v>
      </c>
      <c r="AL81" s="159" t="s">
        <v>299</v>
      </c>
      <c r="AM81" s="160" t="s">
        <v>305</v>
      </c>
      <c r="AN81" s="161" t="s">
        <v>299</v>
      </c>
      <c r="AO81" s="161" t="s">
        <v>299</v>
      </c>
      <c r="AP81" s="162" t="s">
        <v>299</v>
      </c>
      <c r="AQ81" s="163">
        <v>497386</v>
      </c>
      <c r="AR81" s="164">
        <v>94503</v>
      </c>
      <c r="AS81" s="164">
        <v>591889</v>
      </c>
      <c r="AT81" s="164">
        <v>497386</v>
      </c>
      <c r="AU81" s="164">
        <v>591889</v>
      </c>
      <c r="AV81" s="165">
        <f t="shared" si="27"/>
        <v>553317</v>
      </c>
      <c r="AW81" s="165">
        <f t="shared" si="28"/>
        <v>553317</v>
      </c>
      <c r="AX81" s="165" t="str">
        <f t="shared" si="29"/>
        <v/>
      </c>
      <c r="AY81" s="166">
        <v>2.4299999999999999E-2</v>
      </c>
      <c r="AZ81" s="5"/>
      <c r="BA81" s="7"/>
      <c r="BB81" s="7"/>
    </row>
    <row r="82" spans="1:54" ht="54" x14ac:dyDescent="0.25">
      <c r="A82" s="137" t="s">
        <v>229</v>
      </c>
      <c r="B82" s="137" t="s">
        <v>306</v>
      </c>
      <c r="C82" s="137">
        <v>11111808</v>
      </c>
      <c r="D82" s="137" t="s">
        <v>490</v>
      </c>
      <c r="E82" s="138" t="s">
        <v>491</v>
      </c>
      <c r="F82" s="139" t="s">
        <v>233</v>
      </c>
      <c r="G82" s="140">
        <v>1</v>
      </c>
      <c r="H82" s="139" t="s">
        <v>51</v>
      </c>
      <c r="I82" s="141" t="s">
        <v>247</v>
      </c>
      <c r="J82" s="142">
        <v>46070</v>
      </c>
      <c r="K82" s="143" t="s">
        <v>311</v>
      </c>
      <c r="L82" s="144" t="s">
        <v>241</v>
      </c>
      <c r="M82" s="142" t="s">
        <v>312</v>
      </c>
      <c r="N82" s="145">
        <v>4000</v>
      </c>
      <c r="O82" s="145" t="s">
        <v>245</v>
      </c>
      <c r="P82" s="145" t="s">
        <v>239</v>
      </c>
      <c r="Q82" s="146">
        <f>IF(O82="IVA Incluido",(N82/1.19),N82)</f>
        <v>4000</v>
      </c>
      <c r="R82" s="147">
        <f>IF(P82="Si tiene IVA",Q82*19%,0)</f>
        <v>760</v>
      </c>
      <c r="S82" s="147">
        <f>Q82+R82</f>
        <v>4760</v>
      </c>
      <c r="T82" s="147">
        <f>IF(B82="","",(N82*G82))</f>
        <v>4000</v>
      </c>
      <c r="U82" s="147">
        <f>IF(B82="","",(S82*G82))</f>
        <v>4760</v>
      </c>
      <c r="V82" s="148" t="s">
        <v>247</v>
      </c>
      <c r="W82" s="149">
        <v>46062</v>
      </c>
      <c r="X82" s="150" t="s">
        <v>492</v>
      </c>
      <c r="Y82" s="151" t="s">
        <v>241</v>
      </c>
      <c r="Z82" s="152" t="s">
        <v>493</v>
      </c>
      <c r="AA82" s="153">
        <v>5600</v>
      </c>
      <c r="AB82" s="153" t="s">
        <v>238</v>
      </c>
      <c r="AC82" s="153" t="s">
        <v>239</v>
      </c>
      <c r="AD82" s="154">
        <f>IF(AB82="IVA Incluido",(AA82/1.19),AA82)</f>
        <v>4705.8823529411766</v>
      </c>
      <c r="AE82" s="155">
        <f>IF(AC82="Si tiene IVA",AD82*19%,0)</f>
        <v>894.11764705882354</v>
      </c>
      <c r="AF82" s="155">
        <f>AD82+AE82</f>
        <v>5600</v>
      </c>
      <c r="AG82" s="155">
        <f>IF(O82="","",(AA82*G82))</f>
        <v>5600</v>
      </c>
      <c r="AH82" s="155">
        <f>IF(O82="","",(AF82*G82))</f>
        <v>5600</v>
      </c>
      <c r="AI82" s="156" t="s">
        <v>247</v>
      </c>
      <c r="AJ82" s="157">
        <v>46064</v>
      </c>
      <c r="AK82" s="158" t="s">
        <v>494</v>
      </c>
      <c r="AL82" s="159" t="s">
        <v>241</v>
      </c>
      <c r="AM82" s="160" t="s">
        <v>495</v>
      </c>
      <c r="AN82" s="161">
        <v>5500</v>
      </c>
      <c r="AO82" s="161" t="s">
        <v>238</v>
      </c>
      <c r="AP82" s="162" t="s">
        <v>239</v>
      </c>
      <c r="AQ82" s="163">
        <f>IF(AO82="IVA Incluido",(AN82/1.19),AN82)</f>
        <v>4621.8487394957983</v>
      </c>
      <c r="AR82" s="164">
        <f>IF(AP82="Si tiene IVA",AQ82*19%,0)</f>
        <v>878.15126050420167</v>
      </c>
      <c r="AS82" s="164">
        <f>AQ82+AR82</f>
        <v>5500</v>
      </c>
      <c r="AT82" s="164">
        <f>IF(AB82="","",(AN82*G82))</f>
        <v>5500</v>
      </c>
      <c r="AU82" s="164">
        <f>IF(AB82="","",(AS82*G82))</f>
        <v>5500</v>
      </c>
      <c r="AV82" s="165">
        <f t="shared" si="27"/>
        <v>5287</v>
      </c>
      <c r="AW82" s="165">
        <f t="shared" si="28"/>
        <v>5287</v>
      </c>
      <c r="AX82" s="165">
        <f t="shared" si="29"/>
        <v>459</v>
      </c>
      <c r="AY82" s="166">
        <f>IF(N82="","",(AX82/AW82))</f>
        <v>8.6816720257234734E-2</v>
      </c>
      <c r="AZ82" s="5"/>
      <c r="BA82" s="7">
        <f>COUNTA(M82,Z82,AM82)</f>
        <v>3</v>
      </c>
      <c r="BB82" s="7"/>
    </row>
    <row r="83" spans="1:54" ht="297" x14ac:dyDescent="0.25">
      <c r="A83" s="137" t="s">
        <v>299</v>
      </c>
      <c r="B83" s="137" t="s">
        <v>299</v>
      </c>
      <c r="C83" s="137" t="s">
        <v>299</v>
      </c>
      <c r="D83" s="137" t="s">
        <v>496</v>
      </c>
      <c r="E83" s="138" t="s">
        <v>497</v>
      </c>
      <c r="F83" s="139" t="s">
        <v>302</v>
      </c>
      <c r="G83" s="140">
        <v>1</v>
      </c>
      <c r="H83" s="139"/>
      <c r="I83" s="141"/>
      <c r="J83" s="142"/>
      <c r="K83" s="143"/>
      <c r="L83" s="144"/>
      <c r="M83" s="142"/>
      <c r="N83" s="145"/>
      <c r="O83" s="145"/>
      <c r="P83" s="145"/>
      <c r="Q83" s="146" t="s">
        <v>303</v>
      </c>
      <c r="R83" s="147" t="s">
        <v>303</v>
      </c>
      <c r="S83" s="147" t="s">
        <v>303</v>
      </c>
      <c r="T83" s="147" t="s">
        <v>303</v>
      </c>
      <c r="U83" s="147" t="s">
        <v>303</v>
      </c>
      <c r="V83" s="148" t="s">
        <v>299</v>
      </c>
      <c r="W83" s="149" t="s">
        <v>299</v>
      </c>
      <c r="X83" s="150" t="s">
        <v>299</v>
      </c>
      <c r="Y83" s="151" t="s">
        <v>299</v>
      </c>
      <c r="Z83" s="152" t="s">
        <v>304</v>
      </c>
      <c r="AA83" s="153" t="s">
        <v>299</v>
      </c>
      <c r="AB83" s="153" t="s">
        <v>299</v>
      </c>
      <c r="AC83" s="153" t="s">
        <v>299</v>
      </c>
      <c r="AD83" s="154" t="s">
        <v>299</v>
      </c>
      <c r="AE83" s="155" t="s">
        <v>299</v>
      </c>
      <c r="AF83" s="155">
        <f>AH83/1.19</f>
        <v>3503882.3529411769</v>
      </c>
      <c r="AG83" s="155">
        <f>AF83*19%</f>
        <v>665737.64705882361</v>
      </c>
      <c r="AH83" s="155">
        <v>4169620</v>
      </c>
      <c r="AI83" s="156" t="s">
        <v>299</v>
      </c>
      <c r="AJ83" s="157" t="s">
        <v>299</v>
      </c>
      <c r="AK83" s="158" t="s">
        <v>299</v>
      </c>
      <c r="AL83" s="159" t="s">
        <v>299</v>
      </c>
      <c r="AM83" s="160" t="s">
        <v>305</v>
      </c>
      <c r="AN83" s="161" t="s">
        <v>299</v>
      </c>
      <c r="AO83" s="161" t="s">
        <v>299</v>
      </c>
      <c r="AP83" s="162" t="s">
        <v>299</v>
      </c>
      <c r="AQ83" s="163">
        <v>3402311</v>
      </c>
      <c r="AR83" s="164">
        <v>646439</v>
      </c>
      <c r="AS83" s="164">
        <v>4048750</v>
      </c>
      <c r="AT83" s="164">
        <v>3402311</v>
      </c>
      <c r="AU83" s="164">
        <v>4048750</v>
      </c>
      <c r="AV83" s="165">
        <f t="shared" si="27"/>
        <v>3776316</v>
      </c>
      <c r="AW83" s="165">
        <f t="shared" si="28"/>
        <v>3776316</v>
      </c>
      <c r="AX83" s="165" t="str">
        <f t="shared" si="29"/>
        <v/>
      </c>
      <c r="AY83" s="166">
        <v>2.0799999999999999E-2</v>
      </c>
      <c r="AZ83" s="5"/>
      <c r="BA83" s="7"/>
      <c r="BB83" s="7"/>
    </row>
    <row r="84" spans="1:54" ht="297" x14ac:dyDescent="0.25">
      <c r="A84" s="137" t="s">
        <v>299</v>
      </c>
      <c r="B84" s="137" t="s">
        <v>299</v>
      </c>
      <c r="C84" s="137" t="s">
        <v>299</v>
      </c>
      <c r="D84" s="137" t="s">
        <v>498</v>
      </c>
      <c r="E84" s="138" t="s">
        <v>499</v>
      </c>
      <c r="F84" s="139" t="s">
        <v>302</v>
      </c>
      <c r="G84" s="140">
        <v>1</v>
      </c>
      <c r="H84" s="139"/>
      <c r="I84" s="141"/>
      <c r="J84" s="142"/>
      <c r="K84" s="143"/>
      <c r="L84" s="144"/>
      <c r="M84" s="142"/>
      <c r="N84" s="145"/>
      <c r="O84" s="145"/>
      <c r="P84" s="145"/>
      <c r="Q84" s="146" t="s">
        <v>303</v>
      </c>
      <c r="R84" s="147" t="s">
        <v>303</v>
      </c>
      <c r="S84" s="147" t="s">
        <v>303</v>
      </c>
      <c r="T84" s="147" t="s">
        <v>303</v>
      </c>
      <c r="U84" s="147" t="s">
        <v>303</v>
      </c>
      <c r="V84" s="148" t="s">
        <v>299</v>
      </c>
      <c r="W84" s="149" t="s">
        <v>299</v>
      </c>
      <c r="X84" s="150" t="s">
        <v>299</v>
      </c>
      <c r="Y84" s="151" t="s">
        <v>299</v>
      </c>
      <c r="Z84" s="152" t="s">
        <v>304</v>
      </c>
      <c r="AA84" s="153" t="s">
        <v>299</v>
      </c>
      <c r="AB84" s="153" t="s">
        <v>299</v>
      </c>
      <c r="AC84" s="153" t="s">
        <v>299</v>
      </c>
      <c r="AD84" s="154" t="s">
        <v>299</v>
      </c>
      <c r="AE84" s="155" t="s">
        <v>299</v>
      </c>
      <c r="AF84" s="155">
        <f>AH84/1.19</f>
        <v>2300276.4705882352</v>
      </c>
      <c r="AG84" s="155">
        <f>AF84*19%</f>
        <v>437052.5294117647</v>
      </c>
      <c r="AH84" s="155">
        <v>2737329</v>
      </c>
      <c r="AI84" s="156" t="s">
        <v>299</v>
      </c>
      <c r="AJ84" s="157" t="s">
        <v>299</v>
      </c>
      <c r="AK84" s="158" t="s">
        <v>299</v>
      </c>
      <c r="AL84" s="159" t="s">
        <v>299</v>
      </c>
      <c r="AM84" s="160" t="s">
        <v>305</v>
      </c>
      <c r="AN84" s="161" t="s">
        <v>299</v>
      </c>
      <c r="AO84" s="161" t="s">
        <v>299</v>
      </c>
      <c r="AP84" s="162" t="s">
        <v>299</v>
      </c>
      <c r="AQ84" s="163">
        <v>2233596</v>
      </c>
      <c r="AR84" s="164">
        <v>424383</v>
      </c>
      <c r="AS84" s="164">
        <v>2657979</v>
      </c>
      <c r="AT84" s="164">
        <v>2233596</v>
      </c>
      <c r="AU84" s="164">
        <v>2657979</v>
      </c>
      <c r="AV84" s="165">
        <f t="shared" si="27"/>
        <v>2479128</v>
      </c>
      <c r="AW84" s="165">
        <f t="shared" si="28"/>
        <v>2479128</v>
      </c>
      <c r="AX84" s="165" t="str">
        <f t="shared" si="29"/>
        <v/>
      </c>
      <c r="AY84" s="166">
        <v>2.0799999999999999E-2</v>
      </c>
      <c r="AZ84" s="5"/>
      <c r="BA84" s="7"/>
      <c r="BB84" s="7"/>
    </row>
    <row r="85" spans="1:54" ht="148.5" x14ac:dyDescent="0.25">
      <c r="A85" s="137" t="s">
        <v>229</v>
      </c>
      <c r="B85" s="137" t="s">
        <v>500</v>
      </c>
      <c r="C85" s="137" t="s">
        <v>501</v>
      </c>
      <c r="D85" s="137" t="s">
        <v>502</v>
      </c>
      <c r="E85" s="138" t="s">
        <v>503</v>
      </c>
      <c r="F85" s="139" t="s">
        <v>233</v>
      </c>
      <c r="G85" s="140">
        <v>1</v>
      </c>
      <c r="H85" s="139" t="s">
        <v>335</v>
      </c>
      <c r="I85" s="141" t="s">
        <v>504</v>
      </c>
      <c r="J85" s="142">
        <v>46149</v>
      </c>
      <c r="K85" s="143" t="s">
        <v>505</v>
      </c>
      <c r="L85" s="144" t="s">
        <v>236</v>
      </c>
      <c r="M85" s="142" t="s">
        <v>506</v>
      </c>
      <c r="N85" s="145">
        <v>2200000</v>
      </c>
      <c r="O85" s="145" t="s">
        <v>245</v>
      </c>
      <c r="P85" s="145" t="s">
        <v>239</v>
      </c>
      <c r="Q85" s="146">
        <f>IF(O85="IVA Incluido",(N85/1.19),N85)</f>
        <v>2200000</v>
      </c>
      <c r="R85" s="147">
        <f>IF(P85="Si tiene IVA",Q85*19%,0)</f>
        <v>418000</v>
      </c>
      <c r="S85" s="147">
        <f>Q85+R85</f>
        <v>2618000</v>
      </c>
      <c r="T85" s="147">
        <f>IF(B85="","",(N85*G85))</f>
        <v>2200000</v>
      </c>
      <c r="U85" s="147">
        <f>IF(B85="","",(S85*G85))</f>
        <v>2618000</v>
      </c>
      <c r="V85" s="148" t="s">
        <v>234</v>
      </c>
      <c r="W85" s="149">
        <v>46078</v>
      </c>
      <c r="X85" s="150" t="s">
        <v>507</v>
      </c>
      <c r="Y85" s="151" t="s">
        <v>236</v>
      </c>
      <c r="Z85" s="152" t="s">
        <v>508</v>
      </c>
      <c r="AA85" s="153">
        <v>1848742</v>
      </c>
      <c r="AB85" s="153" t="s">
        <v>245</v>
      </c>
      <c r="AC85" s="153" t="s">
        <v>239</v>
      </c>
      <c r="AD85" s="154">
        <f>IF(AB85="IVA Incluido",(AA85/1.19),AA85)</f>
        <v>1848742</v>
      </c>
      <c r="AE85" s="155">
        <f>IF(AC85="Si tiene IVA",AD85*19%,0)</f>
        <v>351260.98</v>
      </c>
      <c r="AF85" s="155">
        <f>AD85+AE85</f>
        <v>2200002.98</v>
      </c>
      <c r="AG85" s="155">
        <f>IF(O85="","",(AA85*G85))</f>
        <v>1848742</v>
      </c>
      <c r="AH85" s="155">
        <f>IF(O85="","",(AF85*G85))</f>
        <v>2200002.98</v>
      </c>
      <c r="AI85" s="156" t="s">
        <v>247</v>
      </c>
      <c r="AJ85" s="157">
        <v>46142</v>
      </c>
      <c r="AK85" s="158" t="s">
        <v>509</v>
      </c>
      <c r="AL85" s="159" t="s">
        <v>236</v>
      </c>
      <c r="AM85" s="160" t="s">
        <v>510</v>
      </c>
      <c r="AN85" s="161">
        <v>1583193</v>
      </c>
      <c r="AO85" s="161" t="s">
        <v>245</v>
      </c>
      <c r="AP85" s="162" t="s">
        <v>239</v>
      </c>
      <c r="AQ85" s="163">
        <f>IF(AO85="IVA Incluido",(AN85/1.19),AN85)</f>
        <v>1583193</v>
      </c>
      <c r="AR85" s="164">
        <f>IF(AP85="Si tiene IVA",AQ85*19%,0)</f>
        <v>300806.67</v>
      </c>
      <c r="AS85" s="164">
        <f>AQ85+AR85</f>
        <v>1883999.67</v>
      </c>
      <c r="AT85" s="164">
        <f>IF(AB85="","",(AN85*G85))</f>
        <v>1583193</v>
      </c>
      <c r="AU85" s="164">
        <f>IF(AB85="","",(AS85*G85))</f>
        <v>1883999.67</v>
      </c>
      <c r="AV85" s="165">
        <f t="shared" si="27"/>
        <v>2234001</v>
      </c>
      <c r="AW85" s="165">
        <f t="shared" si="28"/>
        <v>2234001</v>
      </c>
      <c r="AX85" s="165">
        <f t="shared" si="29"/>
        <v>368179</v>
      </c>
      <c r="AY85" s="166">
        <f>IF(N85="","",(AX85/AW85))</f>
        <v>0.16480699874350996</v>
      </c>
      <c r="AZ85" s="5"/>
      <c r="BA85" s="7">
        <f>COUNTA(M85,Z85,AM85)</f>
        <v>3</v>
      </c>
      <c r="BB85" s="7"/>
    </row>
    <row r="86" spans="1:54" ht="297" x14ac:dyDescent="0.25">
      <c r="A86" s="137" t="s">
        <v>299</v>
      </c>
      <c r="B86" s="137" t="s">
        <v>299</v>
      </c>
      <c r="C86" s="137" t="s">
        <v>299</v>
      </c>
      <c r="D86" s="137" t="s">
        <v>511</v>
      </c>
      <c r="E86" s="138" t="s">
        <v>512</v>
      </c>
      <c r="F86" s="139" t="s">
        <v>302</v>
      </c>
      <c r="G86" s="140">
        <v>1</v>
      </c>
      <c r="H86" s="139"/>
      <c r="I86" s="141"/>
      <c r="J86" s="142"/>
      <c r="K86" s="143"/>
      <c r="L86" s="144"/>
      <c r="M86" s="142"/>
      <c r="N86" s="145"/>
      <c r="O86" s="145"/>
      <c r="P86" s="145"/>
      <c r="Q86" s="146" t="s">
        <v>303</v>
      </c>
      <c r="R86" s="147" t="s">
        <v>303</v>
      </c>
      <c r="S86" s="147" t="s">
        <v>303</v>
      </c>
      <c r="T86" s="147" t="s">
        <v>303</v>
      </c>
      <c r="U86" s="147" t="s">
        <v>303</v>
      </c>
      <c r="V86" s="148" t="s">
        <v>299</v>
      </c>
      <c r="W86" s="149" t="s">
        <v>299</v>
      </c>
      <c r="X86" s="150" t="s">
        <v>299</v>
      </c>
      <c r="Y86" s="151" t="s">
        <v>299</v>
      </c>
      <c r="Z86" s="152" t="s">
        <v>304</v>
      </c>
      <c r="AA86" s="153" t="s">
        <v>299</v>
      </c>
      <c r="AB86" s="153" t="s">
        <v>299</v>
      </c>
      <c r="AC86" s="153" t="s">
        <v>299</v>
      </c>
      <c r="AD86" s="154" t="s">
        <v>299</v>
      </c>
      <c r="AE86" s="155" t="s">
        <v>299</v>
      </c>
      <c r="AF86" s="155">
        <f>AH86/1.19</f>
        <v>1563573.9495798319</v>
      </c>
      <c r="AG86" s="155">
        <f>AF86*19%</f>
        <v>297079.05042016809</v>
      </c>
      <c r="AH86" s="155">
        <v>1860653</v>
      </c>
      <c r="AI86" s="156" t="s">
        <v>299</v>
      </c>
      <c r="AJ86" s="157" t="s">
        <v>299</v>
      </c>
      <c r="AK86" s="158" t="s">
        <v>299</v>
      </c>
      <c r="AL86" s="159" t="s">
        <v>299</v>
      </c>
      <c r="AM86" s="160" t="s">
        <v>305</v>
      </c>
      <c r="AN86" s="161" t="s">
        <v>299</v>
      </c>
      <c r="AO86" s="161" t="s">
        <v>299</v>
      </c>
      <c r="AP86" s="162" t="s">
        <v>299</v>
      </c>
      <c r="AQ86" s="163">
        <v>1518249</v>
      </c>
      <c r="AR86" s="164">
        <v>288467</v>
      </c>
      <c r="AS86" s="164">
        <v>1806716</v>
      </c>
      <c r="AT86" s="164">
        <v>1518249</v>
      </c>
      <c r="AU86" s="164">
        <v>1806716</v>
      </c>
      <c r="AV86" s="165">
        <f t="shared" si="27"/>
        <v>1685145</v>
      </c>
      <c r="AW86" s="165">
        <f t="shared" si="28"/>
        <v>1685145</v>
      </c>
      <c r="AX86" s="165" t="str">
        <f t="shared" si="29"/>
        <v/>
      </c>
      <c r="AY86" s="166">
        <v>2.0799999999999999E-2</v>
      </c>
      <c r="AZ86" s="5"/>
      <c r="BA86" s="7"/>
      <c r="BB86" s="7"/>
    </row>
    <row r="87" spans="1:54" ht="135" x14ac:dyDescent="0.25">
      <c r="A87" s="137" t="s">
        <v>229</v>
      </c>
      <c r="B87" s="137" t="s">
        <v>500</v>
      </c>
      <c r="C87" s="137" t="s">
        <v>501</v>
      </c>
      <c r="D87" s="137" t="s">
        <v>513</v>
      </c>
      <c r="E87" s="138" t="s">
        <v>514</v>
      </c>
      <c r="F87" s="139" t="s">
        <v>233</v>
      </c>
      <c r="G87" s="140">
        <v>1</v>
      </c>
      <c r="H87" s="139" t="s">
        <v>335</v>
      </c>
      <c r="I87" s="141" t="s">
        <v>428</v>
      </c>
      <c r="J87" s="142">
        <v>46056</v>
      </c>
      <c r="K87" s="143" t="s">
        <v>429</v>
      </c>
      <c r="L87" s="144" t="s">
        <v>241</v>
      </c>
      <c r="M87" s="142" t="s">
        <v>325</v>
      </c>
      <c r="N87" s="145">
        <v>3150000</v>
      </c>
      <c r="O87" s="145" t="s">
        <v>245</v>
      </c>
      <c r="P87" s="145" t="s">
        <v>239</v>
      </c>
      <c r="Q87" s="146">
        <f t="shared" ref="Q87:Q104" si="32">IF(O87="IVA Incluido",(N87/1.19),N87)</f>
        <v>3150000</v>
      </c>
      <c r="R87" s="147">
        <f t="shared" ref="R87:R95" si="33">IF(P87="Si tiene IVA",Q87*19%,0)</f>
        <v>598500</v>
      </c>
      <c r="S87" s="147">
        <f t="shared" ref="S87:S104" si="34">Q87+R87</f>
        <v>3748500</v>
      </c>
      <c r="T87" s="147">
        <f t="shared" ref="T87:T104" si="35">IF(B87="","",(N87*G87))</f>
        <v>3150000</v>
      </c>
      <c r="U87" s="147">
        <f t="shared" ref="U87:U104" si="36">IF(B87="","",(S87*G87))</f>
        <v>3748500</v>
      </c>
      <c r="V87" s="148" t="s">
        <v>247</v>
      </c>
      <c r="W87" s="149">
        <v>46142</v>
      </c>
      <c r="X87" s="150" t="s">
        <v>418</v>
      </c>
      <c r="Y87" s="151" t="s">
        <v>236</v>
      </c>
      <c r="Z87" s="152" t="s">
        <v>515</v>
      </c>
      <c r="AA87" s="153">
        <v>3200000</v>
      </c>
      <c r="AB87" s="153" t="s">
        <v>245</v>
      </c>
      <c r="AC87" s="153" t="s">
        <v>239</v>
      </c>
      <c r="AD87" s="154">
        <f t="shared" ref="AD87:AD104" si="37">IF(AB87="IVA Incluido",(AA87/1.19),AA87)</f>
        <v>3200000</v>
      </c>
      <c r="AE87" s="155">
        <f t="shared" ref="AE87:AE104" si="38">IF(AC87="Si tiene IVA",AD87*19%,0)</f>
        <v>608000</v>
      </c>
      <c r="AF87" s="155">
        <f t="shared" ref="AF87:AF104" si="39">AD87+AE87</f>
        <v>3808000</v>
      </c>
      <c r="AG87" s="155">
        <f t="shared" ref="AG87:AG104" si="40">IF(O87="","",(AA87*G87))</f>
        <v>3200000</v>
      </c>
      <c r="AH87" s="155">
        <f t="shared" ref="AH87:AH104" si="41">IF(O87="","",(AF87*G87))</f>
        <v>3808000</v>
      </c>
      <c r="AI87" s="156" t="s">
        <v>516</v>
      </c>
      <c r="AJ87" s="157">
        <v>46132</v>
      </c>
      <c r="AK87" s="158" t="s">
        <v>517</v>
      </c>
      <c r="AL87" s="159" t="s">
        <v>236</v>
      </c>
      <c r="AM87" s="160" t="s">
        <v>518</v>
      </c>
      <c r="AN87" s="161">
        <v>2865546.22</v>
      </c>
      <c r="AO87" s="161" t="s">
        <v>245</v>
      </c>
      <c r="AP87" s="162" t="s">
        <v>239</v>
      </c>
      <c r="AQ87" s="163">
        <f t="shared" ref="AQ87:AQ104" si="42">IF(AO87="IVA Incluido",(AN87/1.19),AN87)</f>
        <v>2865546.22</v>
      </c>
      <c r="AR87" s="164">
        <f t="shared" ref="AR87:AR104" si="43">IF(AP87="Si tiene IVA",AQ87*19%,0)</f>
        <v>544453.7818</v>
      </c>
      <c r="AS87" s="164">
        <f t="shared" ref="AS87:AS104" si="44">AQ87+AR87</f>
        <v>3410000.0018000002</v>
      </c>
      <c r="AT87" s="164">
        <f t="shared" ref="AT87:AT104" si="45">IF(AB87="","",(AN87*G87))</f>
        <v>2865546.22</v>
      </c>
      <c r="AU87" s="164">
        <f t="shared" ref="AU87:AU104" si="46">IF(AB87="","",(AS87*G87))</f>
        <v>3410000.0018000002</v>
      </c>
      <c r="AV87" s="165">
        <f t="shared" si="27"/>
        <v>3655500</v>
      </c>
      <c r="AW87" s="165">
        <f t="shared" si="28"/>
        <v>3655500</v>
      </c>
      <c r="AX87" s="165">
        <f t="shared" si="29"/>
        <v>214681</v>
      </c>
      <c r="AY87" s="166">
        <f t="shared" ref="AY87:AY104" si="47">IF(N87="","",(AX87/AW87))</f>
        <v>5.8728217754069209E-2</v>
      </c>
      <c r="AZ87" s="5"/>
      <c r="BA87" s="7">
        <f t="shared" ref="BA87:BA104" si="48">COUNTA(M87,Z87,AM87)</f>
        <v>3</v>
      </c>
      <c r="BB87" s="7"/>
    </row>
    <row r="88" spans="1:54" ht="108" x14ac:dyDescent="0.25">
      <c r="A88" s="137" t="s">
        <v>229</v>
      </c>
      <c r="B88" s="137" t="s">
        <v>306</v>
      </c>
      <c r="C88" s="137"/>
      <c r="D88" s="137" t="s">
        <v>519</v>
      </c>
      <c r="E88" s="138" t="s">
        <v>520</v>
      </c>
      <c r="F88" s="139" t="s">
        <v>233</v>
      </c>
      <c r="G88" s="140">
        <v>1</v>
      </c>
      <c r="H88" s="139" t="s">
        <v>51</v>
      </c>
      <c r="I88" s="141" t="s">
        <v>247</v>
      </c>
      <c r="J88" s="142">
        <v>46069</v>
      </c>
      <c r="K88" s="143" t="s">
        <v>521</v>
      </c>
      <c r="L88" s="144" t="s">
        <v>241</v>
      </c>
      <c r="M88" s="142" t="s">
        <v>522</v>
      </c>
      <c r="N88" s="145">
        <v>10990</v>
      </c>
      <c r="O88" s="145" t="s">
        <v>238</v>
      </c>
      <c r="P88" s="145" t="s">
        <v>239</v>
      </c>
      <c r="Q88" s="146">
        <f t="shared" si="32"/>
        <v>9235.2941176470595</v>
      </c>
      <c r="R88" s="147">
        <f t="shared" si="33"/>
        <v>1754.7058823529412</v>
      </c>
      <c r="S88" s="147">
        <f t="shared" si="34"/>
        <v>10990</v>
      </c>
      <c r="T88" s="147">
        <f t="shared" si="35"/>
        <v>10990</v>
      </c>
      <c r="U88" s="147">
        <f t="shared" si="36"/>
        <v>10990</v>
      </c>
      <c r="V88" s="148" t="s">
        <v>247</v>
      </c>
      <c r="W88" s="149">
        <v>46069</v>
      </c>
      <c r="X88" s="150" t="s">
        <v>523</v>
      </c>
      <c r="Y88" s="151" t="s">
        <v>241</v>
      </c>
      <c r="Z88" s="152" t="s">
        <v>524</v>
      </c>
      <c r="AA88" s="153">
        <v>10725</v>
      </c>
      <c r="AB88" s="153" t="s">
        <v>238</v>
      </c>
      <c r="AC88" s="153" t="s">
        <v>239</v>
      </c>
      <c r="AD88" s="154">
        <f t="shared" si="37"/>
        <v>9012.6050420168067</v>
      </c>
      <c r="AE88" s="155">
        <f t="shared" si="38"/>
        <v>1712.3949579831933</v>
      </c>
      <c r="AF88" s="155">
        <f t="shared" si="39"/>
        <v>10725</v>
      </c>
      <c r="AG88" s="155">
        <f t="shared" si="40"/>
        <v>10725</v>
      </c>
      <c r="AH88" s="155">
        <f t="shared" si="41"/>
        <v>10725</v>
      </c>
      <c r="AI88" s="156" t="s">
        <v>247</v>
      </c>
      <c r="AJ88" s="157">
        <v>46069</v>
      </c>
      <c r="AK88" s="158" t="s">
        <v>525</v>
      </c>
      <c r="AL88" s="159" t="s">
        <v>241</v>
      </c>
      <c r="AM88" s="160" t="s">
        <v>526</v>
      </c>
      <c r="AN88" s="161">
        <v>9990</v>
      </c>
      <c r="AO88" s="161" t="s">
        <v>238</v>
      </c>
      <c r="AP88" s="162" t="s">
        <v>239</v>
      </c>
      <c r="AQ88" s="163">
        <f t="shared" si="42"/>
        <v>8394.957983193277</v>
      </c>
      <c r="AR88" s="164">
        <f t="shared" si="43"/>
        <v>1595.0420168067226</v>
      </c>
      <c r="AS88" s="164">
        <f t="shared" si="44"/>
        <v>9990</v>
      </c>
      <c r="AT88" s="164">
        <f t="shared" si="45"/>
        <v>9990</v>
      </c>
      <c r="AU88" s="164">
        <f t="shared" si="46"/>
        <v>9990</v>
      </c>
      <c r="AV88" s="165">
        <f t="shared" si="27"/>
        <v>10568</v>
      </c>
      <c r="AW88" s="165">
        <f t="shared" si="28"/>
        <v>10568</v>
      </c>
      <c r="AX88" s="165">
        <f t="shared" si="29"/>
        <v>518</v>
      </c>
      <c r="AY88" s="166">
        <f t="shared" si="47"/>
        <v>4.9015897047691145E-2</v>
      </c>
      <c r="AZ88" s="5"/>
      <c r="BA88" s="7">
        <f t="shared" si="48"/>
        <v>3</v>
      </c>
      <c r="BB88" s="7"/>
    </row>
    <row r="89" spans="1:54" ht="67.5" x14ac:dyDescent="0.25">
      <c r="A89" s="137" t="s">
        <v>229</v>
      </c>
      <c r="B89" s="137" t="s">
        <v>306</v>
      </c>
      <c r="C89" s="137">
        <v>14111531</v>
      </c>
      <c r="D89" s="137" t="s">
        <v>527</v>
      </c>
      <c r="E89" s="138" t="s">
        <v>528</v>
      </c>
      <c r="F89" s="139" t="s">
        <v>233</v>
      </c>
      <c r="G89" s="140">
        <v>1</v>
      </c>
      <c r="H89" s="139" t="s">
        <v>51</v>
      </c>
      <c r="I89" s="141" t="s">
        <v>247</v>
      </c>
      <c r="J89" s="142">
        <v>46069</v>
      </c>
      <c r="K89" s="143" t="s">
        <v>494</v>
      </c>
      <c r="L89" s="144" t="s">
        <v>241</v>
      </c>
      <c r="M89" s="142" t="s">
        <v>529</v>
      </c>
      <c r="N89" s="145">
        <v>11000</v>
      </c>
      <c r="O89" s="145" t="s">
        <v>238</v>
      </c>
      <c r="P89" s="145" t="s">
        <v>239</v>
      </c>
      <c r="Q89" s="146">
        <f t="shared" si="32"/>
        <v>9243.6974789915967</v>
      </c>
      <c r="R89" s="147">
        <f t="shared" si="33"/>
        <v>1756.3025210084033</v>
      </c>
      <c r="S89" s="147">
        <f t="shared" si="34"/>
        <v>11000</v>
      </c>
      <c r="T89" s="147">
        <f t="shared" si="35"/>
        <v>11000</v>
      </c>
      <c r="U89" s="147">
        <f t="shared" si="36"/>
        <v>11000</v>
      </c>
      <c r="V89" s="148" t="s">
        <v>247</v>
      </c>
      <c r="W89" s="149">
        <v>46069</v>
      </c>
      <c r="X89" s="150" t="s">
        <v>492</v>
      </c>
      <c r="Y89" s="151" t="s">
        <v>241</v>
      </c>
      <c r="Z89" s="152" t="s">
        <v>530</v>
      </c>
      <c r="AA89" s="153">
        <v>9400</v>
      </c>
      <c r="AB89" s="153" t="s">
        <v>238</v>
      </c>
      <c r="AC89" s="153" t="s">
        <v>239</v>
      </c>
      <c r="AD89" s="154">
        <f t="shared" si="37"/>
        <v>7899.1596638655465</v>
      </c>
      <c r="AE89" s="155">
        <f t="shared" si="38"/>
        <v>1500.8403361344538</v>
      </c>
      <c r="AF89" s="155">
        <f t="shared" si="39"/>
        <v>9400</v>
      </c>
      <c r="AG89" s="155">
        <f t="shared" si="40"/>
        <v>9400</v>
      </c>
      <c r="AH89" s="155">
        <f t="shared" si="41"/>
        <v>9400</v>
      </c>
      <c r="AI89" s="156" t="s">
        <v>247</v>
      </c>
      <c r="AJ89" s="157">
        <v>46069</v>
      </c>
      <c r="AK89" s="158" t="s">
        <v>531</v>
      </c>
      <c r="AL89" s="159" t="s">
        <v>241</v>
      </c>
      <c r="AM89" s="160" t="s">
        <v>532</v>
      </c>
      <c r="AN89" s="161">
        <v>11900</v>
      </c>
      <c r="AO89" s="161" t="s">
        <v>238</v>
      </c>
      <c r="AP89" s="162" t="s">
        <v>239</v>
      </c>
      <c r="AQ89" s="163">
        <f t="shared" si="42"/>
        <v>10000</v>
      </c>
      <c r="AR89" s="164">
        <f t="shared" si="43"/>
        <v>1900</v>
      </c>
      <c r="AS89" s="164">
        <f t="shared" si="44"/>
        <v>11900</v>
      </c>
      <c r="AT89" s="164">
        <f t="shared" si="45"/>
        <v>11900</v>
      </c>
      <c r="AU89" s="164">
        <f t="shared" si="46"/>
        <v>11900</v>
      </c>
      <c r="AV89" s="165">
        <f t="shared" si="27"/>
        <v>10767</v>
      </c>
      <c r="AW89" s="165">
        <f t="shared" si="28"/>
        <v>10767</v>
      </c>
      <c r="AX89" s="165">
        <f t="shared" si="29"/>
        <v>1266</v>
      </c>
      <c r="AY89" s="166">
        <f t="shared" si="47"/>
        <v>0.11758149902479799</v>
      </c>
      <c r="AZ89" s="5"/>
      <c r="BA89" s="7">
        <f t="shared" si="48"/>
        <v>3</v>
      </c>
      <c r="BB89" s="7"/>
    </row>
    <row r="90" spans="1:54" ht="67.5" x14ac:dyDescent="0.25">
      <c r="A90" s="137" t="s">
        <v>229</v>
      </c>
      <c r="B90" s="137" t="s">
        <v>306</v>
      </c>
      <c r="C90" s="137">
        <v>14111514</v>
      </c>
      <c r="D90" s="137" t="s">
        <v>533</v>
      </c>
      <c r="E90" s="138" t="s">
        <v>534</v>
      </c>
      <c r="F90" s="139" t="s">
        <v>233</v>
      </c>
      <c r="G90" s="140">
        <v>1</v>
      </c>
      <c r="H90" s="139" t="s">
        <v>51</v>
      </c>
      <c r="I90" s="141" t="s">
        <v>247</v>
      </c>
      <c r="J90" s="142">
        <v>46070</v>
      </c>
      <c r="K90" s="143" t="s">
        <v>311</v>
      </c>
      <c r="L90" s="144" t="s">
        <v>241</v>
      </c>
      <c r="M90" s="142" t="s">
        <v>312</v>
      </c>
      <c r="N90" s="145">
        <v>2700</v>
      </c>
      <c r="O90" s="145" t="s">
        <v>245</v>
      </c>
      <c r="P90" s="145" t="s">
        <v>239</v>
      </c>
      <c r="Q90" s="146">
        <f t="shared" si="32"/>
        <v>2700</v>
      </c>
      <c r="R90" s="147">
        <f t="shared" si="33"/>
        <v>513</v>
      </c>
      <c r="S90" s="147">
        <f t="shared" si="34"/>
        <v>3213</v>
      </c>
      <c r="T90" s="147">
        <f t="shared" si="35"/>
        <v>2700</v>
      </c>
      <c r="U90" s="147">
        <f t="shared" si="36"/>
        <v>3213</v>
      </c>
      <c r="V90" s="148" t="s">
        <v>247</v>
      </c>
      <c r="W90" s="149">
        <v>46070</v>
      </c>
      <c r="X90" s="150" t="s">
        <v>535</v>
      </c>
      <c r="Y90" s="151" t="s">
        <v>241</v>
      </c>
      <c r="Z90" s="152" t="s">
        <v>536</v>
      </c>
      <c r="AA90" s="153">
        <v>2706</v>
      </c>
      <c r="AB90" s="153" t="s">
        <v>238</v>
      </c>
      <c r="AC90" s="153" t="s">
        <v>239</v>
      </c>
      <c r="AD90" s="154">
        <f t="shared" si="37"/>
        <v>2273.9495798319331</v>
      </c>
      <c r="AE90" s="155">
        <f t="shared" si="38"/>
        <v>432.05042016806726</v>
      </c>
      <c r="AF90" s="155">
        <f t="shared" si="39"/>
        <v>2706.0000000000005</v>
      </c>
      <c r="AG90" s="155">
        <f t="shared" si="40"/>
        <v>2706</v>
      </c>
      <c r="AH90" s="155">
        <f t="shared" si="41"/>
        <v>2706.0000000000005</v>
      </c>
      <c r="AI90" s="156" t="s">
        <v>247</v>
      </c>
      <c r="AJ90" s="157">
        <v>46070</v>
      </c>
      <c r="AK90" s="158" t="s">
        <v>537</v>
      </c>
      <c r="AL90" s="159" t="s">
        <v>241</v>
      </c>
      <c r="AM90" s="160" t="s">
        <v>538</v>
      </c>
      <c r="AN90" s="161">
        <v>3026</v>
      </c>
      <c r="AO90" s="161" t="s">
        <v>245</v>
      </c>
      <c r="AP90" s="162" t="s">
        <v>239</v>
      </c>
      <c r="AQ90" s="163">
        <f t="shared" si="42"/>
        <v>3026</v>
      </c>
      <c r="AR90" s="164">
        <f t="shared" si="43"/>
        <v>574.94000000000005</v>
      </c>
      <c r="AS90" s="164">
        <f t="shared" si="44"/>
        <v>3600.94</v>
      </c>
      <c r="AT90" s="164">
        <f t="shared" si="45"/>
        <v>3026</v>
      </c>
      <c r="AU90" s="164">
        <f t="shared" si="46"/>
        <v>3600.94</v>
      </c>
      <c r="AV90" s="165">
        <f t="shared" si="27"/>
        <v>3173</v>
      </c>
      <c r="AW90" s="165">
        <f t="shared" si="28"/>
        <v>3173</v>
      </c>
      <c r="AX90" s="165">
        <f t="shared" si="29"/>
        <v>449</v>
      </c>
      <c r="AY90" s="166">
        <f t="shared" si="47"/>
        <v>0.14150646076268517</v>
      </c>
      <c r="AZ90" s="5"/>
      <c r="BA90" s="7">
        <f t="shared" si="48"/>
        <v>3</v>
      </c>
      <c r="BB90" s="7"/>
    </row>
    <row r="91" spans="1:54" ht="67.5" x14ac:dyDescent="0.25">
      <c r="A91" s="137" t="s">
        <v>229</v>
      </c>
      <c r="B91" s="137" t="s">
        <v>306</v>
      </c>
      <c r="C91" s="137">
        <v>14111514</v>
      </c>
      <c r="D91" s="137" t="s">
        <v>539</v>
      </c>
      <c r="E91" s="138" t="s">
        <v>540</v>
      </c>
      <c r="F91" s="139" t="s">
        <v>233</v>
      </c>
      <c r="G91" s="140">
        <v>1</v>
      </c>
      <c r="H91" s="139" t="s">
        <v>51</v>
      </c>
      <c r="I91" s="141" t="s">
        <v>247</v>
      </c>
      <c r="J91" s="142">
        <v>46070</v>
      </c>
      <c r="K91" s="143" t="s">
        <v>535</v>
      </c>
      <c r="L91" s="144" t="s">
        <v>241</v>
      </c>
      <c r="M91" s="142" t="s">
        <v>536</v>
      </c>
      <c r="N91" s="145">
        <v>2898</v>
      </c>
      <c r="O91" s="145" t="s">
        <v>245</v>
      </c>
      <c r="P91" s="145" t="s">
        <v>239</v>
      </c>
      <c r="Q91" s="146">
        <f t="shared" si="32"/>
        <v>2898</v>
      </c>
      <c r="R91" s="147">
        <f t="shared" si="33"/>
        <v>550.62</v>
      </c>
      <c r="S91" s="147">
        <f t="shared" si="34"/>
        <v>3448.62</v>
      </c>
      <c r="T91" s="147">
        <f t="shared" si="35"/>
        <v>2898</v>
      </c>
      <c r="U91" s="147">
        <f t="shared" si="36"/>
        <v>3448.62</v>
      </c>
      <c r="V91" s="148" t="s">
        <v>247</v>
      </c>
      <c r="W91" s="149">
        <v>46070</v>
      </c>
      <c r="X91" s="150" t="s">
        <v>311</v>
      </c>
      <c r="Y91" s="151" t="s">
        <v>241</v>
      </c>
      <c r="Z91" s="152" t="s">
        <v>312</v>
      </c>
      <c r="AA91" s="153">
        <v>3400</v>
      </c>
      <c r="AB91" s="153" t="s">
        <v>245</v>
      </c>
      <c r="AC91" s="153" t="s">
        <v>239</v>
      </c>
      <c r="AD91" s="154">
        <f t="shared" si="37"/>
        <v>3400</v>
      </c>
      <c r="AE91" s="155">
        <f t="shared" si="38"/>
        <v>646</v>
      </c>
      <c r="AF91" s="155">
        <f t="shared" si="39"/>
        <v>4046</v>
      </c>
      <c r="AG91" s="155">
        <f t="shared" si="40"/>
        <v>3400</v>
      </c>
      <c r="AH91" s="155">
        <f t="shared" si="41"/>
        <v>4046</v>
      </c>
      <c r="AI91" s="156" t="s">
        <v>247</v>
      </c>
      <c r="AJ91" s="157">
        <v>46070</v>
      </c>
      <c r="AK91" s="158" t="s">
        <v>537</v>
      </c>
      <c r="AL91" s="159" t="s">
        <v>241</v>
      </c>
      <c r="AM91" s="160" t="s">
        <v>538</v>
      </c>
      <c r="AN91" s="161">
        <v>3361</v>
      </c>
      <c r="AO91" s="161" t="s">
        <v>245</v>
      </c>
      <c r="AP91" s="162" t="s">
        <v>239</v>
      </c>
      <c r="AQ91" s="163">
        <f t="shared" si="42"/>
        <v>3361</v>
      </c>
      <c r="AR91" s="164">
        <f t="shared" si="43"/>
        <v>638.59</v>
      </c>
      <c r="AS91" s="164">
        <f t="shared" si="44"/>
        <v>3999.59</v>
      </c>
      <c r="AT91" s="164">
        <f t="shared" si="45"/>
        <v>3361</v>
      </c>
      <c r="AU91" s="164">
        <f t="shared" si="46"/>
        <v>3999.59</v>
      </c>
      <c r="AV91" s="165">
        <f t="shared" si="27"/>
        <v>3831</v>
      </c>
      <c r="AW91" s="165">
        <f t="shared" si="28"/>
        <v>3831</v>
      </c>
      <c r="AX91" s="165">
        <f t="shared" si="29"/>
        <v>332</v>
      </c>
      <c r="AY91" s="166">
        <f t="shared" si="47"/>
        <v>8.6661446097624648E-2</v>
      </c>
      <c r="AZ91" s="5"/>
      <c r="BA91" s="7">
        <f t="shared" si="48"/>
        <v>3</v>
      </c>
      <c r="BB91" s="7"/>
    </row>
    <row r="92" spans="1:54" ht="54" x14ac:dyDescent="0.25">
      <c r="A92" s="137" t="s">
        <v>229</v>
      </c>
      <c r="B92" s="137" t="s">
        <v>306</v>
      </c>
      <c r="C92" s="137">
        <v>60121109</v>
      </c>
      <c r="D92" s="137" t="s">
        <v>541</v>
      </c>
      <c r="E92" s="138" t="s">
        <v>542</v>
      </c>
      <c r="F92" s="139" t="s">
        <v>233</v>
      </c>
      <c r="G92" s="140">
        <v>1</v>
      </c>
      <c r="H92" s="139" t="s">
        <v>51</v>
      </c>
      <c r="I92" s="141" t="s">
        <v>247</v>
      </c>
      <c r="J92" s="142">
        <v>46069</v>
      </c>
      <c r="K92" s="143" t="s">
        <v>543</v>
      </c>
      <c r="L92" s="144" t="s">
        <v>241</v>
      </c>
      <c r="M92" s="142" t="s">
        <v>536</v>
      </c>
      <c r="N92" s="145">
        <v>49411</v>
      </c>
      <c r="O92" s="145" t="s">
        <v>245</v>
      </c>
      <c r="P92" s="145" t="s">
        <v>239</v>
      </c>
      <c r="Q92" s="146">
        <f t="shared" si="32"/>
        <v>49411</v>
      </c>
      <c r="R92" s="147">
        <f t="shared" si="33"/>
        <v>9388.09</v>
      </c>
      <c r="S92" s="147">
        <f t="shared" si="34"/>
        <v>58799.09</v>
      </c>
      <c r="T92" s="147">
        <f t="shared" si="35"/>
        <v>49411</v>
      </c>
      <c r="U92" s="147">
        <f t="shared" si="36"/>
        <v>58799.09</v>
      </c>
      <c r="V92" s="148" t="s">
        <v>247</v>
      </c>
      <c r="W92" s="149">
        <v>46069</v>
      </c>
      <c r="X92" s="150" t="s">
        <v>311</v>
      </c>
      <c r="Y92" s="151" t="s">
        <v>241</v>
      </c>
      <c r="Z92" s="152" t="s">
        <v>544</v>
      </c>
      <c r="AA92" s="153">
        <v>45900</v>
      </c>
      <c r="AB92" s="153" t="s">
        <v>245</v>
      </c>
      <c r="AC92" s="153" t="s">
        <v>239</v>
      </c>
      <c r="AD92" s="154">
        <f t="shared" si="37"/>
        <v>45900</v>
      </c>
      <c r="AE92" s="155">
        <f t="shared" si="38"/>
        <v>8721</v>
      </c>
      <c r="AF92" s="155">
        <f t="shared" si="39"/>
        <v>54621</v>
      </c>
      <c r="AG92" s="155">
        <f t="shared" si="40"/>
        <v>45900</v>
      </c>
      <c r="AH92" s="155">
        <f t="shared" si="41"/>
        <v>54621</v>
      </c>
      <c r="AI92" s="156" t="s">
        <v>247</v>
      </c>
      <c r="AJ92" s="157">
        <v>46069</v>
      </c>
      <c r="AK92" s="158" t="s">
        <v>494</v>
      </c>
      <c r="AL92" s="159" t="s">
        <v>241</v>
      </c>
      <c r="AM92" s="160" t="s">
        <v>529</v>
      </c>
      <c r="AN92" s="161">
        <v>49000</v>
      </c>
      <c r="AO92" s="161" t="s">
        <v>238</v>
      </c>
      <c r="AP92" s="162" t="s">
        <v>239</v>
      </c>
      <c r="AQ92" s="163">
        <f t="shared" si="42"/>
        <v>41176.470588235294</v>
      </c>
      <c r="AR92" s="164">
        <f t="shared" si="43"/>
        <v>7823.5294117647063</v>
      </c>
      <c r="AS92" s="164">
        <f t="shared" si="44"/>
        <v>49000</v>
      </c>
      <c r="AT92" s="164">
        <f t="shared" si="45"/>
        <v>49000</v>
      </c>
      <c r="AU92" s="164">
        <f t="shared" si="46"/>
        <v>49000</v>
      </c>
      <c r="AV92" s="165">
        <f t="shared" si="27"/>
        <v>54140</v>
      </c>
      <c r="AW92" s="165">
        <f t="shared" si="28"/>
        <v>54140</v>
      </c>
      <c r="AX92" s="165">
        <f t="shared" si="29"/>
        <v>4917</v>
      </c>
      <c r="AY92" s="166">
        <f t="shared" si="47"/>
        <v>9.0820096047284818E-2</v>
      </c>
      <c r="AZ92" s="5"/>
      <c r="BA92" s="7">
        <f t="shared" si="48"/>
        <v>3</v>
      </c>
      <c r="BB92" s="7"/>
    </row>
    <row r="93" spans="1:54" ht="54" x14ac:dyDescent="0.25">
      <c r="A93" s="137" t="s">
        <v>229</v>
      </c>
      <c r="B93" s="137" t="s">
        <v>306</v>
      </c>
      <c r="C93" s="137">
        <v>14111514</v>
      </c>
      <c r="D93" s="137" t="s">
        <v>545</v>
      </c>
      <c r="E93" s="138" t="s">
        <v>546</v>
      </c>
      <c r="F93" s="139" t="s">
        <v>233</v>
      </c>
      <c r="G93" s="140">
        <v>1</v>
      </c>
      <c r="H93" s="139" t="s">
        <v>51</v>
      </c>
      <c r="I93" s="141" t="s">
        <v>247</v>
      </c>
      <c r="J93" s="142">
        <v>46070</v>
      </c>
      <c r="K93" s="143" t="s">
        <v>494</v>
      </c>
      <c r="L93" s="144" t="s">
        <v>241</v>
      </c>
      <c r="M93" s="142" t="s">
        <v>529</v>
      </c>
      <c r="N93" s="145">
        <v>5000</v>
      </c>
      <c r="O93" s="145" t="s">
        <v>238</v>
      </c>
      <c r="P93" s="145" t="s">
        <v>239</v>
      </c>
      <c r="Q93" s="146">
        <f t="shared" si="32"/>
        <v>4201.680672268908</v>
      </c>
      <c r="R93" s="147">
        <f t="shared" si="33"/>
        <v>798.31932773109247</v>
      </c>
      <c r="S93" s="147">
        <f t="shared" si="34"/>
        <v>5000</v>
      </c>
      <c r="T93" s="147">
        <f t="shared" si="35"/>
        <v>5000</v>
      </c>
      <c r="U93" s="147">
        <f t="shared" si="36"/>
        <v>5000</v>
      </c>
      <c r="V93" s="148" t="s">
        <v>247</v>
      </c>
      <c r="W93" s="149">
        <v>46070</v>
      </c>
      <c r="X93" s="150" t="s">
        <v>311</v>
      </c>
      <c r="Y93" s="151" t="s">
        <v>241</v>
      </c>
      <c r="Z93" s="152" t="s">
        <v>312</v>
      </c>
      <c r="AA93" s="153">
        <v>4875</v>
      </c>
      <c r="AB93" s="153" t="s">
        <v>238</v>
      </c>
      <c r="AC93" s="153" t="s">
        <v>239</v>
      </c>
      <c r="AD93" s="154">
        <f t="shared" si="37"/>
        <v>4096.6386554621849</v>
      </c>
      <c r="AE93" s="155">
        <f t="shared" si="38"/>
        <v>778.36134453781517</v>
      </c>
      <c r="AF93" s="155">
        <f t="shared" si="39"/>
        <v>4875</v>
      </c>
      <c r="AG93" s="155">
        <f t="shared" si="40"/>
        <v>4875</v>
      </c>
      <c r="AH93" s="155">
        <f t="shared" si="41"/>
        <v>4875</v>
      </c>
      <c r="AI93" s="156" t="s">
        <v>247</v>
      </c>
      <c r="AJ93" s="157">
        <v>46070</v>
      </c>
      <c r="AK93" s="158" t="s">
        <v>313</v>
      </c>
      <c r="AL93" s="159" t="s">
        <v>241</v>
      </c>
      <c r="AM93" s="160" t="s">
        <v>314</v>
      </c>
      <c r="AN93" s="161">
        <v>6200</v>
      </c>
      <c r="AO93" s="161" t="s">
        <v>238</v>
      </c>
      <c r="AP93" s="162" t="s">
        <v>239</v>
      </c>
      <c r="AQ93" s="163">
        <f t="shared" si="42"/>
        <v>5210.0840336134452</v>
      </c>
      <c r="AR93" s="164">
        <f t="shared" si="43"/>
        <v>989.9159663865546</v>
      </c>
      <c r="AS93" s="164">
        <f t="shared" si="44"/>
        <v>6200</v>
      </c>
      <c r="AT93" s="164">
        <f t="shared" si="45"/>
        <v>6200</v>
      </c>
      <c r="AU93" s="164">
        <f t="shared" si="46"/>
        <v>6200</v>
      </c>
      <c r="AV93" s="165">
        <f t="shared" si="27"/>
        <v>5358</v>
      </c>
      <c r="AW93" s="165">
        <f t="shared" si="28"/>
        <v>5358</v>
      </c>
      <c r="AX93" s="165">
        <f t="shared" si="29"/>
        <v>732</v>
      </c>
      <c r="AY93" s="166">
        <f t="shared" si="47"/>
        <v>0.1366181410974244</v>
      </c>
      <c r="AZ93" s="5"/>
      <c r="BA93" s="7">
        <f t="shared" si="48"/>
        <v>3</v>
      </c>
      <c r="BB93" s="7"/>
    </row>
    <row r="94" spans="1:54" ht="81" x14ac:dyDescent="0.25">
      <c r="A94" s="137" t="s">
        <v>229</v>
      </c>
      <c r="B94" s="137" t="s">
        <v>306</v>
      </c>
      <c r="C94" s="137">
        <v>14111514</v>
      </c>
      <c r="D94" s="137" t="s">
        <v>547</v>
      </c>
      <c r="E94" s="138" t="s">
        <v>548</v>
      </c>
      <c r="F94" s="139" t="s">
        <v>233</v>
      </c>
      <c r="G94" s="140">
        <v>1</v>
      </c>
      <c r="H94" s="139" t="s">
        <v>51</v>
      </c>
      <c r="I94" s="141" t="s">
        <v>247</v>
      </c>
      <c r="J94" s="142">
        <v>46069</v>
      </c>
      <c r="K94" s="143" t="s">
        <v>494</v>
      </c>
      <c r="L94" s="144" t="s">
        <v>241</v>
      </c>
      <c r="M94" s="142" t="s">
        <v>529</v>
      </c>
      <c r="N94" s="145">
        <v>4400</v>
      </c>
      <c r="O94" s="145" t="s">
        <v>238</v>
      </c>
      <c r="P94" s="145" t="s">
        <v>239</v>
      </c>
      <c r="Q94" s="146">
        <f t="shared" si="32"/>
        <v>3697.4789915966389</v>
      </c>
      <c r="R94" s="147">
        <f t="shared" si="33"/>
        <v>702.52100840336141</v>
      </c>
      <c r="S94" s="147">
        <f t="shared" si="34"/>
        <v>4400</v>
      </c>
      <c r="T94" s="147">
        <f t="shared" si="35"/>
        <v>4400</v>
      </c>
      <c r="U94" s="147">
        <f t="shared" si="36"/>
        <v>4400</v>
      </c>
      <c r="V94" s="148" t="s">
        <v>247</v>
      </c>
      <c r="W94" s="149">
        <v>46069</v>
      </c>
      <c r="X94" s="150" t="s">
        <v>537</v>
      </c>
      <c r="Y94" s="151" t="s">
        <v>241</v>
      </c>
      <c r="Z94" s="152" t="s">
        <v>538</v>
      </c>
      <c r="AA94" s="153">
        <v>3950</v>
      </c>
      <c r="AB94" s="153" t="s">
        <v>245</v>
      </c>
      <c r="AC94" s="153" t="s">
        <v>239</v>
      </c>
      <c r="AD94" s="154">
        <f t="shared" si="37"/>
        <v>3950</v>
      </c>
      <c r="AE94" s="155">
        <f t="shared" si="38"/>
        <v>750.5</v>
      </c>
      <c r="AF94" s="155">
        <f t="shared" si="39"/>
        <v>4700.5</v>
      </c>
      <c r="AG94" s="155">
        <f t="shared" si="40"/>
        <v>3950</v>
      </c>
      <c r="AH94" s="155">
        <f t="shared" si="41"/>
        <v>4700.5</v>
      </c>
      <c r="AI94" s="156" t="s">
        <v>247</v>
      </c>
      <c r="AJ94" s="157">
        <v>46069</v>
      </c>
      <c r="AK94" s="158" t="s">
        <v>549</v>
      </c>
      <c r="AL94" s="159" t="s">
        <v>241</v>
      </c>
      <c r="AM94" s="160" t="s">
        <v>550</v>
      </c>
      <c r="AN94" s="161">
        <v>4900</v>
      </c>
      <c r="AO94" s="161" t="s">
        <v>238</v>
      </c>
      <c r="AP94" s="162" t="s">
        <v>239</v>
      </c>
      <c r="AQ94" s="163">
        <f t="shared" si="42"/>
        <v>4117.6470588235297</v>
      </c>
      <c r="AR94" s="164">
        <f t="shared" si="43"/>
        <v>782.35294117647061</v>
      </c>
      <c r="AS94" s="164">
        <f t="shared" si="44"/>
        <v>4900</v>
      </c>
      <c r="AT94" s="164">
        <f t="shared" si="45"/>
        <v>4900</v>
      </c>
      <c r="AU94" s="164">
        <f t="shared" si="46"/>
        <v>4900</v>
      </c>
      <c r="AV94" s="165">
        <f t="shared" si="27"/>
        <v>4667</v>
      </c>
      <c r="AW94" s="165">
        <f t="shared" si="28"/>
        <v>4667</v>
      </c>
      <c r="AX94" s="165">
        <f t="shared" si="29"/>
        <v>252</v>
      </c>
      <c r="AY94" s="166">
        <f t="shared" si="47"/>
        <v>5.399614313263338E-2</v>
      </c>
      <c r="AZ94" s="5"/>
      <c r="BA94" s="7">
        <f t="shared" si="48"/>
        <v>3</v>
      </c>
      <c r="BB94" s="7"/>
    </row>
    <row r="95" spans="1:54" ht="54" x14ac:dyDescent="0.25">
      <c r="A95" s="137" t="s">
        <v>229</v>
      </c>
      <c r="B95" s="137" t="s">
        <v>306</v>
      </c>
      <c r="C95" s="137"/>
      <c r="D95" s="137" t="s">
        <v>551</v>
      </c>
      <c r="E95" s="138" t="s">
        <v>552</v>
      </c>
      <c r="F95" s="139" t="s">
        <v>233</v>
      </c>
      <c r="G95" s="140">
        <v>1</v>
      </c>
      <c r="H95" s="139" t="s">
        <v>51</v>
      </c>
      <c r="I95" s="141" t="s">
        <v>247</v>
      </c>
      <c r="J95" s="142">
        <v>46070</v>
      </c>
      <c r="K95" s="143" t="s">
        <v>494</v>
      </c>
      <c r="L95" s="144" t="s">
        <v>241</v>
      </c>
      <c r="M95" s="142" t="s">
        <v>529</v>
      </c>
      <c r="N95" s="145">
        <v>5600</v>
      </c>
      <c r="O95" s="145" t="s">
        <v>238</v>
      </c>
      <c r="P95" s="145" t="s">
        <v>239</v>
      </c>
      <c r="Q95" s="146">
        <f t="shared" si="32"/>
        <v>4705.8823529411766</v>
      </c>
      <c r="R95" s="147">
        <f t="shared" si="33"/>
        <v>894.11764705882354</v>
      </c>
      <c r="S95" s="147">
        <f t="shared" si="34"/>
        <v>5600</v>
      </c>
      <c r="T95" s="147">
        <f t="shared" si="35"/>
        <v>5600</v>
      </c>
      <c r="U95" s="147">
        <f t="shared" si="36"/>
        <v>5600</v>
      </c>
      <c r="V95" s="148" t="s">
        <v>247</v>
      </c>
      <c r="W95" s="149">
        <v>46070</v>
      </c>
      <c r="X95" s="150" t="s">
        <v>313</v>
      </c>
      <c r="Y95" s="151" t="s">
        <v>241</v>
      </c>
      <c r="Z95" s="152" t="s">
        <v>553</v>
      </c>
      <c r="AA95" s="153">
        <v>5600</v>
      </c>
      <c r="AB95" s="153" t="s">
        <v>238</v>
      </c>
      <c r="AC95" s="153" t="s">
        <v>239</v>
      </c>
      <c r="AD95" s="154">
        <f t="shared" si="37"/>
        <v>4705.8823529411766</v>
      </c>
      <c r="AE95" s="155">
        <f t="shared" si="38"/>
        <v>894.11764705882354</v>
      </c>
      <c r="AF95" s="155">
        <f t="shared" si="39"/>
        <v>5600</v>
      </c>
      <c r="AG95" s="155">
        <f t="shared" si="40"/>
        <v>5600</v>
      </c>
      <c r="AH95" s="155">
        <f t="shared" si="41"/>
        <v>5600</v>
      </c>
      <c r="AI95" s="156" t="s">
        <v>247</v>
      </c>
      <c r="AJ95" s="157">
        <v>46070</v>
      </c>
      <c r="AK95" s="158" t="s">
        <v>554</v>
      </c>
      <c r="AL95" s="159" t="s">
        <v>241</v>
      </c>
      <c r="AM95" s="160" t="s">
        <v>555</v>
      </c>
      <c r="AN95" s="161">
        <v>5000</v>
      </c>
      <c r="AO95" s="161" t="s">
        <v>238</v>
      </c>
      <c r="AP95" s="162" t="s">
        <v>239</v>
      </c>
      <c r="AQ95" s="163">
        <f t="shared" si="42"/>
        <v>4201.680672268908</v>
      </c>
      <c r="AR95" s="164">
        <f t="shared" si="43"/>
        <v>798.31932773109247</v>
      </c>
      <c r="AS95" s="164">
        <f t="shared" si="44"/>
        <v>5000</v>
      </c>
      <c r="AT95" s="164">
        <f t="shared" si="45"/>
        <v>5000</v>
      </c>
      <c r="AU95" s="164">
        <f t="shared" si="46"/>
        <v>5000</v>
      </c>
      <c r="AV95" s="165">
        <f t="shared" si="27"/>
        <v>5400</v>
      </c>
      <c r="AW95" s="165">
        <f t="shared" si="28"/>
        <v>5400</v>
      </c>
      <c r="AX95" s="165">
        <f t="shared" si="29"/>
        <v>346</v>
      </c>
      <c r="AY95" s="166">
        <f t="shared" si="47"/>
        <v>6.4074074074074075E-2</v>
      </c>
      <c r="AZ95" s="5"/>
      <c r="BA95" s="7">
        <f t="shared" si="48"/>
        <v>3</v>
      </c>
      <c r="BB95" s="7"/>
    </row>
    <row r="96" spans="1:54" ht="40.5" x14ac:dyDescent="0.25">
      <c r="A96" s="137" t="s">
        <v>229</v>
      </c>
      <c r="B96" s="137" t="s">
        <v>306</v>
      </c>
      <c r="C96" s="137">
        <v>60123001</v>
      </c>
      <c r="D96" s="137" t="s">
        <v>556</v>
      </c>
      <c r="E96" s="138" t="s">
        <v>557</v>
      </c>
      <c r="F96" s="139" t="s">
        <v>233</v>
      </c>
      <c r="G96" s="140">
        <v>1</v>
      </c>
      <c r="H96" s="139" t="s">
        <v>51</v>
      </c>
      <c r="I96" s="141" t="s">
        <v>247</v>
      </c>
      <c r="J96" s="142">
        <v>46070</v>
      </c>
      <c r="K96" s="143" t="s">
        <v>535</v>
      </c>
      <c r="L96" s="144" t="s">
        <v>241</v>
      </c>
      <c r="M96" s="142" t="s">
        <v>536</v>
      </c>
      <c r="N96" s="145">
        <v>990</v>
      </c>
      <c r="O96" s="145" t="s">
        <v>245</v>
      </c>
      <c r="P96" s="145" t="s">
        <v>238</v>
      </c>
      <c r="Q96" s="146">
        <f t="shared" si="32"/>
        <v>990</v>
      </c>
      <c r="R96" s="147">
        <v>188</v>
      </c>
      <c r="S96" s="147">
        <f t="shared" si="34"/>
        <v>1178</v>
      </c>
      <c r="T96" s="147">
        <f t="shared" si="35"/>
        <v>990</v>
      </c>
      <c r="U96" s="147">
        <f t="shared" si="36"/>
        <v>1178</v>
      </c>
      <c r="V96" s="148" t="s">
        <v>247</v>
      </c>
      <c r="W96" s="149">
        <v>46070</v>
      </c>
      <c r="X96" s="150" t="s">
        <v>313</v>
      </c>
      <c r="Y96" s="151" t="s">
        <v>241</v>
      </c>
      <c r="Z96" s="152" t="s">
        <v>553</v>
      </c>
      <c r="AA96" s="153">
        <v>1200</v>
      </c>
      <c r="AB96" s="153" t="s">
        <v>238</v>
      </c>
      <c r="AC96" s="153" t="s">
        <v>239</v>
      </c>
      <c r="AD96" s="154">
        <f t="shared" si="37"/>
        <v>1008.4033613445379</v>
      </c>
      <c r="AE96" s="155">
        <f t="shared" si="38"/>
        <v>191.59663865546219</v>
      </c>
      <c r="AF96" s="155">
        <f t="shared" si="39"/>
        <v>1200</v>
      </c>
      <c r="AG96" s="155">
        <f t="shared" si="40"/>
        <v>1200</v>
      </c>
      <c r="AH96" s="155">
        <f t="shared" si="41"/>
        <v>1200</v>
      </c>
      <c r="AI96" s="156" t="s">
        <v>247</v>
      </c>
      <c r="AJ96" s="157">
        <v>46070</v>
      </c>
      <c r="AK96" s="158" t="s">
        <v>492</v>
      </c>
      <c r="AL96" s="159" t="s">
        <v>241</v>
      </c>
      <c r="AM96" s="160" t="s">
        <v>558</v>
      </c>
      <c r="AN96" s="161">
        <v>1000</v>
      </c>
      <c r="AO96" s="161" t="s">
        <v>238</v>
      </c>
      <c r="AP96" s="162" t="s">
        <v>239</v>
      </c>
      <c r="AQ96" s="163">
        <f t="shared" si="42"/>
        <v>840.3361344537816</v>
      </c>
      <c r="AR96" s="164">
        <f t="shared" si="43"/>
        <v>159.66386554621852</v>
      </c>
      <c r="AS96" s="164">
        <f t="shared" si="44"/>
        <v>1000.0000000000001</v>
      </c>
      <c r="AT96" s="164">
        <f t="shared" si="45"/>
        <v>1000</v>
      </c>
      <c r="AU96" s="164">
        <f t="shared" si="46"/>
        <v>1000.0000000000001</v>
      </c>
      <c r="AV96" s="165">
        <f t="shared" si="27"/>
        <v>1126</v>
      </c>
      <c r="AW96" s="165">
        <f t="shared" si="28"/>
        <v>1126</v>
      </c>
      <c r="AX96" s="165">
        <f t="shared" si="29"/>
        <v>110</v>
      </c>
      <c r="AY96" s="166">
        <f t="shared" si="47"/>
        <v>9.7690941385435173E-2</v>
      </c>
      <c r="AZ96" s="5"/>
      <c r="BA96" s="7">
        <f t="shared" si="48"/>
        <v>3</v>
      </c>
      <c r="BB96" s="7"/>
    </row>
    <row r="97" spans="1:54" ht="67.5" x14ac:dyDescent="0.25">
      <c r="A97" s="137" t="s">
        <v>229</v>
      </c>
      <c r="B97" s="137" t="s">
        <v>306</v>
      </c>
      <c r="C97" s="137">
        <v>60123001</v>
      </c>
      <c r="D97" s="137" t="s">
        <v>559</v>
      </c>
      <c r="E97" s="138" t="s">
        <v>560</v>
      </c>
      <c r="F97" s="139" t="s">
        <v>233</v>
      </c>
      <c r="G97" s="140">
        <v>1</v>
      </c>
      <c r="H97" s="139" t="s">
        <v>51</v>
      </c>
      <c r="I97" s="141" t="s">
        <v>247</v>
      </c>
      <c r="J97" s="142">
        <v>46070</v>
      </c>
      <c r="K97" s="143" t="s">
        <v>313</v>
      </c>
      <c r="L97" s="144" t="s">
        <v>241</v>
      </c>
      <c r="M97" s="142" t="s">
        <v>561</v>
      </c>
      <c r="N97" s="145">
        <v>2200</v>
      </c>
      <c r="O97" s="145" t="s">
        <v>238</v>
      </c>
      <c r="P97" s="145" t="s">
        <v>239</v>
      </c>
      <c r="Q97" s="146">
        <f t="shared" si="32"/>
        <v>1848.7394957983195</v>
      </c>
      <c r="R97" s="147">
        <f t="shared" ref="R97:R104" si="49">IF(P97="Si tiene IVA",Q97*19%,0)</f>
        <v>351.2605042016807</v>
      </c>
      <c r="S97" s="147">
        <f t="shared" si="34"/>
        <v>2200</v>
      </c>
      <c r="T97" s="147">
        <f t="shared" si="35"/>
        <v>2200</v>
      </c>
      <c r="U97" s="147">
        <f t="shared" si="36"/>
        <v>2200</v>
      </c>
      <c r="V97" s="148" t="s">
        <v>247</v>
      </c>
      <c r="W97" s="149">
        <v>46070</v>
      </c>
      <c r="X97" s="150" t="s">
        <v>535</v>
      </c>
      <c r="Y97" s="151" t="s">
        <v>241</v>
      </c>
      <c r="Z97" s="152" t="s">
        <v>536</v>
      </c>
      <c r="AA97" s="153">
        <v>1990</v>
      </c>
      <c r="AB97" s="153" t="s">
        <v>245</v>
      </c>
      <c r="AC97" s="153" t="s">
        <v>239</v>
      </c>
      <c r="AD97" s="154">
        <f t="shared" si="37"/>
        <v>1990</v>
      </c>
      <c r="AE97" s="155">
        <f t="shared" si="38"/>
        <v>378.1</v>
      </c>
      <c r="AF97" s="155">
        <f t="shared" si="39"/>
        <v>2368.1</v>
      </c>
      <c r="AG97" s="155">
        <f t="shared" si="40"/>
        <v>1990</v>
      </c>
      <c r="AH97" s="155">
        <f t="shared" si="41"/>
        <v>2368.1</v>
      </c>
      <c r="AI97" s="156" t="s">
        <v>247</v>
      </c>
      <c r="AJ97" s="157">
        <v>46070</v>
      </c>
      <c r="AK97" s="158" t="s">
        <v>537</v>
      </c>
      <c r="AL97" s="159" t="s">
        <v>241</v>
      </c>
      <c r="AM97" s="160" t="s">
        <v>538</v>
      </c>
      <c r="AN97" s="161">
        <v>2100</v>
      </c>
      <c r="AO97" s="161" t="s">
        <v>245</v>
      </c>
      <c r="AP97" s="162" t="s">
        <v>239</v>
      </c>
      <c r="AQ97" s="163">
        <f t="shared" si="42"/>
        <v>2100</v>
      </c>
      <c r="AR97" s="164">
        <f t="shared" si="43"/>
        <v>399</v>
      </c>
      <c r="AS97" s="164">
        <f t="shared" si="44"/>
        <v>2499</v>
      </c>
      <c r="AT97" s="164">
        <f t="shared" si="45"/>
        <v>2100</v>
      </c>
      <c r="AU97" s="164">
        <f t="shared" si="46"/>
        <v>2499</v>
      </c>
      <c r="AV97" s="165">
        <f t="shared" si="27"/>
        <v>2356</v>
      </c>
      <c r="AW97" s="165">
        <f t="shared" si="28"/>
        <v>2356</v>
      </c>
      <c r="AX97" s="165">
        <f t="shared" si="29"/>
        <v>150</v>
      </c>
      <c r="AY97" s="166">
        <f t="shared" si="47"/>
        <v>6.3667232597623094E-2</v>
      </c>
      <c r="AZ97" s="5"/>
      <c r="BA97" s="7">
        <f t="shared" si="48"/>
        <v>3</v>
      </c>
      <c r="BB97" s="7"/>
    </row>
    <row r="98" spans="1:54" ht="54" x14ac:dyDescent="0.25">
      <c r="A98" s="137" t="s">
        <v>229</v>
      </c>
      <c r="B98" s="137" t="s">
        <v>306</v>
      </c>
      <c r="C98" s="137">
        <v>44121804</v>
      </c>
      <c r="D98" s="137" t="s">
        <v>562</v>
      </c>
      <c r="E98" s="138" t="s">
        <v>563</v>
      </c>
      <c r="F98" s="139" t="s">
        <v>233</v>
      </c>
      <c r="G98" s="140">
        <v>1</v>
      </c>
      <c r="H98" s="139" t="s">
        <v>51</v>
      </c>
      <c r="I98" s="141" t="s">
        <v>247</v>
      </c>
      <c r="J98" s="142">
        <v>46070</v>
      </c>
      <c r="K98" s="143" t="s">
        <v>494</v>
      </c>
      <c r="L98" s="144" t="s">
        <v>241</v>
      </c>
      <c r="M98" s="142" t="s">
        <v>529</v>
      </c>
      <c r="N98" s="145">
        <v>20000</v>
      </c>
      <c r="O98" s="145" t="s">
        <v>238</v>
      </c>
      <c r="P98" s="145" t="s">
        <v>239</v>
      </c>
      <c r="Q98" s="146">
        <f t="shared" si="32"/>
        <v>16806.722689075632</v>
      </c>
      <c r="R98" s="147">
        <f t="shared" si="49"/>
        <v>3193.2773109243699</v>
      </c>
      <c r="S98" s="147">
        <f t="shared" si="34"/>
        <v>20000</v>
      </c>
      <c r="T98" s="147">
        <f t="shared" si="35"/>
        <v>20000</v>
      </c>
      <c r="U98" s="147">
        <f t="shared" si="36"/>
        <v>20000</v>
      </c>
      <c r="V98" s="148" t="s">
        <v>247</v>
      </c>
      <c r="W98" s="149">
        <v>46070</v>
      </c>
      <c r="X98" s="150" t="s">
        <v>537</v>
      </c>
      <c r="Y98" s="151" t="s">
        <v>241</v>
      </c>
      <c r="Z98" s="152" t="s">
        <v>538</v>
      </c>
      <c r="AA98" s="153">
        <v>15126</v>
      </c>
      <c r="AB98" s="153" t="s">
        <v>245</v>
      </c>
      <c r="AC98" s="153" t="s">
        <v>239</v>
      </c>
      <c r="AD98" s="154">
        <f t="shared" si="37"/>
        <v>15126</v>
      </c>
      <c r="AE98" s="155">
        <f t="shared" si="38"/>
        <v>2873.94</v>
      </c>
      <c r="AF98" s="155">
        <f t="shared" si="39"/>
        <v>17999.939999999999</v>
      </c>
      <c r="AG98" s="155">
        <f t="shared" si="40"/>
        <v>15126</v>
      </c>
      <c r="AH98" s="155">
        <f t="shared" si="41"/>
        <v>17999.939999999999</v>
      </c>
      <c r="AI98" s="156" t="s">
        <v>247</v>
      </c>
      <c r="AJ98" s="157">
        <v>46070</v>
      </c>
      <c r="AK98" s="158" t="s">
        <v>492</v>
      </c>
      <c r="AL98" s="159" t="s">
        <v>241</v>
      </c>
      <c r="AM98" s="160" t="s">
        <v>558</v>
      </c>
      <c r="AN98" s="161">
        <v>22000</v>
      </c>
      <c r="AO98" s="161" t="s">
        <v>238</v>
      </c>
      <c r="AP98" s="162" t="s">
        <v>239</v>
      </c>
      <c r="AQ98" s="163">
        <f t="shared" si="42"/>
        <v>18487.394957983193</v>
      </c>
      <c r="AR98" s="164">
        <f t="shared" si="43"/>
        <v>3512.6050420168067</v>
      </c>
      <c r="AS98" s="164">
        <f t="shared" si="44"/>
        <v>22000</v>
      </c>
      <c r="AT98" s="164">
        <f t="shared" si="45"/>
        <v>22000</v>
      </c>
      <c r="AU98" s="164">
        <f t="shared" si="46"/>
        <v>22000</v>
      </c>
      <c r="AV98" s="165">
        <f t="shared" si="27"/>
        <v>20000</v>
      </c>
      <c r="AW98" s="165">
        <f t="shared" si="28"/>
        <v>20000</v>
      </c>
      <c r="AX98" s="165">
        <f t="shared" si="29"/>
        <v>2000</v>
      </c>
      <c r="AY98" s="166">
        <f t="shared" si="47"/>
        <v>0.1</v>
      </c>
      <c r="AZ98" s="5"/>
      <c r="BA98" s="7">
        <f t="shared" si="48"/>
        <v>3</v>
      </c>
      <c r="BB98" s="7"/>
    </row>
    <row r="99" spans="1:54" ht="67.5" x14ac:dyDescent="0.25">
      <c r="A99" s="137" t="s">
        <v>229</v>
      </c>
      <c r="B99" s="137" t="s">
        <v>306</v>
      </c>
      <c r="C99" s="137">
        <v>44121804</v>
      </c>
      <c r="D99" s="137" t="s">
        <v>564</v>
      </c>
      <c r="E99" s="138" t="s">
        <v>565</v>
      </c>
      <c r="F99" s="139" t="s">
        <v>233</v>
      </c>
      <c r="G99" s="140">
        <v>1</v>
      </c>
      <c r="H99" s="139" t="s">
        <v>51</v>
      </c>
      <c r="I99" s="141" t="s">
        <v>247</v>
      </c>
      <c r="J99" s="142">
        <v>46070</v>
      </c>
      <c r="K99" s="143" t="s">
        <v>311</v>
      </c>
      <c r="L99" s="144" t="s">
        <v>241</v>
      </c>
      <c r="M99" s="142" t="s">
        <v>312</v>
      </c>
      <c r="N99" s="145">
        <v>11500</v>
      </c>
      <c r="O99" s="145" t="s">
        <v>245</v>
      </c>
      <c r="P99" s="145" t="s">
        <v>239</v>
      </c>
      <c r="Q99" s="146">
        <f t="shared" si="32"/>
        <v>11500</v>
      </c>
      <c r="R99" s="147">
        <f t="shared" si="49"/>
        <v>2185</v>
      </c>
      <c r="S99" s="147">
        <f t="shared" si="34"/>
        <v>13685</v>
      </c>
      <c r="T99" s="147">
        <f t="shared" si="35"/>
        <v>11500</v>
      </c>
      <c r="U99" s="147">
        <f t="shared" si="36"/>
        <v>13685</v>
      </c>
      <c r="V99" s="148" t="s">
        <v>247</v>
      </c>
      <c r="W99" s="149">
        <v>46070</v>
      </c>
      <c r="X99" s="150" t="s">
        <v>554</v>
      </c>
      <c r="Y99" s="151" t="s">
        <v>241</v>
      </c>
      <c r="Z99" s="152" t="s">
        <v>566</v>
      </c>
      <c r="AA99" s="153">
        <v>18000</v>
      </c>
      <c r="AB99" s="153" t="s">
        <v>238</v>
      </c>
      <c r="AC99" s="153" t="s">
        <v>239</v>
      </c>
      <c r="AD99" s="154">
        <f t="shared" si="37"/>
        <v>15126.050420168069</v>
      </c>
      <c r="AE99" s="155">
        <f t="shared" si="38"/>
        <v>2873.9495798319331</v>
      </c>
      <c r="AF99" s="155">
        <f t="shared" si="39"/>
        <v>18000</v>
      </c>
      <c r="AG99" s="155">
        <f t="shared" si="40"/>
        <v>18000</v>
      </c>
      <c r="AH99" s="155">
        <f t="shared" si="41"/>
        <v>18000</v>
      </c>
      <c r="AI99" s="156" t="s">
        <v>247</v>
      </c>
      <c r="AJ99" s="157">
        <v>46070</v>
      </c>
      <c r="AK99" s="158" t="s">
        <v>535</v>
      </c>
      <c r="AL99" s="159" t="s">
        <v>241</v>
      </c>
      <c r="AM99" s="160" t="s">
        <v>536</v>
      </c>
      <c r="AN99" s="161">
        <v>13940</v>
      </c>
      <c r="AO99" s="161" t="s">
        <v>245</v>
      </c>
      <c r="AP99" s="162" t="s">
        <v>239</v>
      </c>
      <c r="AQ99" s="163">
        <f t="shared" si="42"/>
        <v>13940</v>
      </c>
      <c r="AR99" s="164">
        <f t="shared" si="43"/>
        <v>2648.6</v>
      </c>
      <c r="AS99" s="164">
        <f t="shared" si="44"/>
        <v>16588.599999999999</v>
      </c>
      <c r="AT99" s="164">
        <f t="shared" si="45"/>
        <v>13940</v>
      </c>
      <c r="AU99" s="164">
        <f t="shared" si="46"/>
        <v>16588.599999999999</v>
      </c>
      <c r="AV99" s="165">
        <f t="shared" si="27"/>
        <v>16091</v>
      </c>
      <c r="AW99" s="165">
        <f t="shared" si="28"/>
        <v>16091</v>
      </c>
      <c r="AX99" s="165">
        <f t="shared" si="29"/>
        <v>2200</v>
      </c>
      <c r="AY99" s="166">
        <f t="shared" si="47"/>
        <v>0.13672239139891865</v>
      </c>
      <c r="AZ99" s="5"/>
      <c r="BA99" s="7">
        <f t="shared" si="48"/>
        <v>3</v>
      </c>
      <c r="BB99" s="7"/>
    </row>
    <row r="100" spans="1:54" ht="67.5" x14ac:dyDescent="0.25">
      <c r="A100" s="137" t="s">
        <v>229</v>
      </c>
      <c r="B100" s="137" t="s">
        <v>306</v>
      </c>
      <c r="C100" s="137">
        <v>44111912</v>
      </c>
      <c r="D100" s="137" t="s">
        <v>567</v>
      </c>
      <c r="E100" s="138" t="s">
        <v>568</v>
      </c>
      <c r="F100" s="139" t="s">
        <v>233</v>
      </c>
      <c r="G100" s="140">
        <v>1</v>
      </c>
      <c r="H100" s="139" t="s">
        <v>51</v>
      </c>
      <c r="I100" s="141" t="s">
        <v>247</v>
      </c>
      <c r="J100" s="142">
        <v>46070</v>
      </c>
      <c r="K100" s="143" t="s">
        <v>569</v>
      </c>
      <c r="L100" s="144" t="s">
        <v>241</v>
      </c>
      <c r="M100" s="142" t="s">
        <v>570</v>
      </c>
      <c r="N100" s="145">
        <v>1900</v>
      </c>
      <c r="O100" s="145" t="s">
        <v>238</v>
      </c>
      <c r="P100" s="145" t="s">
        <v>239</v>
      </c>
      <c r="Q100" s="146">
        <f t="shared" si="32"/>
        <v>1596.6386554621849</v>
      </c>
      <c r="R100" s="147">
        <f t="shared" si="49"/>
        <v>303.36134453781517</v>
      </c>
      <c r="S100" s="147">
        <f t="shared" si="34"/>
        <v>1900</v>
      </c>
      <c r="T100" s="147">
        <f t="shared" si="35"/>
        <v>1900</v>
      </c>
      <c r="U100" s="147">
        <f t="shared" si="36"/>
        <v>1900</v>
      </c>
      <c r="V100" s="148" t="s">
        <v>247</v>
      </c>
      <c r="W100" s="149">
        <v>46070</v>
      </c>
      <c r="X100" s="150" t="s">
        <v>535</v>
      </c>
      <c r="Y100" s="151" t="s">
        <v>241</v>
      </c>
      <c r="Z100" s="152" t="s">
        <v>536</v>
      </c>
      <c r="AA100" s="153">
        <v>1633</v>
      </c>
      <c r="AB100" s="153" t="s">
        <v>245</v>
      </c>
      <c r="AC100" s="153" t="s">
        <v>239</v>
      </c>
      <c r="AD100" s="154">
        <f t="shared" si="37"/>
        <v>1633</v>
      </c>
      <c r="AE100" s="155">
        <f t="shared" si="38"/>
        <v>310.27</v>
      </c>
      <c r="AF100" s="155">
        <f t="shared" si="39"/>
        <v>1943.27</v>
      </c>
      <c r="AG100" s="155">
        <f t="shared" si="40"/>
        <v>1633</v>
      </c>
      <c r="AH100" s="155">
        <f t="shared" si="41"/>
        <v>1943.27</v>
      </c>
      <c r="AI100" s="156" t="s">
        <v>247</v>
      </c>
      <c r="AJ100" s="157">
        <v>46070</v>
      </c>
      <c r="AK100" s="158" t="s">
        <v>554</v>
      </c>
      <c r="AL100" s="159" t="s">
        <v>241</v>
      </c>
      <c r="AM100" s="160" t="s">
        <v>571</v>
      </c>
      <c r="AN100" s="161">
        <v>1900</v>
      </c>
      <c r="AO100" s="161" t="s">
        <v>238</v>
      </c>
      <c r="AP100" s="162" t="s">
        <v>239</v>
      </c>
      <c r="AQ100" s="163">
        <f t="shared" si="42"/>
        <v>1596.6386554621849</v>
      </c>
      <c r="AR100" s="164">
        <f t="shared" si="43"/>
        <v>303.36134453781517</v>
      </c>
      <c r="AS100" s="164">
        <f t="shared" si="44"/>
        <v>1900</v>
      </c>
      <c r="AT100" s="164">
        <f t="shared" si="45"/>
        <v>1900</v>
      </c>
      <c r="AU100" s="164">
        <f t="shared" si="46"/>
        <v>1900</v>
      </c>
      <c r="AV100" s="165">
        <f t="shared" si="27"/>
        <v>1914</v>
      </c>
      <c r="AW100" s="165">
        <f t="shared" si="28"/>
        <v>1914</v>
      </c>
      <c r="AX100" s="165">
        <f t="shared" si="29"/>
        <v>25</v>
      </c>
      <c r="AY100" s="166">
        <f t="shared" si="47"/>
        <v>1.3061650992685475E-2</v>
      </c>
      <c r="AZ100" s="5"/>
      <c r="BA100" s="7">
        <f t="shared" si="48"/>
        <v>3</v>
      </c>
      <c r="BB100" s="7"/>
    </row>
    <row r="101" spans="1:54" ht="81" x14ac:dyDescent="0.25">
      <c r="A101" s="137" t="s">
        <v>229</v>
      </c>
      <c r="B101" s="137" t="s">
        <v>288</v>
      </c>
      <c r="C101" s="137">
        <v>24122000</v>
      </c>
      <c r="D101" s="137" t="s">
        <v>572</v>
      </c>
      <c r="E101" s="138" t="s">
        <v>573</v>
      </c>
      <c r="F101" s="139" t="s">
        <v>233</v>
      </c>
      <c r="G101" s="140">
        <v>1</v>
      </c>
      <c r="H101" s="139" t="s">
        <v>51</v>
      </c>
      <c r="I101" s="141" t="s">
        <v>234</v>
      </c>
      <c r="J101" s="142">
        <v>46086</v>
      </c>
      <c r="K101" s="143" t="s">
        <v>574</v>
      </c>
      <c r="L101" s="144" t="s">
        <v>241</v>
      </c>
      <c r="M101" s="142" t="s">
        <v>575</v>
      </c>
      <c r="N101" s="145">
        <v>23000</v>
      </c>
      <c r="O101" s="145" t="s">
        <v>238</v>
      </c>
      <c r="P101" s="145" t="s">
        <v>239</v>
      </c>
      <c r="Q101" s="146">
        <f t="shared" si="32"/>
        <v>19327.731092436974</v>
      </c>
      <c r="R101" s="147">
        <f t="shared" si="49"/>
        <v>3672.2689075630251</v>
      </c>
      <c r="S101" s="147">
        <f t="shared" si="34"/>
        <v>23000</v>
      </c>
      <c r="T101" s="147">
        <f t="shared" si="35"/>
        <v>23000</v>
      </c>
      <c r="U101" s="147">
        <f t="shared" si="36"/>
        <v>23000</v>
      </c>
      <c r="V101" s="148" t="s">
        <v>234</v>
      </c>
      <c r="W101" s="149">
        <v>46152</v>
      </c>
      <c r="X101" s="150" t="s">
        <v>576</v>
      </c>
      <c r="Y101" s="151" t="s">
        <v>236</v>
      </c>
      <c r="Z101" s="152" t="s">
        <v>577</v>
      </c>
      <c r="AA101" s="153">
        <v>19099</v>
      </c>
      <c r="AB101" s="153" t="s">
        <v>245</v>
      </c>
      <c r="AC101" s="153" t="s">
        <v>239</v>
      </c>
      <c r="AD101" s="154">
        <f t="shared" si="37"/>
        <v>19099</v>
      </c>
      <c r="AE101" s="155">
        <f t="shared" si="38"/>
        <v>3628.81</v>
      </c>
      <c r="AF101" s="155">
        <f t="shared" si="39"/>
        <v>22727.81</v>
      </c>
      <c r="AG101" s="155">
        <f t="shared" si="40"/>
        <v>19099</v>
      </c>
      <c r="AH101" s="155">
        <f t="shared" si="41"/>
        <v>22727.81</v>
      </c>
      <c r="AI101" s="156" t="s">
        <v>234</v>
      </c>
      <c r="AJ101" s="157">
        <v>46086</v>
      </c>
      <c r="AK101" s="158" t="s">
        <v>578</v>
      </c>
      <c r="AL101" s="159" t="s">
        <v>241</v>
      </c>
      <c r="AM101" s="160" t="s">
        <v>579</v>
      </c>
      <c r="AN101" s="161">
        <v>23600</v>
      </c>
      <c r="AO101" s="161" t="s">
        <v>245</v>
      </c>
      <c r="AP101" s="162" t="s">
        <v>239</v>
      </c>
      <c r="AQ101" s="163">
        <f t="shared" si="42"/>
        <v>23600</v>
      </c>
      <c r="AR101" s="164">
        <f t="shared" si="43"/>
        <v>4484</v>
      </c>
      <c r="AS101" s="164">
        <f t="shared" si="44"/>
        <v>28084</v>
      </c>
      <c r="AT101" s="164">
        <f t="shared" si="45"/>
        <v>23600</v>
      </c>
      <c r="AU101" s="164">
        <f t="shared" si="46"/>
        <v>28084</v>
      </c>
      <c r="AV101" s="165">
        <f t="shared" si="27"/>
        <v>24604</v>
      </c>
      <c r="AW101" s="165">
        <f t="shared" si="28"/>
        <v>24604</v>
      </c>
      <c r="AX101" s="165">
        <f t="shared" si="29"/>
        <v>3017</v>
      </c>
      <c r="AY101" s="166">
        <f t="shared" si="47"/>
        <v>0.12262233783124696</v>
      </c>
      <c r="AZ101" s="5"/>
      <c r="BA101" s="7">
        <f t="shared" si="48"/>
        <v>3</v>
      </c>
      <c r="BB101" s="7"/>
    </row>
    <row r="102" spans="1:54" ht="108" x14ac:dyDescent="0.25">
      <c r="A102" s="137" t="s">
        <v>229</v>
      </c>
      <c r="B102" s="137" t="s">
        <v>288</v>
      </c>
      <c r="C102" s="137" t="s">
        <v>580</v>
      </c>
      <c r="D102" s="137" t="s">
        <v>581</v>
      </c>
      <c r="E102" s="138" t="s">
        <v>582</v>
      </c>
      <c r="F102" s="139" t="s">
        <v>233</v>
      </c>
      <c r="G102" s="140">
        <v>180</v>
      </c>
      <c r="H102" s="139" t="s">
        <v>51</v>
      </c>
      <c r="I102" s="141" t="s">
        <v>234</v>
      </c>
      <c r="J102" s="142">
        <v>46152</v>
      </c>
      <c r="K102" s="143" t="s">
        <v>583</v>
      </c>
      <c r="L102" s="144" t="s">
        <v>241</v>
      </c>
      <c r="M102" s="142" t="s">
        <v>584</v>
      </c>
      <c r="N102" s="145">
        <v>23000</v>
      </c>
      <c r="O102" s="145" t="s">
        <v>238</v>
      </c>
      <c r="P102" s="145" t="s">
        <v>239</v>
      </c>
      <c r="Q102" s="146">
        <f t="shared" si="32"/>
        <v>19327.731092436974</v>
      </c>
      <c r="R102" s="147">
        <f t="shared" si="49"/>
        <v>3672.2689075630251</v>
      </c>
      <c r="S102" s="147">
        <f t="shared" si="34"/>
        <v>23000</v>
      </c>
      <c r="T102" s="147">
        <f t="shared" si="35"/>
        <v>4140000</v>
      </c>
      <c r="U102" s="147">
        <f t="shared" si="36"/>
        <v>4140000</v>
      </c>
      <c r="V102" s="148" t="s">
        <v>281</v>
      </c>
      <c r="W102" s="149">
        <v>46107</v>
      </c>
      <c r="X102" s="150" t="s">
        <v>585</v>
      </c>
      <c r="Y102" s="151" t="s">
        <v>241</v>
      </c>
      <c r="Z102" s="152" t="s">
        <v>577</v>
      </c>
      <c r="AA102" s="153">
        <v>21507</v>
      </c>
      <c r="AB102" s="153" t="s">
        <v>245</v>
      </c>
      <c r="AC102" s="153" t="s">
        <v>239</v>
      </c>
      <c r="AD102" s="154">
        <f t="shared" si="37"/>
        <v>21507</v>
      </c>
      <c r="AE102" s="155">
        <f t="shared" si="38"/>
        <v>4086.33</v>
      </c>
      <c r="AF102" s="155">
        <f t="shared" si="39"/>
        <v>25593.33</v>
      </c>
      <c r="AG102" s="155">
        <f t="shared" si="40"/>
        <v>3871260</v>
      </c>
      <c r="AH102" s="155">
        <f t="shared" si="41"/>
        <v>4606799.4000000004</v>
      </c>
      <c r="AI102" s="156" t="s">
        <v>234</v>
      </c>
      <c r="AJ102" s="157">
        <v>46152</v>
      </c>
      <c r="AK102" s="158" t="s">
        <v>586</v>
      </c>
      <c r="AL102" s="159" t="s">
        <v>241</v>
      </c>
      <c r="AM102" s="160" t="s">
        <v>587</v>
      </c>
      <c r="AN102" s="161">
        <v>22682</v>
      </c>
      <c r="AO102" s="161" t="s">
        <v>245</v>
      </c>
      <c r="AP102" s="162" t="s">
        <v>239</v>
      </c>
      <c r="AQ102" s="163">
        <f t="shared" si="42"/>
        <v>22682</v>
      </c>
      <c r="AR102" s="164">
        <f t="shared" si="43"/>
        <v>4309.58</v>
      </c>
      <c r="AS102" s="164">
        <f t="shared" si="44"/>
        <v>26991.58</v>
      </c>
      <c r="AT102" s="164">
        <f t="shared" si="45"/>
        <v>4082760</v>
      </c>
      <c r="AU102" s="164">
        <f t="shared" si="46"/>
        <v>4858484.4000000004</v>
      </c>
      <c r="AV102" s="165">
        <f t="shared" si="27"/>
        <v>25195</v>
      </c>
      <c r="AW102" s="165">
        <f t="shared" si="28"/>
        <v>4535100</v>
      </c>
      <c r="AX102" s="165">
        <f t="shared" si="29"/>
        <v>364570</v>
      </c>
      <c r="AY102" s="166">
        <f t="shared" si="47"/>
        <v>8.0388525060086882E-2</v>
      </c>
      <c r="AZ102" s="5"/>
      <c r="BA102" s="7">
        <f t="shared" si="48"/>
        <v>3</v>
      </c>
      <c r="BB102" s="7"/>
    </row>
    <row r="103" spans="1:54" ht="90" x14ac:dyDescent="0.25">
      <c r="A103" s="137" t="s">
        <v>229</v>
      </c>
      <c r="B103" s="137" t="s">
        <v>288</v>
      </c>
      <c r="C103" s="137">
        <v>80141607</v>
      </c>
      <c r="D103" s="137" t="s">
        <v>588</v>
      </c>
      <c r="E103" s="138" t="s">
        <v>589</v>
      </c>
      <c r="F103" s="139" t="s">
        <v>233</v>
      </c>
      <c r="G103" s="140">
        <v>1</v>
      </c>
      <c r="H103" s="139" t="s">
        <v>51</v>
      </c>
      <c r="I103" s="141" t="s">
        <v>234</v>
      </c>
      <c r="J103" s="142">
        <v>46153</v>
      </c>
      <c r="K103" s="143" t="s">
        <v>590</v>
      </c>
      <c r="L103" s="144" t="s">
        <v>241</v>
      </c>
      <c r="M103" s="142" t="s">
        <v>297</v>
      </c>
      <c r="N103" s="145">
        <v>14290</v>
      </c>
      <c r="O103" s="145" t="s">
        <v>245</v>
      </c>
      <c r="P103" s="145" t="s">
        <v>265</v>
      </c>
      <c r="Q103" s="146">
        <f t="shared" si="32"/>
        <v>14290</v>
      </c>
      <c r="R103" s="147">
        <f t="shared" si="49"/>
        <v>0</v>
      </c>
      <c r="S103" s="147">
        <f t="shared" si="34"/>
        <v>14290</v>
      </c>
      <c r="T103" s="147">
        <f t="shared" si="35"/>
        <v>14290</v>
      </c>
      <c r="U103" s="147">
        <f t="shared" si="36"/>
        <v>14290</v>
      </c>
      <c r="V103" s="148" t="s">
        <v>234</v>
      </c>
      <c r="W103" s="149">
        <v>46153</v>
      </c>
      <c r="X103" s="150" t="s">
        <v>591</v>
      </c>
      <c r="Y103" s="151" t="s">
        <v>241</v>
      </c>
      <c r="Z103" s="152" t="s">
        <v>592</v>
      </c>
      <c r="AA103" s="153">
        <v>17250</v>
      </c>
      <c r="AB103" s="153" t="s">
        <v>245</v>
      </c>
      <c r="AC103" s="153" t="s">
        <v>265</v>
      </c>
      <c r="AD103" s="154">
        <f t="shared" si="37"/>
        <v>17250</v>
      </c>
      <c r="AE103" s="155">
        <f t="shared" si="38"/>
        <v>0</v>
      </c>
      <c r="AF103" s="155">
        <f t="shared" si="39"/>
        <v>17250</v>
      </c>
      <c r="AG103" s="155">
        <f t="shared" si="40"/>
        <v>17250</v>
      </c>
      <c r="AH103" s="155">
        <f t="shared" si="41"/>
        <v>17250</v>
      </c>
      <c r="AI103" s="156" t="s">
        <v>234</v>
      </c>
      <c r="AJ103" s="157">
        <v>46086</v>
      </c>
      <c r="AK103" s="158" t="s">
        <v>590</v>
      </c>
      <c r="AL103" s="159" t="s">
        <v>241</v>
      </c>
      <c r="AM103" s="160" t="s">
        <v>297</v>
      </c>
      <c r="AN103" s="161">
        <v>14290</v>
      </c>
      <c r="AO103" s="161" t="s">
        <v>245</v>
      </c>
      <c r="AP103" s="162" t="s">
        <v>265</v>
      </c>
      <c r="AQ103" s="163">
        <f t="shared" si="42"/>
        <v>14290</v>
      </c>
      <c r="AR103" s="164">
        <f t="shared" si="43"/>
        <v>0</v>
      </c>
      <c r="AS103" s="164">
        <f t="shared" si="44"/>
        <v>14290</v>
      </c>
      <c r="AT103" s="164">
        <f t="shared" si="45"/>
        <v>14290</v>
      </c>
      <c r="AU103" s="164">
        <f t="shared" si="46"/>
        <v>14290</v>
      </c>
      <c r="AV103" s="165">
        <f t="shared" si="27"/>
        <v>15277</v>
      </c>
      <c r="AW103" s="165">
        <f t="shared" si="28"/>
        <v>15277</v>
      </c>
      <c r="AX103" s="165">
        <f t="shared" si="29"/>
        <v>1709</v>
      </c>
      <c r="AY103" s="166">
        <f t="shared" si="47"/>
        <v>0.11186751325522026</v>
      </c>
      <c r="AZ103" s="5"/>
      <c r="BA103" s="7">
        <f t="shared" si="48"/>
        <v>3</v>
      </c>
      <c r="BB103" s="7" t="s">
        <v>348</v>
      </c>
    </row>
    <row r="104" spans="1:54" ht="108" x14ac:dyDescent="0.25">
      <c r="A104" s="137" t="s">
        <v>229</v>
      </c>
      <c r="B104" s="137" t="s">
        <v>230</v>
      </c>
      <c r="C104" s="137">
        <v>60101402</v>
      </c>
      <c r="D104" s="137" t="s">
        <v>593</v>
      </c>
      <c r="E104" s="138" t="s">
        <v>594</v>
      </c>
      <c r="F104" s="139" t="s">
        <v>233</v>
      </c>
      <c r="G104" s="140">
        <v>1</v>
      </c>
      <c r="H104" s="139" t="s">
        <v>51</v>
      </c>
      <c r="I104" s="141" t="s">
        <v>281</v>
      </c>
      <c r="J104" s="142">
        <v>46070</v>
      </c>
      <c r="K104" s="143" t="s">
        <v>270</v>
      </c>
      <c r="L104" s="144" t="s">
        <v>241</v>
      </c>
      <c r="M104" s="142" t="s">
        <v>595</v>
      </c>
      <c r="N104" s="145">
        <v>2500</v>
      </c>
      <c r="O104" s="145" t="s">
        <v>245</v>
      </c>
      <c r="P104" s="145" t="s">
        <v>239</v>
      </c>
      <c r="Q104" s="146">
        <f t="shared" si="32"/>
        <v>2500</v>
      </c>
      <c r="R104" s="147">
        <f t="shared" si="49"/>
        <v>475</v>
      </c>
      <c r="S104" s="147">
        <f t="shared" si="34"/>
        <v>2975</v>
      </c>
      <c r="T104" s="147">
        <f t="shared" si="35"/>
        <v>2500</v>
      </c>
      <c r="U104" s="147">
        <f t="shared" si="36"/>
        <v>2975</v>
      </c>
      <c r="V104" s="148" t="s">
        <v>281</v>
      </c>
      <c r="W104" s="149">
        <v>46070</v>
      </c>
      <c r="X104" s="150" t="s">
        <v>282</v>
      </c>
      <c r="Y104" s="151" t="s">
        <v>241</v>
      </c>
      <c r="Z104" s="152" t="s">
        <v>259</v>
      </c>
      <c r="AA104" s="153">
        <v>2500</v>
      </c>
      <c r="AB104" s="153" t="s">
        <v>245</v>
      </c>
      <c r="AC104" s="153" t="s">
        <v>239</v>
      </c>
      <c r="AD104" s="154">
        <f t="shared" si="37"/>
        <v>2500</v>
      </c>
      <c r="AE104" s="155">
        <f t="shared" si="38"/>
        <v>475</v>
      </c>
      <c r="AF104" s="155">
        <f t="shared" si="39"/>
        <v>2975</v>
      </c>
      <c r="AG104" s="155">
        <f t="shared" si="40"/>
        <v>2500</v>
      </c>
      <c r="AH104" s="155">
        <f t="shared" si="41"/>
        <v>2975</v>
      </c>
      <c r="AI104" s="156" t="s">
        <v>281</v>
      </c>
      <c r="AJ104" s="157">
        <v>46071</v>
      </c>
      <c r="AK104" s="158" t="s">
        <v>240</v>
      </c>
      <c r="AL104" s="159" t="s">
        <v>241</v>
      </c>
      <c r="AM104" s="160" t="s">
        <v>252</v>
      </c>
      <c r="AN104" s="161">
        <v>2700</v>
      </c>
      <c r="AO104" s="161" t="s">
        <v>245</v>
      </c>
      <c r="AP104" s="162" t="s">
        <v>265</v>
      </c>
      <c r="AQ104" s="163">
        <f t="shared" si="42"/>
        <v>2700</v>
      </c>
      <c r="AR104" s="164">
        <f t="shared" si="43"/>
        <v>0</v>
      </c>
      <c r="AS104" s="164">
        <f t="shared" si="44"/>
        <v>2700</v>
      </c>
      <c r="AT104" s="164">
        <f t="shared" si="45"/>
        <v>2700</v>
      </c>
      <c r="AU104" s="164">
        <f t="shared" si="46"/>
        <v>2700</v>
      </c>
      <c r="AV104" s="165">
        <f t="shared" si="27"/>
        <v>2883</v>
      </c>
      <c r="AW104" s="165">
        <f t="shared" si="28"/>
        <v>2883</v>
      </c>
      <c r="AX104" s="165">
        <f t="shared" si="29"/>
        <v>159</v>
      </c>
      <c r="AY104" s="166">
        <f t="shared" si="47"/>
        <v>5.5150884495317375E-2</v>
      </c>
      <c r="AZ104" s="5"/>
      <c r="BA104" s="7">
        <f t="shared" si="48"/>
        <v>3</v>
      </c>
      <c r="BB104" s="7" t="s">
        <v>277</v>
      </c>
    </row>
    <row r="105" spans="1:54" ht="297" x14ac:dyDescent="0.25">
      <c r="A105" s="137" t="s">
        <v>299</v>
      </c>
      <c r="B105" s="137" t="s">
        <v>299</v>
      </c>
      <c r="C105" s="137" t="s">
        <v>299</v>
      </c>
      <c r="D105" s="137" t="s">
        <v>596</v>
      </c>
      <c r="E105" s="138" t="s">
        <v>597</v>
      </c>
      <c r="F105" s="139" t="s">
        <v>302</v>
      </c>
      <c r="G105" s="140">
        <v>1</v>
      </c>
      <c r="H105" s="139"/>
      <c r="I105" s="141"/>
      <c r="J105" s="142"/>
      <c r="K105" s="143"/>
      <c r="L105" s="144"/>
      <c r="M105" s="142"/>
      <c r="N105" s="145"/>
      <c r="O105" s="145"/>
      <c r="P105" s="145"/>
      <c r="Q105" s="146" t="s">
        <v>303</v>
      </c>
      <c r="R105" s="147" t="s">
        <v>303</v>
      </c>
      <c r="S105" s="147" t="s">
        <v>303</v>
      </c>
      <c r="T105" s="147" t="s">
        <v>303</v>
      </c>
      <c r="U105" s="147" t="s">
        <v>303</v>
      </c>
      <c r="V105" s="148" t="s">
        <v>299</v>
      </c>
      <c r="W105" s="149" t="s">
        <v>299</v>
      </c>
      <c r="X105" s="150" t="s">
        <v>299</v>
      </c>
      <c r="Y105" s="151" t="s">
        <v>299</v>
      </c>
      <c r="Z105" s="152" t="s">
        <v>304</v>
      </c>
      <c r="AA105" s="153" t="s">
        <v>299</v>
      </c>
      <c r="AB105" s="153" t="s">
        <v>299</v>
      </c>
      <c r="AC105" s="153" t="s">
        <v>299</v>
      </c>
      <c r="AD105" s="154" t="s">
        <v>299</v>
      </c>
      <c r="AE105" s="155" t="s">
        <v>299</v>
      </c>
      <c r="AF105" s="155">
        <f>AH105/1.19</f>
        <v>499971.42857142858</v>
      </c>
      <c r="AG105" s="155">
        <f>AF105*19%</f>
        <v>94994.571428571435</v>
      </c>
      <c r="AH105" s="155">
        <v>594966</v>
      </c>
      <c r="AI105" s="156" t="s">
        <v>299</v>
      </c>
      <c r="AJ105" s="157" t="s">
        <v>299</v>
      </c>
      <c r="AK105" s="158" t="s">
        <v>299</v>
      </c>
      <c r="AL105" s="159" t="s">
        <v>299</v>
      </c>
      <c r="AM105" s="160" t="s">
        <v>305</v>
      </c>
      <c r="AN105" s="161" t="s">
        <v>299</v>
      </c>
      <c r="AO105" s="161" t="s">
        <v>299</v>
      </c>
      <c r="AP105" s="162" t="s">
        <v>299</v>
      </c>
      <c r="AQ105" s="163">
        <v>485478</v>
      </c>
      <c r="AR105" s="164">
        <v>92241</v>
      </c>
      <c r="AS105" s="164">
        <v>577719</v>
      </c>
      <c r="AT105" s="164">
        <v>485478</v>
      </c>
      <c r="AU105" s="164">
        <v>577719</v>
      </c>
      <c r="AV105" s="165">
        <f t="shared" si="27"/>
        <v>538845</v>
      </c>
      <c r="AW105" s="165">
        <f t="shared" si="28"/>
        <v>538845</v>
      </c>
      <c r="AX105" s="165" t="str">
        <f t="shared" si="29"/>
        <v/>
      </c>
      <c r="AY105" s="166">
        <v>2.0799999999999999E-2</v>
      </c>
      <c r="AZ105" s="5"/>
      <c r="BA105" s="7"/>
      <c r="BB105" s="7"/>
    </row>
    <row r="106" spans="1:54" ht="297" x14ac:dyDescent="0.25">
      <c r="A106" s="137" t="s">
        <v>299</v>
      </c>
      <c r="B106" s="137" t="s">
        <v>299</v>
      </c>
      <c r="C106" s="137" t="s">
        <v>299</v>
      </c>
      <c r="D106" s="137" t="s">
        <v>598</v>
      </c>
      <c r="E106" s="138" t="s">
        <v>599</v>
      </c>
      <c r="F106" s="139" t="s">
        <v>302</v>
      </c>
      <c r="G106" s="140">
        <v>1</v>
      </c>
      <c r="H106" s="139"/>
      <c r="I106" s="141"/>
      <c r="J106" s="142"/>
      <c r="K106" s="143"/>
      <c r="L106" s="144"/>
      <c r="M106" s="142"/>
      <c r="N106" s="145"/>
      <c r="O106" s="145"/>
      <c r="P106" s="145"/>
      <c r="Q106" s="146" t="s">
        <v>303</v>
      </c>
      <c r="R106" s="147" t="s">
        <v>303</v>
      </c>
      <c r="S106" s="147" t="s">
        <v>303</v>
      </c>
      <c r="T106" s="147" t="s">
        <v>303</v>
      </c>
      <c r="U106" s="147" t="s">
        <v>303</v>
      </c>
      <c r="V106" s="148" t="s">
        <v>299</v>
      </c>
      <c r="W106" s="149" t="s">
        <v>299</v>
      </c>
      <c r="X106" s="150" t="s">
        <v>299</v>
      </c>
      <c r="Y106" s="151" t="s">
        <v>299</v>
      </c>
      <c r="Z106" s="152" t="s">
        <v>304</v>
      </c>
      <c r="AA106" s="153" t="s">
        <v>299</v>
      </c>
      <c r="AB106" s="153" t="s">
        <v>299</v>
      </c>
      <c r="AC106" s="153" t="s">
        <v>299</v>
      </c>
      <c r="AD106" s="154" t="s">
        <v>299</v>
      </c>
      <c r="AE106" s="155" t="s">
        <v>299</v>
      </c>
      <c r="AF106" s="155">
        <f>AH106/1.19</f>
        <v>338202.52100840339</v>
      </c>
      <c r="AG106" s="155">
        <f>AF106*19%</f>
        <v>64258.478991596647</v>
      </c>
      <c r="AH106" s="155">
        <v>402461</v>
      </c>
      <c r="AI106" s="156" t="s">
        <v>299</v>
      </c>
      <c r="AJ106" s="157" t="s">
        <v>299</v>
      </c>
      <c r="AK106" s="158" t="s">
        <v>299</v>
      </c>
      <c r="AL106" s="159" t="s">
        <v>299</v>
      </c>
      <c r="AM106" s="160" t="s">
        <v>305</v>
      </c>
      <c r="AN106" s="161" t="s">
        <v>299</v>
      </c>
      <c r="AO106" s="161" t="s">
        <v>299</v>
      </c>
      <c r="AP106" s="162" t="s">
        <v>299</v>
      </c>
      <c r="AQ106" s="163">
        <v>326796</v>
      </c>
      <c r="AR106" s="164">
        <v>62091</v>
      </c>
      <c r="AS106" s="164">
        <v>388888</v>
      </c>
      <c r="AT106" s="164">
        <v>326796</v>
      </c>
      <c r="AU106" s="164">
        <v>388888</v>
      </c>
      <c r="AV106" s="165">
        <f t="shared" si="27"/>
        <v>363545</v>
      </c>
      <c r="AW106" s="165">
        <f t="shared" si="28"/>
        <v>363545</v>
      </c>
      <c r="AX106" s="165" t="str">
        <f t="shared" si="29"/>
        <v/>
      </c>
      <c r="AY106" s="166">
        <v>2.4299999999999999E-2</v>
      </c>
      <c r="AZ106" s="5"/>
      <c r="BA106" s="7"/>
      <c r="BB106" s="7"/>
    </row>
    <row r="107" spans="1:54" ht="81" x14ac:dyDescent="0.25">
      <c r="A107" s="137" t="s">
        <v>229</v>
      </c>
      <c r="B107" s="137" t="s">
        <v>230</v>
      </c>
      <c r="C107" s="137">
        <v>53103000</v>
      </c>
      <c r="D107" s="137" t="s">
        <v>600</v>
      </c>
      <c r="E107" s="138" t="s">
        <v>601</v>
      </c>
      <c r="F107" s="139" t="s">
        <v>233</v>
      </c>
      <c r="G107" s="140">
        <v>1</v>
      </c>
      <c r="H107" s="139" t="s">
        <v>51</v>
      </c>
      <c r="I107" s="141" t="s">
        <v>281</v>
      </c>
      <c r="J107" s="142">
        <v>46070</v>
      </c>
      <c r="K107" s="143" t="s">
        <v>248</v>
      </c>
      <c r="L107" s="144" t="s">
        <v>241</v>
      </c>
      <c r="M107" s="142" t="s">
        <v>244</v>
      </c>
      <c r="N107" s="145">
        <v>38000</v>
      </c>
      <c r="O107" s="145" t="s">
        <v>245</v>
      </c>
      <c r="P107" s="145" t="s">
        <v>239</v>
      </c>
      <c r="Q107" s="146">
        <f>IF(O107="IVA Incluido",(N107/1.19),N107)</f>
        <v>38000</v>
      </c>
      <c r="R107" s="147">
        <f>IF(P107="Si tiene IVA",Q107*19%,0)</f>
        <v>7220</v>
      </c>
      <c r="S107" s="147">
        <f>Q107+R107</f>
        <v>45220</v>
      </c>
      <c r="T107" s="147">
        <f>IF(B107="","",(N107*G107))</f>
        <v>38000</v>
      </c>
      <c r="U107" s="147">
        <f>IF(B107="","",(S107*G107))</f>
        <v>45220</v>
      </c>
      <c r="V107" s="148" t="s">
        <v>281</v>
      </c>
      <c r="W107" s="149">
        <v>46070</v>
      </c>
      <c r="X107" s="150" t="s">
        <v>270</v>
      </c>
      <c r="Y107" s="151" t="s">
        <v>241</v>
      </c>
      <c r="Z107" s="152" t="s">
        <v>595</v>
      </c>
      <c r="AA107" s="153">
        <v>38000</v>
      </c>
      <c r="AB107" s="153" t="s">
        <v>245</v>
      </c>
      <c r="AC107" s="153" t="s">
        <v>239</v>
      </c>
      <c r="AD107" s="154">
        <f>IF(AB107="IVA Incluido",(AA107/1.19),AA107)</f>
        <v>38000</v>
      </c>
      <c r="AE107" s="155">
        <f>IF(AC107="Si tiene IVA",AD107*19%,0)</f>
        <v>7220</v>
      </c>
      <c r="AF107" s="155">
        <f>AD107+AE107</f>
        <v>45220</v>
      </c>
      <c r="AG107" s="155">
        <f>IF(O107="","",(AA107*G107))</f>
        <v>38000</v>
      </c>
      <c r="AH107" s="155">
        <f>IF(O107="","",(AF107*G107))</f>
        <v>45220</v>
      </c>
      <c r="AI107" s="156" t="s">
        <v>281</v>
      </c>
      <c r="AJ107" s="157">
        <v>46071</v>
      </c>
      <c r="AK107" s="158" t="s">
        <v>263</v>
      </c>
      <c r="AL107" s="159" t="s">
        <v>241</v>
      </c>
      <c r="AM107" s="160" t="s">
        <v>602</v>
      </c>
      <c r="AN107" s="161">
        <v>38000</v>
      </c>
      <c r="AO107" s="161" t="s">
        <v>245</v>
      </c>
      <c r="AP107" s="162" t="s">
        <v>265</v>
      </c>
      <c r="AQ107" s="163">
        <f>IF(AO107="IVA Incluido",(AN107/1.19),AN107)</f>
        <v>38000</v>
      </c>
      <c r="AR107" s="164">
        <f>IF(AP107="Si tiene IVA",AQ107*19%,0)</f>
        <v>0</v>
      </c>
      <c r="AS107" s="164">
        <f>AQ107+AR107</f>
        <v>38000</v>
      </c>
      <c r="AT107" s="164">
        <f>IF(AB107="","",(AN107*G107))</f>
        <v>38000</v>
      </c>
      <c r="AU107" s="164">
        <f>IF(AB107="","",(AS107*G107))</f>
        <v>38000</v>
      </c>
      <c r="AV107" s="165">
        <f t="shared" si="27"/>
        <v>42813</v>
      </c>
      <c r="AW107" s="165">
        <f t="shared" si="28"/>
        <v>42813</v>
      </c>
      <c r="AX107" s="165">
        <f t="shared" si="29"/>
        <v>4168</v>
      </c>
      <c r="AY107" s="166">
        <f>IF(N107="","",(AX107/AW107))</f>
        <v>9.735360754910892E-2</v>
      </c>
      <c r="AZ107" s="5"/>
      <c r="BA107" s="7">
        <f>COUNTA(M107,Z107,AM107)</f>
        <v>3</v>
      </c>
      <c r="BB107" s="7" t="s">
        <v>277</v>
      </c>
    </row>
    <row r="108" spans="1:54" ht="60" x14ac:dyDescent="0.25">
      <c r="A108" s="137" t="s">
        <v>229</v>
      </c>
      <c r="B108" s="137" t="s">
        <v>230</v>
      </c>
      <c r="C108" s="137">
        <v>53103000</v>
      </c>
      <c r="D108" s="137" t="s">
        <v>603</v>
      </c>
      <c r="E108" s="138" t="s">
        <v>604</v>
      </c>
      <c r="F108" s="139" t="s">
        <v>233</v>
      </c>
      <c r="G108" s="140">
        <v>1</v>
      </c>
      <c r="H108" s="139" t="s">
        <v>51</v>
      </c>
      <c r="I108" s="141" t="s">
        <v>281</v>
      </c>
      <c r="J108" s="142">
        <v>46072</v>
      </c>
      <c r="K108" s="143" t="s">
        <v>283</v>
      </c>
      <c r="L108" s="144" t="s">
        <v>241</v>
      </c>
      <c r="M108" s="142" t="s">
        <v>284</v>
      </c>
      <c r="N108" s="145">
        <v>22000</v>
      </c>
      <c r="O108" s="145" t="s">
        <v>245</v>
      </c>
      <c r="P108" s="145" t="s">
        <v>265</v>
      </c>
      <c r="Q108" s="146">
        <f>IF(O108="IVA Incluido",(N108/1.19),N108)</f>
        <v>22000</v>
      </c>
      <c r="R108" s="147">
        <f>IF(P108="Si tiene IVA",Q108*19%,0)</f>
        <v>0</v>
      </c>
      <c r="S108" s="147">
        <f>Q108+R108</f>
        <v>22000</v>
      </c>
      <c r="T108" s="147">
        <f>IF(B108="","",(N108*G108))</f>
        <v>22000</v>
      </c>
      <c r="U108" s="147">
        <f>IF(B108="","",(S108*G108))</f>
        <v>22000</v>
      </c>
      <c r="V108" s="148" t="s">
        <v>281</v>
      </c>
      <c r="W108" s="149">
        <v>46072</v>
      </c>
      <c r="X108" s="150" t="s">
        <v>263</v>
      </c>
      <c r="Y108" s="151" t="s">
        <v>241</v>
      </c>
      <c r="Z108" s="152" t="s">
        <v>264</v>
      </c>
      <c r="AA108" s="153">
        <v>28000</v>
      </c>
      <c r="AB108" s="153" t="s">
        <v>245</v>
      </c>
      <c r="AC108" s="153"/>
      <c r="AD108" s="154">
        <f>IF(AB108="IVA Incluido",(AA108/1.19),AA108)</f>
        <v>28000</v>
      </c>
      <c r="AE108" s="155">
        <f>IF(AC108="Si tiene IVA",AD108*19%,0)</f>
        <v>0</v>
      </c>
      <c r="AF108" s="155">
        <f>AD108+AE108</f>
        <v>28000</v>
      </c>
      <c r="AG108" s="155">
        <f>IF(O108="","",(AA108*G108))</f>
        <v>28000</v>
      </c>
      <c r="AH108" s="155">
        <f>IF(O108="","",(AF108*G108))</f>
        <v>28000</v>
      </c>
      <c r="AI108" s="156" t="s">
        <v>281</v>
      </c>
      <c r="AJ108" s="157">
        <v>46072</v>
      </c>
      <c r="AK108" s="158" t="s">
        <v>282</v>
      </c>
      <c r="AL108" s="159" t="s">
        <v>241</v>
      </c>
      <c r="AM108" s="160" t="s">
        <v>259</v>
      </c>
      <c r="AN108" s="161">
        <v>25000</v>
      </c>
      <c r="AO108" s="161" t="s">
        <v>245</v>
      </c>
      <c r="AP108" s="162" t="s">
        <v>239</v>
      </c>
      <c r="AQ108" s="163">
        <f>IF(AO108="IVA Incluido",(AN108/1.19),AN108)</f>
        <v>25000</v>
      </c>
      <c r="AR108" s="164">
        <f>IF(AP108="Si tiene IVA",AQ108*19%,0)</f>
        <v>4750</v>
      </c>
      <c r="AS108" s="164">
        <f>AQ108+AR108</f>
        <v>29750</v>
      </c>
      <c r="AT108" s="164">
        <f>IF(AB108="","",(AN108*G108))</f>
        <v>25000</v>
      </c>
      <c r="AU108" s="164">
        <f>IF(AB108="","",(AS108*G108))</f>
        <v>29750</v>
      </c>
      <c r="AV108" s="165">
        <f t="shared" si="27"/>
        <v>26583</v>
      </c>
      <c r="AW108" s="165">
        <f t="shared" si="28"/>
        <v>26583</v>
      </c>
      <c r="AX108" s="165">
        <f t="shared" si="29"/>
        <v>4065</v>
      </c>
      <c r="AY108" s="166">
        <f>IF(N108="","",(AX108/AW108))</f>
        <v>0.15291727795959825</v>
      </c>
      <c r="AZ108" s="5"/>
      <c r="BA108" s="7">
        <f>COUNTA(M108,Z108,AM108)</f>
        <v>3</v>
      </c>
      <c r="BB108" s="7" t="s">
        <v>605</v>
      </c>
    </row>
    <row r="109" spans="1:54" ht="297" x14ac:dyDescent="0.25">
      <c r="A109" s="137" t="s">
        <v>299</v>
      </c>
      <c r="B109" s="137" t="s">
        <v>299</v>
      </c>
      <c r="C109" s="137" t="s">
        <v>299</v>
      </c>
      <c r="D109" s="137" t="s">
        <v>606</v>
      </c>
      <c r="E109" s="138" t="s">
        <v>607</v>
      </c>
      <c r="F109" s="139" t="s">
        <v>302</v>
      </c>
      <c r="G109" s="140">
        <v>1</v>
      </c>
      <c r="H109" s="139"/>
      <c r="I109" s="141" t="s">
        <v>299</v>
      </c>
      <c r="J109" s="142" t="s">
        <v>299</v>
      </c>
      <c r="K109" s="143" t="s">
        <v>299</v>
      </c>
      <c r="L109" s="144" t="s">
        <v>299</v>
      </c>
      <c r="M109" s="142" t="s">
        <v>299</v>
      </c>
      <c r="N109" s="145"/>
      <c r="O109" s="145"/>
      <c r="P109" s="145"/>
      <c r="Q109" s="146">
        <v>5000000</v>
      </c>
      <c r="R109" s="147">
        <v>950000</v>
      </c>
      <c r="S109" s="147">
        <v>5950000</v>
      </c>
      <c r="T109" s="147">
        <v>5000000</v>
      </c>
      <c r="U109" s="147">
        <v>5950000</v>
      </c>
      <c r="V109" s="148" t="s">
        <v>299</v>
      </c>
      <c r="W109" s="149" t="s">
        <v>299</v>
      </c>
      <c r="X109" s="150" t="s">
        <v>299</v>
      </c>
      <c r="Y109" s="151" t="s">
        <v>299</v>
      </c>
      <c r="Z109" s="152" t="s">
        <v>304</v>
      </c>
      <c r="AA109" s="153" t="s">
        <v>299</v>
      </c>
      <c r="AB109" s="153" t="s">
        <v>299</v>
      </c>
      <c r="AC109" s="153" t="s">
        <v>299</v>
      </c>
      <c r="AD109" s="154" t="s">
        <v>299</v>
      </c>
      <c r="AE109" s="155" t="s">
        <v>299</v>
      </c>
      <c r="AF109" s="155">
        <f>AH109/1.19</f>
        <v>5062650.4201680673</v>
      </c>
      <c r="AG109" s="155">
        <f>AF109*19%</f>
        <v>961903.57983193279</v>
      </c>
      <c r="AH109" s="155">
        <v>6024554</v>
      </c>
      <c r="AI109" s="156" t="s">
        <v>299</v>
      </c>
      <c r="AJ109" s="157" t="s">
        <v>299</v>
      </c>
      <c r="AK109" s="158" t="s">
        <v>299</v>
      </c>
      <c r="AL109" s="159" t="s">
        <v>299</v>
      </c>
      <c r="AM109" s="160" t="s">
        <v>305</v>
      </c>
      <c r="AN109" s="161" t="s">
        <v>299</v>
      </c>
      <c r="AO109" s="161" t="s">
        <v>299</v>
      </c>
      <c r="AP109" s="162" t="s">
        <v>299</v>
      </c>
      <c r="AQ109" s="163">
        <v>4987833</v>
      </c>
      <c r="AR109" s="164">
        <v>947688</v>
      </c>
      <c r="AS109" s="164">
        <v>5935521</v>
      </c>
      <c r="AT109" s="164">
        <v>4987833</v>
      </c>
      <c r="AU109" s="164">
        <v>5935521</v>
      </c>
      <c r="AV109" s="165">
        <f t="shared" si="27"/>
        <v>5649390</v>
      </c>
      <c r="AW109" s="165">
        <f t="shared" si="28"/>
        <v>5649390</v>
      </c>
      <c r="AX109" s="165" t="str">
        <f t="shared" si="29"/>
        <v/>
      </c>
      <c r="AY109" s="166">
        <v>8.0000000000000002E-3</v>
      </c>
      <c r="AZ109" s="5"/>
      <c r="BA109" s="7"/>
      <c r="BB109" s="7"/>
    </row>
    <row r="110" spans="1:54" ht="94.5" x14ac:dyDescent="0.25">
      <c r="A110" s="137" t="s">
        <v>229</v>
      </c>
      <c r="B110" s="137" t="s">
        <v>306</v>
      </c>
      <c r="C110" s="137">
        <v>60121148</v>
      </c>
      <c r="D110" s="137" t="s">
        <v>608</v>
      </c>
      <c r="E110" s="138" t="s">
        <v>609</v>
      </c>
      <c r="F110" s="139" t="s">
        <v>233</v>
      </c>
      <c r="G110" s="140">
        <v>1</v>
      </c>
      <c r="H110" s="139" t="s">
        <v>51</v>
      </c>
      <c r="I110" s="141" t="s">
        <v>247</v>
      </c>
      <c r="J110" s="142">
        <v>46069</v>
      </c>
      <c r="K110" s="143" t="s">
        <v>535</v>
      </c>
      <c r="L110" s="144" t="s">
        <v>241</v>
      </c>
      <c r="M110" s="142" t="s">
        <v>536</v>
      </c>
      <c r="N110" s="145">
        <v>2171</v>
      </c>
      <c r="O110" s="145" t="s">
        <v>245</v>
      </c>
      <c r="P110" s="145" t="s">
        <v>239</v>
      </c>
      <c r="Q110" s="146">
        <f t="shared" ref="Q110:Q119" si="50">IF(O110="IVA Incluido",(N110/1.19),N110)</f>
        <v>2171</v>
      </c>
      <c r="R110" s="147">
        <f t="shared" ref="R110:R119" si="51">IF(P110="Si tiene IVA",Q110*19%,0)</f>
        <v>412.49</v>
      </c>
      <c r="S110" s="147">
        <f t="shared" ref="S110:S119" si="52">Q110+R110</f>
        <v>2583.4899999999998</v>
      </c>
      <c r="T110" s="147">
        <f t="shared" ref="T110:T119" si="53">IF(B110="","",(N110*G110))</f>
        <v>2171</v>
      </c>
      <c r="U110" s="147" t="s">
        <v>610</v>
      </c>
      <c r="V110" s="148" t="s">
        <v>247</v>
      </c>
      <c r="W110" s="149">
        <v>46069</v>
      </c>
      <c r="X110" s="150" t="s">
        <v>537</v>
      </c>
      <c r="Y110" s="151" t="s">
        <v>241</v>
      </c>
      <c r="Z110" s="152" t="s">
        <v>538</v>
      </c>
      <c r="AA110" s="153">
        <v>2185</v>
      </c>
      <c r="AB110" s="153" t="s">
        <v>245</v>
      </c>
      <c r="AC110" s="153" t="s">
        <v>239</v>
      </c>
      <c r="AD110" s="154">
        <v>2185</v>
      </c>
      <c r="AE110" s="155">
        <f t="shared" ref="AE110:AE119" si="54">IF(AC110="Si tiene IVA",AD110*19%,0)</f>
        <v>415.15</v>
      </c>
      <c r="AF110" s="155">
        <f t="shared" ref="AF110:AF119" si="55">AD110+AE110</f>
        <v>2600.15</v>
      </c>
      <c r="AG110" s="155">
        <f t="shared" ref="AG110:AG119" si="56">IF(O110="","",(AA110*G110))</f>
        <v>2185</v>
      </c>
      <c r="AH110" s="155">
        <f t="shared" ref="AH110:AH119" si="57">IF(O110="","",(AF110*G110))</f>
        <v>2600.15</v>
      </c>
      <c r="AI110" s="156" t="s">
        <v>247</v>
      </c>
      <c r="AJ110" s="157">
        <v>46069</v>
      </c>
      <c r="AK110" s="158" t="s">
        <v>611</v>
      </c>
      <c r="AL110" s="159" t="s">
        <v>241</v>
      </c>
      <c r="AM110" s="160" t="s">
        <v>612</v>
      </c>
      <c r="AN110" s="161">
        <v>2800</v>
      </c>
      <c r="AO110" s="161" t="s">
        <v>238</v>
      </c>
      <c r="AP110" s="162" t="s">
        <v>239</v>
      </c>
      <c r="AQ110" s="163">
        <f t="shared" ref="AQ110:AQ119" si="58">IF(AO110="IVA Incluido",(AN110/1.19),AN110)</f>
        <v>2352.9411764705883</v>
      </c>
      <c r="AR110" s="164">
        <f t="shared" ref="AR110:AR119" si="59">IF(AP110="Si tiene IVA",AQ110*19%,0)</f>
        <v>447.05882352941177</v>
      </c>
      <c r="AS110" s="164">
        <f t="shared" ref="AS110:AS119" si="60">AQ110+AR110</f>
        <v>2800</v>
      </c>
      <c r="AT110" s="164">
        <f t="shared" ref="AT110:AT119" si="61">IF(AB110="","",(AN110*G110))</f>
        <v>2800</v>
      </c>
      <c r="AU110" s="164">
        <f t="shared" ref="AU110:AU119" si="62">IF(AB110="","",(AS110*G110))</f>
        <v>2800</v>
      </c>
      <c r="AV110" s="165">
        <f t="shared" si="27"/>
        <v>2661</v>
      </c>
      <c r="AW110" s="165">
        <f t="shared" si="28"/>
        <v>2661</v>
      </c>
      <c r="AX110" s="165">
        <f t="shared" si="29"/>
        <v>141</v>
      </c>
      <c r="AY110" s="166">
        <f t="shared" ref="AY110:AY119" si="63">IF(N110="","",(AX110/AW110))</f>
        <v>5.2987598647125142E-2</v>
      </c>
      <c r="AZ110" s="5"/>
      <c r="BA110" s="7">
        <f t="shared" ref="BA110:BA119" si="64">COUNTA(M110,Z110,AM110)</f>
        <v>3</v>
      </c>
      <c r="BB110" s="7"/>
    </row>
    <row r="111" spans="1:54" ht="54" x14ac:dyDescent="0.25">
      <c r="A111" s="137" t="s">
        <v>229</v>
      </c>
      <c r="B111" s="137" t="s">
        <v>306</v>
      </c>
      <c r="C111" s="137">
        <v>60121148</v>
      </c>
      <c r="D111" s="137" t="s">
        <v>613</v>
      </c>
      <c r="E111" s="138" t="s">
        <v>614</v>
      </c>
      <c r="F111" s="139" t="s">
        <v>233</v>
      </c>
      <c r="G111" s="140">
        <v>1</v>
      </c>
      <c r="H111" s="139" t="s">
        <v>51</v>
      </c>
      <c r="I111" s="141" t="s">
        <v>247</v>
      </c>
      <c r="J111" s="142">
        <v>46069</v>
      </c>
      <c r="K111" s="143" t="s">
        <v>494</v>
      </c>
      <c r="L111" s="144" t="s">
        <v>241</v>
      </c>
      <c r="M111" s="142" t="s">
        <v>529</v>
      </c>
      <c r="N111" s="145">
        <v>9000</v>
      </c>
      <c r="O111" s="145" t="s">
        <v>238</v>
      </c>
      <c r="P111" s="145" t="s">
        <v>239</v>
      </c>
      <c r="Q111" s="146">
        <f t="shared" si="50"/>
        <v>7563.0252100840344</v>
      </c>
      <c r="R111" s="147">
        <f t="shared" si="51"/>
        <v>1436.9747899159665</v>
      </c>
      <c r="S111" s="147">
        <f t="shared" si="52"/>
        <v>9000</v>
      </c>
      <c r="T111" s="147">
        <f t="shared" si="53"/>
        <v>9000</v>
      </c>
      <c r="U111" s="147">
        <f t="shared" ref="U111:U119" si="65">IF(B111="","",(S111*G111))</f>
        <v>9000</v>
      </c>
      <c r="V111" s="148" t="s">
        <v>247</v>
      </c>
      <c r="W111" s="149">
        <v>46069</v>
      </c>
      <c r="X111" s="150" t="s">
        <v>537</v>
      </c>
      <c r="Y111" s="151" t="s">
        <v>241</v>
      </c>
      <c r="Z111" s="152" t="s">
        <v>538</v>
      </c>
      <c r="AA111" s="153">
        <v>6050</v>
      </c>
      <c r="AB111" s="153" t="s">
        <v>245</v>
      </c>
      <c r="AC111" s="153" t="s">
        <v>239</v>
      </c>
      <c r="AD111" s="154">
        <f t="shared" ref="AD111:AD119" si="66">IF(AB111="IVA Incluido",(AA111/1.19),AA111)</f>
        <v>6050</v>
      </c>
      <c r="AE111" s="155">
        <f t="shared" si="54"/>
        <v>1149.5</v>
      </c>
      <c r="AF111" s="155">
        <f t="shared" si="55"/>
        <v>7199.5</v>
      </c>
      <c r="AG111" s="155">
        <f t="shared" si="56"/>
        <v>6050</v>
      </c>
      <c r="AH111" s="155">
        <f t="shared" si="57"/>
        <v>7199.5</v>
      </c>
      <c r="AI111" s="156" t="s">
        <v>247</v>
      </c>
      <c r="AJ111" s="157">
        <v>46069</v>
      </c>
      <c r="AK111" s="158" t="s">
        <v>492</v>
      </c>
      <c r="AL111" s="159" t="s">
        <v>241</v>
      </c>
      <c r="AM111" s="160" t="s">
        <v>558</v>
      </c>
      <c r="AN111" s="161">
        <v>10000</v>
      </c>
      <c r="AO111" s="161" t="s">
        <v>238</v>
      </c>
      <c r="AP111" s="162" t="s">
        <v>239</v>
      </c>
      <c r="AQ111" s="163">
        <f t="shared" si="58"/>
        <v>8403.361344537816</v>
      </c>
      <c r="AR111" s="164">
        <f t="shared" si="59"/>
        <v>1596.6386554621849</v>
      </c>
      <c r="AS111" s="164">
        <f t="shared" si="60"/>
        <v>10000</v>
      </c>
      <c r="AT111" s="164">
        <f t="shared" si="61"/>
        <v>10000</v>
      </c>
      <c r="AU111" s="164">
        <f t="shared" si="62"/>
        <v>10000</v>
      </c>
      <c r="AV111" s="165">
        <f t="shared" si="27"/>
        <v>8733</v>
      </c>
      <c r="AW111" s="165">
        <f t="shared" si="28"/>
        <v>8733</v>
      </c>
      <c r="AX111" s="165">
        <f t="shared" si="29"/>
        <v>1419</v>
      </c>
      <c r="AY111" s="166">
        <f t="shared" si="63"/>
        <v>0.16248711782892478</v>
      </c>
      <c r="AZ111" s="5"/>
      <c r="BA111" s="7">
        <f t="shared" si="64"/>
        <v>3</v>
      </c>
      <c r="BB111" s="7"/>
    </row>
    <row r="112" spans="1:54" ht="54" x14ac:dyDescent="0.25">
      <c r="A112" s="137" t="s">
        <v>229</v>
      </c>
      <c r="B112" s="137" t="s">
        <v>306</v>
      </c>
      <c r="C112" s="137"/>
      <c r="D112" s="137" t="s">
        <v>615</v>
      </c>
      <c r="E112" s="138" t="s">
        <v>616</v>
      </c>
      <c r="F112" s="139" t="s">
        <v>233</v>
      </c>
      <c r="G112" s="140">
        <v>1</v>
      </c>
      <c r="H112" s="139" t="s">
        <v>51</v>
      </c>
      <c r="I112" s="141" t="s">
        <v>247</v>
      </c>
      <c r="J112" s="142">
        <v>46070</v>
      </c>
      <c r="K112" s="143" t="s">
        <v>554</v>
      </c>
      <c r="L112" s="144" t="s">
        <v>241</v>
      </c>
      <c r="M112" s="142" t="s">
        <v>617</v>
      </c>
      <c r="N112" s="145">
        <v>2000</v>
      </c>
      <c r="O112" s="145" t="s">
        <v>238</v>
      </c>
      <c r="P112" s="145" t="s">
        <v>239</v>
      </c>
      <c r="Q112" s="146">
        <f t="shared" si="50"/>
        <v>1680.6722689075632</v>
      </c>
      <c r="R112" s="147">
        <f t="shared" si="51"/>
        <v>319.32773109243703</v>
      </c>
      <c r="S112" s="147">
        <f t="shared" si="52"/>
        <v>2000.0000000000002</v>
      </c>
      <c r="T112" s="147">
        <f t="shared" si="53"/>
        <v>2000</v>
      </c>
      <c r="U112" s="147">
        <f t="shared" si="65"/>
        <v>2000.0000000000002</v>
      </c>
      <c r="V112" s="148" t="s">
        <v>247</v>
      </c>
      <c r="W112" s="149">
        <v>46070</v>
      </c>
      <c r="X112" s="150" t="s">
        <v>618</v>
      </c>
      <c r="Y112" s="151" t="s">
        <v>241</v>
      </c>
      <c r="Z112" s="152" t="s">
        <v>619</v>
      </c>
      <c r="AA112" s="153">
        <v>2400</v>
      </c>
      <c r="AB112" s="153" t="s">
        <v>238</v>
      </c>
      <c r="AC112" s="153" t="s">
        <v>239</v>
      </c>
      <c r="AD112" s="154">
        <f t="shared" si="66"/>
        <v>2016.8067226890757</v>
      </c>
      <c r="AE112" s="155">
        <f t="shared" si="54"/>
        <v>383.19327731092437</v>
      </c>
      <c r="AF112" s="155">
        <f t="shared" si="55"/>
        <v>2400</v>
      </c>
      <c r="AG112" s="155">
        <f t="shared" si="56"/>
        <v>2400</v>
      </c>
      <c r="AH112" s="155">
        <f t="shared" si="57"/>
        <v>2400</v>
      </c>
      <c r="AI112" s="156" t="s">
        <v>247</v>
      </c>
      <c r="AJ112" s="157">
        <v>46070</v>
      </c>
      <c r="AK112" s="158" t="s">
        <v>620</v>
      </c>
      <c r="AL112" s="159" t="s">
        <v>241</v>
      </c>
      <c r="AM112" s="160" t="s">
        <v>621</v>
      </c>
      <c r="AN112" s="161">
        <v>2800</v>
      </c>
      <c r="AO112" s="161" t="s">
        <v>238</v>
      </c>
      <c r="AP112" s="162" t="s">
        <v>239</v>
      </c>
      <c r="AQ112" s="163">
        <f t="shared" si="58"/>
        <v>2352.9411764705883</v>
      </c>
      <c r="AR112" s="164">
        <f t="shared" si="59"/>
        <v>447.05882352941177</v>
      </c>
      <c r="AS112" s="164">
        <f t="shared" si="60"/>
        <v>2800</v>
      </c>
      <c r="AT112" s="164">
        <f t="shared" si="61"/>
        <v>2800</v>
      </c>
      <c r="AU112" s="164">
        <f t="shared" si="62"/>
        <v>2800</v>
      </c>
      <c r="AV112" s="165">
        <f t="shared" si="27"/>
        <v>2400</v>
      </c>
      <c r="AW112" s="165">
        <f t="shared" si="28"/>
        <v>2400</v>
      </c>
      <c r="AX112" s="165">
        <f t="shared" si="29"/>
        <v>400</v>
      </c>
      <c r="AY112" s="166">
        <f t="shared" si="63"/>
        <v>0.16666666666666666</v>
      </c>
      <c r="AZ112" s="5"/>
      <c r="BA112" s="7">
        <f t="shared" si="64"/>
        <v>3</v>
      </c>
      <c r="BB112" s="7"/>
    </row>
    <row r="113" spans="1:54" ht="54" x14ac:dyDescent="0.25">
      <c r="A113" s="137" t="s">
        <v>229</v>
      </c>
      <c r="B113" s="137" t="s">
        <v>306</v>
      </c>
      <c r="C113" s="137">
        <v>14111519</v>
      </c>
      <c r="D113" s="137" t="s">
        <v>622</v>
      </c>
      <c r="E113" s="138" t="s">
        <v>623</v>
      </c>
      <c r="F113" s="139" t="s">
        <v>233</v>
      </c>
      <c r="G113" s="140">
        <v>1</v>
      </c>
      <c r="H113" s="139" t="s">
        <v>51</v>
      </c>
      <c r="I113" s="141" t="s">
        <v>247</v>
      </c>
      <c r="J113" s="142">
        <v>46070</v>
      </c>
      <c r="K113" s="143" t="s">
        <v>535</v>
      </c>
      <c r="L113" s="144" t="s">
        <v>241</v>
      </c>
      <c r="M113" s="142" t="s">
        <v>536</v>
      </c>
      <c r="N113" s="145">
        <v>7990</v>
      </c>
      <c r="O113" s="145" t="s">
        <v>245</v>
      </c>
      <c r="P113" s="145" t="s">
        <v>239</v>
      </c>
      <c r="Q113" s="146">
        <f t="shared" si="50"/>
        <v>7990</v>
      </c>
      <c r="R113" s="147">
        <f t="shared" si="51"/>
        <v>1518.1</v>
      </c>
      <c r="S113" s="147">
        <f t="shared" si="52"/>
        <v>9508.1</v>
      </c>
      <c r="T113" s="147">
        <f t="shared" si="53"/>
        <v>7990</v>
      </c>
      <c r="U113" s="147">
        <f t="shared" si="65"/>
        <v>9508.1</v>
      </c>
      <c r="V113" s="148" t="s">
        <v>247</v>
      </c>
      <c r="W113" s="149">
        <v>46070</v>
      </c>
      <c r="X113" s="150" t="s">
        <v>311</v>
      </c>
      <c r="Y113" s="151" t="s">
        <v>241</v>
      </c>
      <c r="Z113" s="152" t="s">
        <v>312</v>
      </c>
      <c r="AA113" s="153">
        <v>7774</v>
      </c>
      <c r="AB113" s="153" t="s">
        <v>245</v>
      </c>
      <c r="AC113" s="153" t="s">
        <v>239</v>
      </c>
      <c r="AD113" s="154">
        <f t="shared" si="66"/>
        <v>7774</v>
      </c>
      <c r="AE113" s="155">
        <f t="shared" si="54"/>
        <v>1477.06</v>
      </c>
      <c r="AF113" s="155">
        <f t="shared" si="55"/>
        <v>9251.06</v>
      </c>
      <c r="AG113" s="155">
        <f t="shared" si="56"/>
        <v>7774</v>
      </c>
      <c r="AH113" s="155">
        <f t="shared" si="57"/>
        <v>9251.06</v>
      </c>
      <c r="AI113" s="156" t="s">
        <v>247</v>
      </c>
      <c r="AJ113" s="157">
        <v>46070</v>
      </c>
      <c r="AK113" s="158" t="s">
        <v>624</v>
      </c>
      <c r="AL113" s="159" t="s">
        <v>241</v>
      </c>
      <c r="AM113" s="160" t="s">
        <v>625</v>
      </c>
      <c r="AN113" s="161">
        <v>11000</v>
      </c>
      <c r="AO113" s="161" t="s">
        <v>238</v>
      </c>
      <c r="AP113" s="162" t="s">
        <v>239</v>
      </c>
      <c r="AQ113" s="163">
        <f t="shared" si="58"/>
        <v>9243.6974789915967</v>
      </c>
      <c r="AR113" s="164">
        <f t="shared" si="59"/>
        <v>1756.3025210084033</v>
      </c>
      <c r="AS113" s="164">
        <f t="shared" si="60"/>
        <v>11000</v>
      </c>
      <c r="AT113" s="164">
        <f t="shared" si="61"/>
        <v>11000</v>
      </c>
      <c r="AU113" s="164">
        <f t="shared" si="62"/>
        <v>11000</v>
      </c>
      <c r="AV113" s="165">
        <f t="shared" si="27"/>
        <v>9920</v>
      </c>
      <c r="AW113" s="165">
        <f t="shared" si="28"/>
        <v>9920</v>
      </c>
      <c r="AX113" s="165">
        <f t="shared" si="29"/>
        <v>944</v>
      </c>
      <c r="AY113" s="166">
        <f t="shared" si="63"/>
        <v>9.5161290322580638E-2</v>
      </c>
      <c r="AZ113" s="5"/>
      <c r="BA113" s="7">
        <f t="shared" si="64"/>
        <v>3</v>
      </c>
      <c r="BB113" s="7"/>
    </row>
    <row r="114" spans="1:54" ht="40.5" x14ac:dyDescent="0.25">
      <c r="A114" s="137" t="s">
        <v>229</v>
      </c>
      <c r="B114" s="137" t="s">
        <v>306</v>
      </c>
      <c r="C114" s="137">
        <v>14111519</v>
      </c>
      <c r="D114" s="137" t="s">
        <v>626</v>
      </c>
      <c r="E114" s="138" t="s">
        <v>627</v>
      </c>
      <c r="F114" s="139" t="s">
        <v>233</v>
      </c>
      <c r="G114" s="140">
        <v>1</v>
      </c>
      <c r="H114" s="139" t="s">
        <v>51</v>
      </c>
      <c r="I114" s="141" t="s">
        <v>247</v>
      </c>
      <c r="J114" s="142">
        <v>46070</v>
      </c>
      <c r="K114" s="143" t="s">
        <v>492</v>
      </c>
      <c r="L114" s="144" t="s">
        <v>241</v>
      </c>
      <c r="M114" s="142" t="s">
        <v>558</v>
      </c>
      <c r="N114" s="145">
        <v>1200</v>
      </c>
      <c r="O114" s="145" t="s">
        <v>238</v>
      </c>
      <c r="P114" s="145" t="s">
        <v>239</v>
      </c>
      <c r="Q114" s="146">
        <f t="shared" si="50"/>
        <v>1008.4033613445379</v>
      </c>
      <c r="R114" s="147">
        <f t="shared" si="51"/>
        <v>191.59663865546219</v>
      </c>
      <c r="S114" s="147">
        <f t="shared" si="52"/>
        <v>1200</v>
      </c>
      <c r="T114" s="147">
        <f t="shared" si="53"/>
        <v>1200</v>
      </c>
      <c r="U114" s="147">
        <f t="shared" si="65"/>
        <v>1200</v>
      </c>
      <c r="V114" s="148" t="s">
        <v>247</v>
      </c>
      <c r="W114" s="149">
        <v>46070</v>
      </c>
      <c r="X114" s="150" t="s">
        <v>313</v>
      </c>
      <c r="Y114" s="151" t="s">
        <v>241</v>
      </c>
      <c r="Z114" s="152" t="s">
        <v>553</v>
      </c>
      <c r="AA114" s="153">
        <v>1500</v>
      </c>
      <c r="AB114" s="153" t="s">
        <v>238</v>
      </c>
      <c r="AC114" s="153" t="s">
        <v>239</v>
      </c>
      <c r="AD114" s="154">
        <f t="shared" si="66"/>
        <v>1260.5042016806724</v>
      </c>
      <c r="AE114" s="155">
        <f t="shared" si="54"/>
        <v>239.49579831932775</v>
      </c>
      <c r="AF114" s="155">
        <f t="shared" si="55"/>
        <v>1500.0000000000002</v>
      </c>
      <c r="AG114" s="155">
        <f t="shared" si="56"/>
        <v>1500</v>
      </c>
      <c r="AH114" s="155">
        <f t="shared" si="57"/>
        <v>1500.0000000000002</v>
      </c>
      <c r="AI114" s="156" t="s">
        <v>247</v>
      </c>
      <c r="AJ114" s="157">
        <v>46070</v>
      </c>
      <c r="AK114" s="158" t="s">
        <v>535</v>
      </c>
      <c r="AL114" s="159" t="s">
        <v>241</v>
      </c>
      <c r="AM114" s="160" t="s">
        <v>536</v>
      </c>
      <c r="AN114" s="161">
        <v>1050</v>
      </c>
      <c r="AO114" s="161" t="s">
        <v>245</v>
      </c>
      <c r="AP114" s="162" t="s">
        <v>239</v>
      </c>
      <c r="AQ114" s="163">
        <f t="shared" si="58"/>
        <v>1050</v>
      </c>
      <c r="AR114" s="164">
        <f t="shared" si="59"/>
        <v>199.5</v>
      </c>
      <c r="AS114" s="164">
        <f t="shared" si="60"/>
        <v>1249.5</v>
      </c>
      <c r="AT114" s="164">
        <f t="shared" si="61"/>
        <v>1050</v>
      </c>
      <c r="AU114" s="164">
        <f t="shared" si="62"/>
        <v>1249.5</v>
      </c>
      <c r="AV114" s="165">
        <f t="shared" si="27"/>
        <v>1317</v>
      </c>
      <c r="AW114" s="165">
        <f t="shared" si="28"/>
        <v>1317</v>
      </c>
      <c r="AX114" s="165">
        <f t="shared" si="29"/>
        <v>161</v>
      </c>
      <c r="AY114" s="166">
        <f t="shared" si="63"/>
        <v>0.12224753227031131</v>
      </c>
      <c r="AZ114" s="5"/>
      <c r="BA114" s="7">
        <f t="shared" si="64"/>
        <v>3</v>
      </c>
      <c r="BB114" s="7"/>
    </row>
    <row r="115" spans="1:54" ht="40.5" x14ac:dyDescent="0.25">
      <c r="A115" s="137" t="s">
        <v>229</v>
      </c>
      <c r="B115" s="137" t="s">
        <v>306</v>
      </c>
      <c r="C115" s="137">
        <v>14111519</v>
      </c>
      <c r="D115" s="137" t="s">
        <v>628</v>
      </c>
      <c r="E115" s="138" t="s">
        <v>629</v>
      </c>
      <c r="F115" s="139" t="s">
        <v>233</v>
      </c>
      <c r="G115" s="140">
        <v>1</v>
      </c>
      <c r="H115" s="139" t="s">
        <v>51</v>
      </c>
      <c r="I115" s="141" t="s">
        <v>247</v>
      </c>
      <c r="J115" s="142">
        <v>46071</v>
      </c>
      <c r="K115" s="143" t="s">
        <v>313</v>
      </c>
      <c r="L115" s="144" t="s">
        <v>241</v>
      </c>
      <c r="M115" s="142" t="s">
        <v>561</v>
      </c>
      <c r="N115" s="145">
        <v>2000</v>
      </c>
      <c r="O115" s="145" t="s">
        <v>238</v>
      </c>
      <c r="P115" s="145" t="s">
        <v>239</v>
      </c>
      <c r="Q115" s="146">
        <f t="shared" si="50"/>
        <v>1680.6722689075632</v>
      </c>
      <c r="R115" s="147">
        <f t="shared" si="51"/>
        <v>319.32773109243703</v>
      </c>
      <c r="S115" s="147">
        <f t="shared" si="52"/>
        <v>2000.0000000000002</v>
      </c>
      <c r="T115" s="147">
        <f t="shared" si="53"/>
        <v>2000</v>
      </c>
      <c r="U115" s="147">
        <f t="shared" si="65"/>
        <v>2000.0000000000002</v>
      </c>
      <c r="V115" s="148" t="s">
        <v>234</v>
      </c>
      <c r="W115" s="149">
        <v>46139</v>
      </c>
      <c r="X115" s="150" t="s">
        <v>537</v>
      </c>
      <c r="Y115" s="151" t="s">
        <v>241</v>
      </c>
      <c r="Z115" s="152" t="s">
        <v>630</v>
      </c>
      <c r="AA115" s="153">
        <v>1681</v>
      </c>
      <c r="AB115" s="153" t="s">
        <v>245</v>
      </c>
      <c r="AC115" s="153" t="s">
        <v>239</v>
      </c>
      <c r="AD115" s="154">
        <f t="shared" si="66"/>
        <v>1681</v>
      </c>
      <c r="AE115" s="155">
        <f t="shared" si="54"/>
        <v>319.39</v>
      </c>
      <c r="AF115" s="155">
        <f t="shared" si="55"/>
        <v>2000.3899999999999</v>
      </c>
      <c r="AG115" s="155">
        <f t="shared" si="56"/>
        <v>1681</v>
      </c>
      <c r="AH115" s="155">
        <f t="shared" si="57"/>
        <v>2000.3899999999999</v>
      </c>
      <c r="AI115" s="156" t="s">
        <v>234</v>
      </c>
      <c r="AJ115" s="157">
        <v>46139</v>
      </c>
      <c r="AK115" s="158" t="s">
        <v>535</v>
      </c>
      <c r="AL115" s="159" t="s">
        <v>241</v>
      </c>
      <c r="AM115" s="160" t="s">
        <v>536</v>
      </c>
      <c r="AN115" s="161">
        <v>1694</v>
      </c>
      <c r="AO115" s="161" t="s">
        <v>245</v>
      </c>
      <c r="AP115" s="162" t="s">
        <v>239</v>
      </c>
      <c r="AQ115" s="163">
        <f t="shared" si="58"/>
        <v>1694</v>
      </c>
      <c r="AR115" s="164">
        <f t="shared" si="59"/>
        <v>321.86</v>
      </c>
      <c r="AS115" s="164">
        <f t="shared" si="60"/>
        <v>2015.8600000000001</v>
      </c>
      <c r="AT115" s="164">
        <f t="shared" si="61"/>
        <v>1694</v>
      </c>
      <c r="AU115" s="164">
        <f t="shared" si="62"/>
        <v>2015.8600000000001</v>
      </c>
      <c r="AV115" s="165">
        <f t="shared" si="27"/>
        <v>2005</v>
      </c>
      <c r="AW115" s="165">
        <f t="shared" si="28"/>
        <v>2005</v>
      </c>
      <c r="AX115" s="165">
        <f t="shared" si="29"/>
        <v>9</v>
      </c>
      <c r="AY115" s="166">
        <f t="shared" si="63"/>
        <v>4.4887780548628431E-3</v>
      </c>
      <c r="AZ115" s="5"/>
      <c r="BA115" s="7">
        <f t="shared" si="64"/>
        <v>3</v>
      </c>
      <c r="BB115" s="7"/>
    </row>
    <row r="116" spans="1:54" ht="40.5" x14ac:dyDescent="0.25">
      <c r="A116" s="137" t="s">
        <v>229</v>
      </c>
      <c r="B116" s="137" t="s">
        <v>306</v>
      </c>
      <c r="C116" s="137">
        <v>14111519</v>
      </c>
      <c r="D116" s="137" t="s">
        <v>631</v>
      </c>
      <c r="E116" s="138" t="s">
        <v>632</v>
      </c>
      <c r="F116" s="139" t="s">
        <v>233</v>
      </c>
      <c r="G116" s="140">
        <v>1</v>
      </c>
      <c r="H116" s="139" t="s">
        <v>51</v>
      </c>
      <c r="I116" s="141" t="s">
        <v>247</v>
      </c>
      <c r="J116" s="142">
        <v>46071</v>
      </c>
      <c r="K116" s="143" t="s">
        <v>535</v>
      </c>
      <c r="L116" s="144" t="s">
        <v>241</v>
      </c>
      <c r="M116" s="142" t="s">
        <v>536</v>
      </c>
      <c r="N116" s="145">
        <v>13043</v>
      </c>
      <c r="O116" s="145" t="s">
        <v>245</v>
      </c>
      <c r="P116" s="145" t="s">
        <v>239</v>
      </c>
      <c r="Q116" s="146">
        <f t="shared" si="50"/>
        <v>13043</v>
      </c>
      <c r="R116" s="147">
        <f t="shared" si="51"/>
        <v>2478.17</v>
      </c>
      <c r="S116" s="147">
        <f t="shared" si="52"/>
        <v>15521.17</v>
      </c>
      <c r="T116" s="147">
        <f t="shared" si="53"/>
        <v>13043</v>
      </c>
      <c r="U116" s="147">
        <f t="shared" si="65"/>
        <v>15521.17</v>
      </c>
      <c r="V116" s="148" t="s">
        <v>247</v>
      </c>
      <c r="W116" s="149">
        <v>46071</v>
      </c>
      <c r="X116" s="150" t="s">
        <v>633</v>
      </c>
      <c r="Y116" s="151" t="s">
        <v>241</v>
      </c>
      <c r="Z116" s="152" t="s">
        <v>634</v>
      </c>
      <c r="AA116" s="153">
        <v>16700</v>
      </c>
      <c r="AB116" s="153" t="s">
        <v>238</v>
      </c>
      <c r="AC116" s="153" t="s">
        <v>239</v>
      </c>
      <c r="AD116" s="154">
        <f t="shared" si="66"/>
        <v>14033.613445378152</v>
      </c>
      <c r="AE116" s="155">
        <f t="shared" si="54"/>
        <v>2666.386554621849</v>
      </c>
      <c r="AF116" s="155">
        <f t="shared" si="55"/>
        <v>16700</v>
      </c>
      <c r="AG116" s="155">
        <f t="shared" si="56"/>
        <v>16700</v>
      </c>
      <c r="AH116" s="155">
        <f t="shared" si="57"/>
        <v>16700</v>
      </c>
      <c r="AI116" s="156" t="s">
        <v>247</v>
      </c>
      <c r="AJ116" s="157">
        <v>46071</v>
      </c>
      <c r="AK116" s="158" t="s">
        <v>635</v>
      </c>
      <c r="AL116" s="159" t="s">
        <v>241</v>
      </c>
      <c r="AM116" s="160" t="s">
        <v>293</v>
      </c>
      <c r="AN116" s="161">
        <v>14390</v>
      </c>
      <c r="AO116" s="161" t="s">
        <v>238</v>
      </c>
      <c r="AP116" s="162" t="s">
        <v>239</v>
      </c>
      <c r="AQ116" s="163">
        <f t="shared" si="58"/>
        <v>12092.436974789916</v>
      </c>
      <c r="AR116" s="164">
        <f t="shared" si="59"/>
        <v>2297.5630252100841</v>
      </c>
      <c r="AS116" s="164">
        <f t="shared" si="60"/>
        <v>14390</v>
      </c>
      <c r="AT116" s="164">
        <f t="shared" si="61"/>
        <v>14390</v>
      </c>
      <c r="AU116" s="164">
        <f t="shared" si="62"/>
        <v>14390</v>
      </c>
      <c r="AV116" s="165">
        <f t="shared" si="27"/>
        <v>15537</v>
      </c>
      <c r="AW116" s="165">
        <f t="shared" si="28"/>
        <v>15537</v>
      </c>
      <c r="AX116" s="165">
        <f t="shared" si="29"/>
        <v>1155</v>
      </c>
      <c r="AY116" s="166">
        <f t="shared" si="63"/>
        <v>7.433867541996525E-2</v>
      </c>
      <c r="AZ116" s="5"/>
      <c r="BA116" s="7">
        <f t="shared" si="64"/>
        <v>3</v>
      </c>
      <c r="BB116" s="7"/>
    </row>
    <row r="117" spans="1:54" ht="54" x14ac:dyDescent="0.25">
      <c r="A117" s="137" t="s">
        <v>229</v>
      </c>
      <c r="B117" s="137" t="s">
        <v>230</v>
      </c>
      <c r="C117" s="137">
        <v>60101606</v>
      </c>
      <c r="D117" s="137" t="s">
        <v>636</v>
      </c>
      <c r="E117" s="138" t="s">
        <v>637</v>
      </c>
      <c r="F117" s="139" t="s">
        <v>233</v>
      </c>
      <c r="G117" s="140">
        <v>1</v>
      </c>
      <c r="H117" s="139" t="s">
        <v>51</v>
      </c>
      <c r="I117" s="141" t="s">
        <v>234</v>
      </c>
      <c r="J117" s="142">
        <v>46146</v>
      </c>
      <c r="K117" s="143" t="s">
        <v>638</v>
      </c>
      <c r="L117" s="144" t="s">
        <v>236</v>
      </c>
      <c r="M117" s="142" t="s">
        <v>639</v>
      </c>
      <c r="N117" s="145">
        <v>2200</v>
      </c>
      <c r="O117" s="145" t="s">
        <v>245</v>
      </c>
      <c r="P117" s="145" t="s">
        <v>239</v>
      </c>
      <c r="Q117" s="146">
        <f t="shared" si="50"/>
        <v>2200</v>
      </c>
      <c r="R117" s="147">
        <f t="shared" si="51"/>
        <v>418</v>
      </c>
      <c r="S117" s="147">
        <f t="shared" si="52"/>
        <v>2618</v>
      </c>
      <c r="T117" s="147">
        <f t="shared" si="53"/>
        <v>2200</v>
      </c>
      <c r="U117" s="147">
        <f t="shared" si="65"/>
        <v>2618</v>
      </c>
      <c r="V117" s="148" t="s">
        <v>234</v>
      </c>
      <c r="W117" s="149">
        <v>46146</v>
      </c>
      <c r="X117" s="150" t="s">
        <v>255</v>
      </c>
      <c r="Y117" s="151" t="s">
        <v>236</v>
      </c>
      <c r="Z117" s="152" t="s">
        <v>252</v>
      </c>
      <c r="AA117" s="153">
        <v>3200</v>
      </c>
      <c r="AB117" s="153" t="s">
        <v>238</v>
      </c>
      <c r="AC117" s="153" t="s">
        <v>239</v>
      </c>
      <c r="AD117" s="154">
        <f t="shared" si="66"/>
        <v>2689.0756302521008</v>
      </c>
      <c r="AE117" s="155">
        <f t="shared" si="54"/>
        <v>510.92436974789916</v>
      </c>
      <c r="AF117" s="155">
        <f t="shared" si="55"/>
        <v>3200</v>
      </c>
      <c r="AG117" s="155">
        <f t="shared" si="56"/>
        <v>3200</v>
      </c>
      <c r="AH117" s="155">
        <f t="shared" si="57"/>
        <v>3200</v>
      </c>
      <c r="AI117" s="156" t="s">
        <v>234</v>
      </c>
      <c r="AJ117" s="157">
        <v>46146</v>
      </c>
      <c r="AK117" s="158" t="s">
        <v>640</v>
      </c>
      <c r="AL117" s="159" t="s">
        <v>241</v>
      </c>
      <c r="AM117" s="160" t="s">
        <v>235</v>
      </c>
      <c r="AN117" s="161">
        <v>3800</v>
      </c>
      <c r="AO117" s="161" t="s">
        <v>245</v>
      </c>
      <c r="AP117" s="162" t="s">
        <v>265</v>
      </c>
      <c r="AQ117" s="163">
        <f t="shared" si="58"/>
        <v>3800</v>
      </c>
      <c r="AR117" s="164">
        <f t="shared" si="59"/>
        <v>0</v>
      </c>
      <c r="AS117" s="164">
        <f t="shared" si="60"/>
        <v>3800</v>
      </c>
      <c r="AT117" s="164">
        <f t="shared" si="61"/>
        <v>3800</v>
      </c>
      <c r="AU117" s="164">
        <f t="shared" si="62"/>
        <v>3800</v>
      </c>
      <c r="AV117" s="165">
        <f t="shared" si="27"/>
        <v>3206</v>
      </c>
      <c r="AW117" s="165">
        <f t="shared" si="28"/>
        <v>3206</v>
      </c>
      <c r="AX117" s="165">
        <f t="shared" si="29"/>
        <v>591</v>
      </c>
      <c r="AY117" s="166">
        <f t="shared" si="63"/>
        <v>0.1843418590143481</v>
      </c>
      <c r="AZ117" s="5"/>
      <c r="BA117" s="7">
        <f t="shared" si="64"/>
        <v>3</v>
      </c>
      <c r="BB117" s="7" t="s">
        <v>277</v>
      </c>
    </row>
    <row r="118" spans="1:54" ht="40.5" x14ac:dyDescent="0.25">
      <c r="A118" s="137" t="s">
        <v>229</v>
      </c>
      <c r="B118" s="137" t="s">
        <v>306</v>
      </c>
      <c r="C118" s="137"/>
      <c r="D118" s="137" t="s">
        <v>641</v>
      </c>
      <c r="E118" s="138" t="s">
        <v>642</v>
      </c>
      <c r="F118" s="139" t="s">
        <v>233</v>
      </c>
      <c r="G118" s="140">
        <v>1</v>
      </c>
      <c r="H118" s="139" t="s">
        <v>51</v>
      </c>
      <c r="I118" s="141" t="s">
        <v>247</v>
      </c>
      <c r="J118" s="142">
        <v>46071</v>
      </c>
      <c r="K118" s="143" t="s">
        <v>535</v>
      </c>
      <c r="L118" s="144" t="s">
        <v>241</v>
      </c>
      <c r="M118" s="142" t="s">
        <v>536</v>
      </c>
      <c r="N118" s="145">
        <v>4547</v>
      </c>
      <c r="O118" s="145" t="s">
        <v>245</v>
      </c>
      <c r="P118" s="145" t="s">
        <v>239</v>
      </c>
      <c r="Q118" s="146">
        <f t="shared" si="50"/>
        <v>4547</v>
      </c>
      <c r="R118" s="147">
        <f t="shared" si="51"/>
        <v>863.93000000000006</v>
      </c>
      <c r="S118" s="147">
        <f t="shared" si="52"/>
        <v>5410.93</v>
      </c>
      <c r="T118" s="147">
        <f t="shared" si="53"/>
        <v>4547</v>
      </c>
      <c r="U118" s="147">
        <f t="shared" si="65"/>
        <v>5410.93</v>
      </c>
      <c r="V118" s="148" t="s">
        <v>247</v>
      </c>
      <c r="W118" s="149">
        <v>46071</v>
      </c>
      <c r="X118" s="150" t="s">
        <v>313</v>
      </c>
      <c r="Y118" s="151" t="s">
        <v>241</v>
      </c>
      <c r="Z118" s="152" t="s">
        <v>553</v>
      </c>
      <c r="AA118" s="153">
        <v>6500</v>
      </c>
      <c r="AB118" s="153" t="s">
        <v>238</v>
      </c>
      <c r="AC118" s="153" t="s">
        <v>239</v>
      </c>
      <c r="AD118" s="154">
        <f t="shared" si="66"/>
        <v>5462.1848739495799</v>
      </c>
      <c r="AE118" s="155">
        <f t="shared" si="54"/>
        <v>1037.8151260504203</v>
      </c>
      <c r="AF118" s="155">
        <f t="shared" si="55"/>
        <v>6500</v>
      </c>
      <c r="AG118" s="155">
        <f t="shared" si="56"/>
        <v>6500</v>
      </c>
      <c r="AH118" s="155">
        <f t="shared" si="57"/>
        <v>6500</v>
      </c>
      <c r="AI118" s="156" t="s">
        <v>247</v>
      </c>
      <c r="AJ118" s="157">
        <v>46071</v>
      </c>
      <c r="AK118" s="158" t="s">
        <v>311</v>
      </c>
      <c r="AL118" s="159" t="s">
        <v>241</v>
      </c>
      <c r="AM118" s="160" t="s">
        <v>312</v>
      </c>
      <c r="AN118" s="161">
        <v>5850</v>
      </c>
      <c r="AO118" s="161" t="s">
        <v>245</v>
      </c>
      <c r="AP118" s="162" t="s">
        <v>239</v>
      </c>
      <c r="AQ118" s="163">
        <f t="shared" si="58"/>
        <v>5850</v>
      </c>
      <c r="AR118" s="164">
        <f t="shared" si="59"/>
        <v>1111.5</v>
      </c>
      <c r="AS118" s="164">
        <f t="shared" si="60"/>
        <v>6961.5</v>
      </c>
      <c r="AT118" s="164">
        <f t="shared" si="61"/>
        <v>5850</v>
      </c>
      <c r="AU118" s="164">
        <f t="shared" si="62"/>
        <v>6961.5</v>
      </c>
      <c r="AV118" s="165">
        <f t="shared" si="27"/>
        <v>6291</v>
      </c>
      <c r="AW118" s="165">
        <f t="shared" si="28"/>
        <v>6291</v>
      </c>
      <c r="AX118" s="165">
        <f t="shared" si="29"/>
        <v>796</v>
      </c>
      <c r="AY118" s="166">
        <f t="shared" si="63"/>
        <v>0.12652996343983469</v>
      </c>
      <c r="AZ118" s="5"/>
      <c r="BA118" s="7">
        <f t="shared" si="64"/>
        <v>3</v>
      </c>
      <c r="BB118" s="7"/>
    </row>
    <row r="119" spans="1:54" ht="54" x14ac:dyDescent="0.25">
      <c r="A119" s="137" t="s">
        <v>229</v>
      </c>
      <c r="B119" s="137" t="s">
        <v>306</v>
      </c>
      <c r="C119" s="137">
        <v>31201512</v>
      </c>
      <c r="D119" s="137" t="s">
        <v>643</v>
      </c>
      <c r="E119" s="138" t="s">
        <v>644</v>
      </c>
      <c r="F119" s="139" t="s">
        <v>233</v>
      </c>
      <c r="G119" s="140">
        <v>1</v>
      </c>
      <c r="H119" s="139" t="s">
        <v>51</v>
      </c>
      <c r="I119" s="141" t="s">
        <v>247</v>
      </c>
      <c r="J119" s="142">
        <v>46071</v>
      </c>
      <c r="K119" s="143" t="s">
        <v>494</v>
      </c>
      <c r="L119" s="144" t="s">
        <v>241</v>
      </c>
      <c r="M119" s="142" t="s">
        <v>529</v>
      </c>
      <c r="N119" s="145">
        <v>6000</v>
      </c>
      <c r="O119" s="145" t="s">
        <v>238</v>
      </c>
      <c r="P119" s="145" t="s">
        <v>239</v>
      </c>
      <c r="Q119" s="146">
        <f t="shared" si="50"/>
        <v>5042.0168067226896</v>
      </c>
      <c r="R119" s="147">
        <f t="shared" si="51"/>
        <v>957.98319327731099</v>
      </c>
      <c r="S119" s="147">
        <f t="shared" si="52"/>
        <v>6000.0000000000009</v>
      </c>
      <c r="T119" s="147">
        <f t="shared" si="53"/>
        <v>6000</v>
      </c>
      <c r="U119" s="147">
        <f t="shared" si="65"/>
        <v>6000.0000000000009</v>
      </c>
      <c r="V119" s="148" t="s">
        <v>247</v>
      </c>
      <c r="W119" s="149">
        <v>46071</v>
      </c>
      <c r="X119" s="150" t="s">
        <v>313</v>
      </c>
      <c r="Y119" s="151" t="s">
        <v>241</v>
      </c>
      <c r="Z119" s="152" t="s">
        <v>553</v>
      </c>
      <c r="AA119" s="153">
        <v>7100</v>
      </c>
      <c r="AB119" s="153" t="s">
        <v>238</v>
      </c>
      <c r="AC119" s="153" t="s">
        <v>239</v>
      </c>
      <c r="AD119" s="154">
        <f t="shared" si="66"/>
        <v>5966.3865546218494</v>
      </c>
      <c r="AE119" s="155">
        <f t="shared" si="54"/>
        <v>1133.6134453781515</v>
      </c>
      <c r="AF119" s="155">
        <f t="shared" si="55"/>
        <v>7100.0000000000009</v>
      </c>
      <c r="AG119" s="155">
        <f t="shared" si="56"/>
        <v>7100</v>
      </c>
      <c r="AH119" s="155">
        <f t="shared" si="57"/>
        <v>7100.0000000000009</v>
      </c>
      <c r="AI119" s="156" t="s">
        <v>247</v>
      </c>
      <c r="AJ119" s="157">
        <v>46071</v>
      </c>
      <c r="AK119" s="158" t="s">
        <v>554</v>
      </c>
      <c r="AL119" s="159" t="s">
        <v>241</v>
      </c>
      <c r="AM119" s="160" t="s">
        <v>566</v>
      </c>
      <c r="AN119" s="161">
        <v>6500</v>
      </c>
      <c r="AO119" s="161" t="s">
        <v>238</v>
      </c>
      <c r="AP119" s="162" t="s">
        <v>239</v>
      </c>
      <c r="AQ119" s="163">
        <f t="shared" si="58"/>
        <v>5462.1848739495799</v>
      </c>
      <c r="AR119" s="164">
        <f t="shared" si="59"/>
        <v>1037.8151260504203</v>
      </c>
      <c r="AS119" s="164">
        <f t="shared" si="60"/>
        <v>6500</v>
      </c>
      <c r="AT119" s="164">
        <f t="shared" si="61"/>
        <v>6500</v>
      </c>
      <c r="AU119" s="164">
        <f t="shared" si="62"/>
        <v>6500</v>
      </c>
      <c r="AV119" s="165">
        <f t="shared" si="27"/>
        <v>6533</v>
      </c>
      <c r="AW119" s="165">
        <f t="shared" si="28"/>
        <v>6533</v>
      </c>
      <c r="AX119" s="165">
        <f t="shared" si="29"/>
        <v>551</v>
      </c>
      <c r="AY119" s="166">
        <f t="shared" si="63"/>
        <v>8.4341037808051425E-2</v>
      </c>
      <c r="AZ119" s="5"/>
      <c r="BA119" s="7">
        <f t="shared" si="64"/>
        <v>3</v>
      </c>
      <c r="BB119" s="7"/>
    </row>
    <row r="120" spans="1:54" ht="297" x14ac:dyDescent="0.25">
      <c r="A120" s="137" t="s">
        <v>299</v>
      </c>
      <c r="B120" s="137" t="s">
        <v>299</v>
      </c>
      <c r="C120" s="137" t="s">
        <v>299</v>
      </c>
      <c r="D120" s="137" t="s">
        <v>645</v>
      </c>
      <c r="E120" s="138" t="s">
        <v>646</v>
      </c>
      <c r="F120" s="139" t="s">
        <v>302</v>
      </c>
      <c r="G120" s="140">
        <v>1</v>
      </c>
      <c r="H120" s="139"/>
      <c r="I120" s="141"/>
      <c r="J120" s="142"/>
      <c r="K120" s="143"/>
      <c r="L120" s="144"/>
      <c r="M120" s="142"/>
      <c r="N120" s="145"/>
      <c r="O120" s="145"/>
      <c r="P120" s="145"/>
      <c r="Q120" s="146" t="s">
        <v>303</v>
      </c>
      <c r="R120" s="147" t="s">
        <v>303</v>
      </c>
      <c r="S120" s="147" t="s">
        <v>303</v>
      </c>
      <c r="T120" s="147" t="s">
        <v>303</v>
      </c>
      <c r="U120" s="147" t="s">
        <v>303</v>
      </c>
      <c r="V120" s="148" t="s">
        <v>299</v>
      </c>
      <c r="W120" s="149" t="s">
        <v>299</v>
      </c>
      <c r="X120" s="150" t="s">
        <v>299</v>
      </c>
      <c r="Y120" s="151" t="s">
        <v>299</v>
      </c>
      <c r="Z120" s="152" t="s">
        <v>304</v>
      </c>
      <c r="AA120" s="153" t="s">
        <v>299</v>
      </c>
      <c r="AB120" s="153" t="s">
        <v>299</v>
      </c>
      <c r="AC120" s="153" t="s">
        <v>299</v>
      </c>
      <c r="AD120" s="154" t="s">
        <v>299</v>
      </c>
      <c r="AE120" s="155" t="s">
        <v>299</v>
      </c>
      <c r="AF120" s="155">
        <f>AH120/1.19</f>
        <v>3574947.8991596638</v>
      </c>
      <c r="AG120" s="155">
        <f>AF120*19%</f>
        <v>679240.10084033618</v>
      </c>
      <c r="AH120" s="155">
        <v>4254188</v>
      </c>
      <c r="AI120" s="156" t="s">
        <v>299</v>
      </c>
      <c r="AJ120" s="157" t="s">
        <v>299</v>
      </c>
      <c r="AK120" s="158" t="s">
        <v>299</v>
      </c>
      <c r="AL120" s="159" t="s">
        <v>299</v>
      </c>
      <c r="AM120" s="160" t="s">
        <v>305</v>
      </c>
      <c r="AN120" s="161" t="s">
        <v>299</v>
      </c>
      <c r="AO120" s="161" t="s">
        <v>299</v>
      </c>
      <c r="AP120" s="162" t="s">
        <v>299</v>
      </c>
      <c r="AQ120" s="163">
        <v>3454383</v>
      </c>
      <c r="AR120" s="164">
        <v>656333</v>
      </c>
      <c r="AS120" s="164">
        <v>4110716</v>
      </c>
      <c r="AT120" s="164">
        <v>3454383</v>
      </c>
      <c r="AU120" s="164">
        <v>4110716</v>
      </c>
      <c r="AV120" s="165">
        <f t="shared" si="27"/>
        <v>3842832</v>
      </c>
      <c r="AW120" s="165">
        <f t="shared" si="28"/>
        <v>3842832</v>
      </c>
      <c r="AX120" s="165" t="str">
        <f t="shared" si="29"/>
        <v/>
      </c>
      <c r="AY120" s="166">
        <v>2.4299999999999999E-2</v>
      </c>
      <c r="AZ120" s="5"/>
      <c r="BA120" s="7"/>
      <c r="BB120" s="7"/>
    </row>
    <row r="121" spans="1:54" ht="297" x14ac:dyDescent="0.25">
      <c r="A121" s="137" t="s">
        <v>299</v>
      </c>
      <c r="B121" s="137" t="s">
        <v>299</v>
      </c>
      <c r="C121" s="137" t="s">
        <v>299</v>
      </c>
      <c r="D121" s="137" t="s">
        <v>647</v>
      </c>
      <c r="E121" s="138" t="s">
        <v>648</v>
      </c>
      <c r="F121" s="139" t="s">
        <v>302</v>
      </c>
      <c r="G121" s="140">
        <v>1</v>
      </c>
      <c r="H121" s="139"/>
      <c r="I121" s="141"/>
      <c r="J121" s="142"/>
      <c r="K121" s="143"/>
      <c r="L121" s="144"/>
      <c r="M121" s="142"/>
      <c r="N121" s="145"/>
      <c r="O121" s="145"/>
      <c r="P121" s="145"/>
      <c r="Q121" s="146" t="s">
        <v>303</v>
      </c>
      <c r="R121" s="147" t="s">
        <v>303</v>
      </c>
      <c r="S121" s="147" t="s">
        <v>303</v>
      </c>
      <c r="T121" s="147" t="s">
        <v>303</v>
      </c>
      <c r="U121" s="147" t="s">
        <v>303</v>
      </c>
      <c r="V121" s="148" t="s">
        <v>299</v>
      </c>
      <c r="W121" s="149" t="s">
        <v>299</v>
      </c>
      <c r="X121" s="150" t="s">
        <v>299</v>
      </c>
      <c r="Y121" s="151" t="s">
        <v>299</v>
      </c>
      <c r="Z121" s="152" t="s">
        <v>304</v>
      </c>
      <c r="AA121" s="153" t="s">
        <v>299</v>
      </c>
      <c r="AB121" s="153" t="s">
        <v>299</v>
      </c>
      <c r="AC121" s="153" t="s">
        <v>299</v>
      </c>
      <c r="AD121" s="154" t="s">
        <v>299</v>
      </c>
      <c r="AE121" s="155" t="s">
        <v>299</v>
      </c>
      <c r="AF121" s="155">
        <f>AH121/1.19</f>
        <v>4162678.9915966387</v>
      </c>
      <c r="AG121" s="155">
        <f>AF121*19%</f>
        <v>790909.00840336131</v>
      </c>
      <c r="AH121" s="155">
        <v>4953588</v>
      </c>
      <c r="AI121" s="156" t="s">
        <v>299</v>
      </c>
      <c r="AJ121" s="157" t="s">
        <v>299</v>
      </c>
      <c r="AK121" s="158" t="s">
        <v>299</v>
      </c>
      <c r="AL121" s="159" t="s">
        <v>299</v>
      </c>
      <c r="AM121" s="160" t="s">
        <v>305</v>
      </c>
      <c r="AN121" s="161" t="s">
        <v>299</v>
      </c>
      <c r="AO121" s="161" t="s">
        <v>299</v>
      </c>
      <c r="AP121" s="162" t="s">
        <v>299</v>
      </c>
      <c r="AQ121" s="163">
        <v>4022293</v>
      </c>
      <c r="AR121" s="164">
        <v>764236</v>
      </c>
      <c r="AS121" s="164">
        <v>4786529</v>
      </c>
      <c r="AT121" s="164">
        <v>4022293</v>
      </c>
      <c r="AU121" s="164">
        <v>4786529</v>
      </c>
      <c r="AV121" s="165">
        <f t="shared" si="27"/>
        <v>4474604</v>
      </c>
      <c r="AW121" s="165">
        <f t="shared" si="28"/>
        <v>4474604</v>
      </c>
      <c r="AX121" s="165" t="str">
        <f t="shared" si="29"/>
        <v/>
      </c>
      <c r="AY121" s="166">
        <v>2.4299999999999999E-2</v>
      </c>
      <c r="AZ121" s="5"/>
      <c r="BA121" s="7"/>
      <c r="BB121" s="7"/>
    </row>
    <row r="122" spans="1:54" ht="67.5" x14ac:dyDescent="0.25">
      <c r="A122" s="137" t="s">
        <v>229</v>
      </c>
      <c r="B122" s="137" t="s">
        <v>306</v>
      </c>
      <c r="C122" s="137">
        <v>44121707</v>
      </c>
      <c r="D122" s="137" t="s">
        <v>649</v>
      </c>
      <c r="E122" s="138" t="s">
        <v>650</v>
      </c>
      <c r="F122" s="139" t="s">
        <v>233</v>
      </c>
      <c r="G122" s="140">
        <v>1</v>
      </c>
      <c r="H122" s="139" t="s">
        <v>51</v>
      </c>
      <c r="I122" s="141" t="s">
        <v>247</v>
      </c>
      <c r="J122" s="142">
        <v>46071</v>
      </c>
      <c r="K122" s="143" t="s">
        <v>651</v>
      </c>
      <c r="L122" s="144" t="s">
        <v>241</v>
      </c>
      <c r="M122" s="142" t="s">
        <v>529</v>
      </c>
      <c r="N122" s="145">
        <v>7500</v>
      </c>
      <c r="O122" s="145" t="s">
        <v>238</v>
      </c>
      <c r="P122" s="145" t="s">
        <v>239</v>
      </c>
      <c r="Q122" s="146">
        <f t="shared" ref="Q122:Q128" si="67">IF(O122="IVA Incluido",(N122/1.19),N122)</f>
        <v>6302.5210084033615</v>
      </c>
      <c r="R122" s="147">
        <f t="shared" ref="R122:R128" si="68">IF(P122="Si tiene IVA",Q122*19%,0)</f>
        <v>1197.4789915966387</v>
      </c>
      <c r="S122" s="147">
        <f t="shared" ref="S122:S128" si="69">Q122+R122</f>
        <v>7500</v>
      </c>
      <c r="T122" s="147">
        <f t="shared" ref="T122:T128" si="70">IF(B122="","",(N122*G122))</f>
        <v>7500</v>
      </c>
      <c r="U122" s="147">
        <f t="shared" ref="U122:U128" si="71">IF(B122="","",(S122*G122))</f>
        <v>7500</v>
      </c>
      <c r="V122" s="148" t="s">
        <v>247</v>
      </c>
      <c r="W122" s="149">
        <v>46071</v>
      </c>
      <c r="X122" s="150" t="s">
        <v>313</v>
      </c>
      <c r="Y122" s="151" t="s">
        <v>241</v>
      </c>
      <c r="Z122" s="152" t="s">
        <v>553</v>
      </c>
      <c r="AA122" s="153">
        <v>8500</v>
      </c>
      <c r="AB122" s="153" t="s">
        <v>238</v>
      </c>
      <c r="AC122" s="153" t="s">
        <v>239</v>
      </c>
      <c r="AD122" s="154">
        <f t="shared" ref="AD122:AD128" si="72">IF(AB122="IVA Incluido",(AA122/1.19),AA122)</f>
        <v>7142.8571428571431</v>
      </c>
      <c r="AE122" s="155">
        <f t="shared" ref="AE122:AE128" si="73">IF(AC122="Si tiene IVA",AD122*19%,0)</f>
        <v>1357.1428571428571</v>
      </c>
      <c r="AF122" s="155">
        <f t="shared" ref="AF122:AF128" si="74">AD122+AE122</f>
        <v>8500</v>
      </c>
      <c r="AG122" s="155">
        <f t="shared" ref="AG122:AG128" si="75">IF(O122="","",(AA122*G122))</f>
        <v>8500</v>
      </c>
      <c r="AH122" s="155">
        <f t="shared" ref="AH122:AH128" si="76">IF(O122="","",(AF122*G122))</f>
        <v>8500</v>
      </c>
      <c r="AI122" s="156" t="s">
        <v>247</v>
      </c>
      <c r="AJ122" s="157">
        <v>46071</v>
      </c>
      <c r="AK122" s="158" t="s">
        <v>537</v>
      </c>
      <c r="AL122" s="159" t="s">
        <v>241</v>
      </c>
      <c r="AM122" s="160" t="s">
        <v>652</v>
      </c>
      <c r="AN122" s="161">
        <v>7400</v>
      </c>
      <c r="AO122" s="161" t="s">
        <v>245</v>
      </c>
      <c r="AP122" s="162" t="s">
        <v>239</v>
      </c>
      <c r="AQ122" s="163">
        <f t="shared" ref="AQ122:AQ128" si="77">IF(AO122="IVA Incluido",(AN122/1.19),AN122)</f>
        <v>7400</v>
      </c>
      <c r="AR122" s="164">
        <f t="shared" ref="AR122:AR128" si="78">IF(AP122="Si tiene IVA",AQ122*19%,0)</f>
        <v>1406</v>
      </c>
      <c r="AS122" s="164">
        <f t="shared" ref="AS122:AS128" si="79">AQ122+AR122</f>
        <v>8806</v>
      </c>
      <c r="AT122" s="164">
        <f t="shared" ref="AT122:AT128" si="80">IF(AB122="","",(AN122*G122))</f>
        <v>7400</v>
      </c>
      <c r="AU122" s="164">
        <f t="shared" ref="AU122:AU128" si="81">IF(AB122="","",(AS122*G122))</f>
        <v>8806</v>
      </c>
      <c r="AV122" s="165">
        <f t="shared" si="27"/>
        <v>8269</v>
      </c>
      <c r="AW122" s="165">
        <f t="shared" si="28"/>
        <v>8269</v>
      </c>
      <c r="AX122" s="165">
        <f t="shared" si="29"/>
        <v>683</v>
      </c>
      <c r="AY122" s="166">
        <f t="shared" ref="AY122:AY128" si="82">IF(N122="","",(AX122/AW122))</f>
        <v>8.2597653888015474E-2</v>
      </c>
      <c r="AZ122" s="5"/>
      <c r="BA122" s="7">
        <f>COUNTA(M122,Z122,AM122)</f>
        <v>3</v>
      </c>
      <c r="BB122" s="7"/>
    </row>
    <row r="123" spans="1:54" ht="81" x14ac:dyDescent="0.25">
      <c r="A123" s="137" t="s">
        <v>229</v>
      </c>
      <c r="B123" s="137" t="s">
        <v>306</v>
      </c>
      <c r="C123" s="137">
        <v>44121707</v>
      </c>
      <c r="D123" s="137" t="s">
        <v>653</v>
      </c>
      <c r="E123" s="138" t="s">
        <v>654</v>
      </c>
      <c r="F123" s="139" t="s">
        <v>233</v>
      </c>
      <c r="G123" s="140">
        <v>1</v>
      </c>
      <c r="H123" s="139" t="s">
        <v>51</v>
      </c>
      <c r="I123" s="141" t="s">
        <v>247</v>
      </c>
      <c r="J123" s="142">
        <v>46071</v>
      </c>
      <c r="K123" s="143" t="s">
        <v>537</v>
      </c>
      <c r="L123" s="144" t="s">
        <v>241</v>
      </c>
      <c r="M123" s="142" t="s">
        <v>652</v>
      </c>
      <c r="N123" s="145">
        <v>7000</v>
      </c>
      <c r="O123" s="145" t="s">
        <v>245</v>
      </c>
      <c r="P123" s="145" t="s">
        <v>239</v>
      </c>
      <c r="Q123" s="146">
        <f t="shared" si="67"/>
        <v>7000</v>
      </c>
      <c r="R123" s="147">
        <f t="shared" si="68"/>
        <v>1330</v>
      </c>
      <c r="S123" s="147">
        <f t="shared" si="69"/>
        <v>8330</v>
      </c>
      <c r="T123" s="147">
        <f t="shared" si="70"/>
        <v>7000</v>
      </c>
      <c r="U123" s="147">
        <f t="shared" si="71"/>
        <v>8330</v>
      </c>
      <c r="V123" s="148" t="s">
        <v>247</v>
      </c>
      <c r="W123" s="149">
        <v>46071</v>
      </c>
      <c r="X123" s="150" t="s">
        <v>655</v>
      </c>
      <c r="Y123" s="151" t="s">
        <v>236</v>
      </c>
      <c r="Z123" s="152" t="s">
        <v>656</v>
      </c>
      <c r="AA123" s="153">
        <v>7183</v>
      </c>
      <c r="AB123" s="153" t="s">
        <v>245</v>
      </c>
      <c r="AC123" s="153" t="s">
        <v>265</v>
      </c>
      <c r="AD123" s="154">
        <f t="shared" si="72"/>
        <v>7183</v>
      </c>
      <c r="AE123" s="155">
        <f t="shared" si="73"/>
        <v>0</v>
      </c>
      <c r="AF123" s="155">
        <f t="shared" si="74"/>
        <v>7183</v>
      </c>
      <c r="AG123" s="155">
        <f t="shared" si="75"/>
        <v>7183</v>
      </c>
      <c r="AH123" s="155">
        <f t="shared" si="76"/>
        <v>7183</v>
      </c>
      <c r="AI123" s="156" t="s">
        <v>247</v>
      </c>
      <c r="AJ123" s="157">
        <v>46071</v>
      </c>
      <c r="AK123" s="158" t="s">
        <v>657</v>
      </c>
      <c r="AL123" s="159" t="s">
        <v>241</v>
      </c>
      <c r="AM123" s="160" t="s">
        <v>612</v>
      </c>
      <c r="AN123" s="161">
        <v>8600</v>
      </c>
      <c r="AO123" s="161" t="s">
        <v>238</v>
      </c>
      <c r="AP123" s="162" t="s">
        <v>239</v>
      </c>
      <c r="AQ123" s="163">
        <f t="shared" si="77"/>
        <v>7226.8907563025214</v>
      </c>
      <c r="AR123" s="164">
        <f t="shared" si="78"/>
        <v>1373.1092436974791</v>
      </c>
      <c r="AS123" s="164">
        <f t="shared" si="79"/>
        <v>8600</v>
      </c>
      <c r="AT123" s="164">
        <f t="shared" si="80"/>
        <v>8600</v>
      </c>
      <c r="AU123" s="164">
        <f t="shared" si="81"/>
        <v>8600</v>
      </c>
      <c r="AV123" s="165">
        <f t="shared" si="27"/>
        <v>8038</v>
      </c>
      <c r="AW123" s="165">
        <f t="shared" si="28"/>
        <v>8038</v>
      </c>
      <c r="AX123" s="165">
        <f t="shared" si="29"/>
        <v>752</v>
      </c>
      <c r="AY123" s="166">
        <f t="shared" si="82"/>
        <v>9.3555610848469764E-2</v>
      </c>
      <c r="AZ123" s="5"/>
      <c r="BA123" s="7">
        <f>COUNTA(M123,Z123,AM123)</f>
        <v>3</v>
      </c>
      <c r="BB123" s="7" t="s">
        <v>267</v>
      </c>
    </row>
    <row r="124" spans="1:54" ht="81" x14ac:dyDescent="0.25">
      <c r="A124" s="137" t="s">
        <v>229</v>
      </c>
      <c r="B124" s="137" t="s">
        <v>288</v>
      </c>
      <c r="C124" s="137" t="s">
        <v>658</v>
      </c>
      <c r="D124" s="137" t="s">
        <v>659</v>
      </c>
      <c r="E124" s="138" t="s">
        <v>660</v>
      </c>
      <c r="F124" s="139" t="s">
        <v>233</v>
      </c>
      <c r="G124" s="140">
        <v>1</v>
      </c>
      <c r="H124" s="139" t="s">
        <v>51</v>
      </c>
      <c r="I124" s="141" t="s">
        <v>281</v>
      </c>
      <c r="J124" s="142">
        <v>46139</v>
      </c>
      <c r="K124" s="143" t="s">
        <v>324</v>
      </c>
      <c r="L124" s="144" t="s">
        <v>236</v>
      </c>
      <c r="M124" s="142" t="s">
        <v>325</v>
      </c>
      <c r="N124" s="145">
        <v>1957500</v>
      </c>
      <c r="O124" s="145" t="s">
        <v>245</v>
      </c>
      <c r="P124" s="145" t="s">
        <v>239</v>
      </c>
      <c r="Q124" s="146">
        <f t="shared" si="67"/>
        <v>1957500</v>
      </c>
      <c r="R124" s="147">
        <f t="shared" si="68"/>
        <v>371925</v>
      </c>
      <c r="S124" s="147">
        <f t="shared" si="69"/>
        <v>2329425</v>
      </c>
      <c r="T124" s="147">
        <f t="shared" si="70"/>
        <v>1957500</v>
      </c>
      <c r="U124" s="147">
        <f t="shared" si="71"/>
        <v>2329425</v>
      </c>
      <c r="V124" s="148" t="s">
        <v>516</v>
      </c>
      <c r="W124" s="149">
        <v>46139</v>
      </c>
      <c r="X124" s="150" t="s">
        <v>661</v>
      </c>
      <c r="Y124" s="151" t="s">
        <v>241</v>
      </c>
      <c r="Z124" s="152" t="s">
        <v>662</v>
      </c>
      <c r="AA124" s="153">
        <v>1850000</v>
      </c>
      <c r="AB124" s="153" t="s">
        <v>245</v>
      </c>
      <c r="AC124" s="153" t="s">
        <v>239</v>
      </c>
      <c r="AD124" s="154">
        <f t="shared" si="72"/>
        <v>1850000</v>
      </c>
      <c r="AE124" s="155">
        <f t="shared" si="73"/>
        <v>351500</v>
      </c>
      <c r="AF124" s="155">
        <f t="shared" si="74"/>
        <v>2201500</v>
      </c>
      <c r="AG124" s="155">
        <f t="shared" si="75"/>
        <v>1850000</v>
      </c>
      <c r="AH124" s="155">
        <f t="shared" si="76"/>
        <v>2201500</v>
      </c>
      <c r="AI124" s="156" t="s">
        <v>234</v>
      </c>
      <c r="AJ124" s="157">
        <v>46144</v>
      </c>
      <c r="AK124" s="158" t="s">
        <v>663</v>
      </c>
      <c r="AL124" s="159" t="s">
        <v>234</v>
      </c>
      <c r="AM124" s="160" t="s">
        <v>664</v>
      </c>
      <c r="AN124" s="161">
        <v>1100000</v>
      </c>
      <c r="AO124" s="161" t="s">
        <v>245</v>
      </c>
      <c r="AP124" s="162" t="s">
        <v>239</v>
      </c>
      <c r="AQ124" s="163">
        <f t="shared" si="77"/>
        <v>1100000</v>
      </c>
      <c r="AR124" s="164">
        <f t="shared" si="78"/>
        <v>209000</v>
      </c>
      <c r="AS124" s="164">
        <f t="shared" si="79"/>
        <v>1309000</v>
      </c>
      <c r="AT124" s="164">
        <f t="shared" si="80"/>
        <v>1100000</v>
      </c>
      <c r="AU124" s="164">
        <f t="shared" si="81"/>
        <v>1309000</v>
      </c>
      <c r="AV124" s="165">
        <f t="shared" si="27"/>
        <v>1946642</v>
      </c>
      <c r="AW124" s="165">
        <f t="shared" si="28"/>
        <v>1946642</v>
      </c>
      <c r="AX124" s="165">
        <f t="shared" si="29"/>
        <v>555906</v>
      </c>
      <c r="AY124" s="166">
        <f t="shared" si="82"/>
        <v>0.28557176923132244</v>
      </c>
      <c r="AZ124" s="5"/>
      <c r="BA124" s="7">
        <f>COUNTA(M124,Z124,AM124)</f>
        <v>3</v>
      </c>
      <c r="BB124" s="7"/>
    </row>
    <row r="125" spans="1:54" ht="67.5" x14ac:dyDescent="0.25">
      <c r="A125" s="137" t="s">
        <v>229</v>
      </c>
      <c r="B125" s="137" t="s">
        <v>288</v>
      </c>
      <c r="C125" s="137">
        <v>49121503</v>
      </c>
      <c r="D125" s="137" t="s">
        <v>665</v>
      </c>
      <c r="E125" s="138" t="s">
        <v>666</v>
      </c>
      <c r="F125" s="139" t="s">
        <v>233</v>
      </c>
      <c r="G125" s="140">
        <v>1</v>
      </c>
      <c r="H125" s="139" t="s">
        <v>51</v>
      </c>
      <c r="I125" s="141" t="s">
        <v>234</v>
      </c>
      <c r="J125" s="142">
        <v>46153</v>
      </c>
      <c r="K125" s="143" t="s">
        <v>667</v>
      </c>
      <c r="L125" s="144" t="s">
        <v>241</v>
      </c>
      <c r="M125" s="142" t="s">
        <v>668</v>
      </c>
      <c r="N125" s="145">
        <v>1590000</v>
      </c>
      <c r="O125" s="145" t="s">
        <v>238</v>
      </c>
      <c r="P125" s="145" t="s">
        <v>239</v>
      </c>
      <c r="Q125" s="146">
        <f t="shared" si="67"/>
        <v>1336134.4537815126</v>
      </c>
      <c r="R125" s="147">
        <f t="shared" si="68"/>
        <v>253865.5462184874</v>
      </c>
      <c r="S125" s="147">
        <f t="shared" si="69"/>
        <v>1590000</v>
      </c>
      <c r="T125" s="147">
        <f t="shared" si="70"/>
        <v>1590000</v>
      </c>
      <c r="U125" s="147">
        <f t="shared" si="71"/>
        <v>1590000</v>
      </c>
      <c r="V125" s="148" t="s">
        <v>234</v>
      </c>
      <c r="W125" s="149">
        <v>46153</v>
      </c>
      <c r="X125" s="150" t="s">
        <v>669</v>
      </c>
      <c r="Y125" s="151" t="s">
        <v>241</v>
      </c>
      <c r="Z125" s="152" t="s">
        <v>669</v>
      </c>
      <c r="AA125" s="153">
        <v>1400000</v>
      </c>
      <c r="AB125" s="153" t="s">
        <v>245</v>
      </c>
      <c r="AC125" s="153" t="s">
        <v>239</v>
      </c>
      <c r="AD125" s="154">
        <f t="shared" si="72"/>
        <v>1400000</v>
      </c>
      <c r="AE125" s="155">
        <f t="shared" si="73"/>
        <v>266000</v>
      </c>
      <c r="AF125" s="155">
        <f t="shared" si="74"/>
        <v>1666000</v>
      </c>
      <c r="AG125" s="155">
        <f t="shared" si="75"/>
        <v>1400000</v>
      </c>
      <c r="AH125" s="155">
        <f t="shared" si="76"/>
        <v>1666000</v>
      </c>
      <c r="AI125" s="156" t="s">
        <v>234</v>
      </c>
      <c r="AJ125" s="157">
        <v>46153</v>
      </c>
      <c r="AK125" s="158" t="s">
        <v>670</v>
      </c>
      <c r="AL125" s="159" t="s">
        <v>241</v>
      </c>
      <c r="AM125" s="160" t="s">
        <v>671</v>
      </c>
      <c r="AN125" s="161">
        <v>1590000</v>
      </c>
      <c r="AO125" s="161" t="s">
        <v>238</v>
      </c>
      <c r="AP125" s="162" t="s">
        <v>239</v>
      </c>
      <c r="AQ125" s="163">
        <f t="shared" si="77"/>
        <v>1336134.4537815126</v>
      </c>
      <c r="AR125" s="164">
        <f t="shared" si="78"/>
        <v>253865.5462184874</v>
      </c>
      <c r="AS125" s="164">
        <f t="shared" si="79"/>
        <v>1590000</v>
      </c>
      <c r="AT125" s="164">
        <f t="shared" si="80"/>
        <v>1590000</v>
      </c>
      <c r="AU125" s="164">
        <f t="shared" si="81"/>
        <v>1590000</v>
      </c>
      <c r="AV125" s="165">
        <f t="shared" si="27"/>
        <v>1615333</v>
      </c>
      <c r="AW125" s="165">
        <f t="shared" si="28"/>
        <v>1615333</v>
      </c>
      <c r="AX125" s="165">
        <f t="shared" si="29"/>
        <v>43879</v>
      </c>
      <c r="AY125" s="166">
        <f t="shared" si="82"/>
        <v>2.7164058432533725E-2</v>
      </c>
      <c r="AZ125" s="5"/>
      <c r="BA125" s="7"/>
      <c r="BB125" s="7"/>
    </row>
    <row r="126" spans="1:54" ht="67.5" x14ac:dyDescent="0.25">
      <c r="A126" s="137" t="s">
        <v>229</v>
      </c>
      <c r="B126" s="137" t="s">
        <v>306</v>
      </c>
      <c r="C126" s="137">
        <v>44121709</v>
      </c>
      <c r="D126" s="137" t="s">
        <v>672</v>
      </c>
      <c r="E126" s="138" t="s">
        <v>673</v>
      </c>
      <c r="F126" s="139" t="s">
        <v>233</v>
      </c>
      <c r="G126" s="140">
        <v>1</v>
      </c>
      <c r="H126" s="139" t="s">
        <v>51</v>
      </c>
      <c r="I126" s="141" t="s">
        <v>247</v>
      </c>
      <c r="J126" s="142">
        <v>46071</v>
      </c>
      <c r="K126" s="143" t="s">
        <v>311</v>
      </c>
      <c r="L126" s="144" t="s">
        <v>241</v>
      </c>
      <c r="M126" s="142" t="s">
        <v>312</v>
      </c>
      <c r="N126" s="145">
        <v>8600</v>
      </c>
      <c r="O126" s="145" t="s">
        <v>245</v>
      </c>
      <c r="P126" s="145" t="s">
        <v>239</v>
      </c>
      <c r="Q126" s="146">
        <f t="shared" si="67"/>
        <v>8600</v>
      </c>
      <c r="R126" s="147">
        <f t="shared" si="68"/>
        <v>1634</v>
      </c>
      <c r="S126" s="147">
        <f t="shared" si="69"/>
        <v>10234</v>
      </c>
      <c r="T126" s="147">
        <f t="shared" si="70"/>
        <v>8600</v>
      </c>
      <c r="U126" s="147">
        <f t="shared" si="71"/>
        <v>10234</v>
      </c>
      <c r="V126" s="148" t="s">
        <v>247</v>
      </c>
      <c r="W126" s="149">
        <v>46071</v>
      </c>
      <c r="X126" s="150" t="s">
        <v>535</v>
      </c>
      <c r="Y126" s="151" t="s">
        <v>241</v>
      </c>
      <c r="Z126" s="152" t="s">
        <v>536</v>
      </c>
      <c r="AA126" s="153">
        <v>10018</v>
      </c>
      <c r="AB126" s="153" t="s">
        <v>245</v>
      </c>
      <c r="AC126" s="153" t="s">
        <v>239</v>
      </c>
      <c r="AD126" s="154">
        <f t="shared" si="72"/>
        <v>10018</v>
      </c>
      <c r="AE126" s="155">
        <f t="shared" si="73"/>
        <v>1903.42</v>
      </c>
      <c r="AF126" s="155">
        <f t="shared" si="74"/>
        <v>11921.42</v>
      </c>
      <c r="AG126" s="155">
        <f t="shared" si="75"/>
        <v>10018</v>
      </c>
      <c r="AH126" s="155">
        <f t="shared" si="76"/>
        <v>11921.42</v>
      </c>
      <c r="AI126" s="156" t="s">
        <v>247</v>
      </c>
      <c r="AJ126" s="157">
        <v>46071</v>
      </c>
      <c r="AK126" s="158" t="s">
        <v>537</v>
      </c>
      <c r="AL126" s="159" t="s">
        <v>241</v>
      </c>
      <c r="AM126" s="160" t="s">
        <v>538</v>
      </c>
      <c r="AN126" s="161">
        <v>8151</v>
      </c>
      <c r="AO126" s="161" t="s">
        <v>245</v>
      </c>
      <c r="AP126" s="162" t="s">
        <v>239</v>
      </c>
      <c r="AQ126" s="163">
        <f t="shared" si="77"/>
        <v>8151</v>
      </c>
      <c r="AR126" s="164">
        <f t="shared" si="78"/>
        <v>1548.69</v>
      </c>
      <c r="AS126" s="164">
        <f t="shared" si="79"/>
        <v>9699.69</v>
      </c>
      <c r="AT126" s="164">
        <f t="shared" si="80"/>
        <v>8151</v>
      </c>
      <c r="AU126" s="164">
        <f t="shared" si="81"/>
        <v>9699.69</v>
      </c>
      <c r="AV126" s="165">
        <f t="shared" si="27"/>
        <v>10618</v>
      </c>
      <c r="AW126" s="165">
        <f t="shared" si="28"/>
        <v>10618</v>
      </c>
      <c r="AX126" s="165">
        <f t="shared" si="29"/>
        <v>1160</v>
      </c>
      <c r="AY126" s="166">
        <f t="shared" si="82"/>
        <v>0.10924844603503485</v>
      </c>
      <c r="AZ126" s="5"/>
      <c r="BA126" s="7">
        <f>COUNTA(M126,Z126,AM126)</f>
        <v>3</v>
      </c>
      <c r="BB126" s="7"/>
    </row>
    <row r="127" spans="1:54" ht="67.5" x14ac:dyDescent="0.25">
      <c r="A127" s="137" t="s">
        <v>229</v>
      </c>
      <c r="B127" s="137" t="s">
        <v>306</v>
      </c>
      <c r="C127" s="137">
        <v>14111531</v>
      </c>
      <c r="D127" s="137" t="s">
        <v>674</v>
      </c>
      <c r="E127" s="138" t="s">
        <v>675</v>
      </c>
      <c r="F127" s="139" t="s">
        <v>233</v>
      </c>
      <c r="G127" s="140">
        <v>1</v>
      </c>
      <c r="H127" s="139" t="s">
        <v>51</v>
      </c>
      <c r="I127" s="141" t="s">
        <v>247</v>
      </c>
      <c r="J127" s="142">
        <v>46071</v>
      </c>
      <c r="K127" s="143" t="s">
        <v>676</v>
      </c>
      <c r="L127" s="144" t="s">
        <v>241</v>
      </c>
      <c r="M127" s="142" t="s">
        <v>293</v>
      </c>
      <c r="N127" s="145">
        <v>5990</v>
      </c>
      <c r="O127" s="145" t="s">
        <v>238</v>
      </c>
      <c r="P127" s="145" t="s">
        <v>239</v>
      </c>
      <c r="Q127" s="146">
        <f t="shared" si="67"/>
        <v>5033.6134453781515</v>
      </c>
      <c r="R127" s="147">
        <f t="shared" si="68"/>
        <v>956.38655462184875</v>
      </c>
      <c r="S127" s="147">
        <f t="shared" si="69"/>
        <v>5990</v>
      </c>
      <c r="T127" s="147">
        <f t="shared" si="70"/>
        <v>5990</v>
      </c>
      <c r="U127" s="147">
        <f t="shared" si="71"/>
        <v>5990</v>
      </c>
      <c r="V127" s="148" t="s">
        <v>677</v>
      </c>
      <c r="W127" s="149">
        <v>46071</v>
      </c>
      <c r="X127" s="150" t="s">
        <v>678</v>
      </c>
      <c r="Y127" s="151" t="s">
        <v>241</v>
      </c>
      <c r="Z127" s="152" t="s">
        <v>679</v>
      </c>
      <c r="AA127" s="153">
        <v>6500</v>
      </c>
      <c r="AB127" s="153" t="s">
        <v>238</v>
      </c>
      <c r="AC127" s="153" t="s">
        <v>239</v>
      </c>
      <c r="AD127" s="168">
        <f t="shared" si="72"/>
        <v>5462.1848739495799</v>
      </c>
      <c r="AE127" s="155">
        <f t="shared" si="73"/>
        <v>1037.8151260504203</v>
      </c>
      <c r="AF127" s="155">
        <f t="shared" si="74"/>
        <v>6500</v>
      </c>
      <c r="AG127" s="155">
        <f t="shared" si="75"/>
        <v>6500</v>
      </c>
      <c r="AH127" s="155">
        <f t="shared" si="76"/>
        <v>6500</v>
      </c>
      <c r="AI127" s="156" t="s">
        <v>247</v>
      </c>
      <c r="AJ127" s="157">
        <v>46071</v>
      </c>
      <c r="AK127" s="158" t="s">
        <v>494</v>
      </c>
      <c r="AL127" s="159" t="s">
        <v>241</v>
      </c>
      <c r="AM127" s="160" t="s">
        <v>529</v>
      </c>
      <c r="AN127" s="161">
        <v>5000</v>
      </c>
      <c r="AO127" s="161" t="s">
        <v>238</v>
      </c>
      <c r="AP127" s="162" t="s">
        <v>239</v>
      </c>
      <c r="AQ127" s="163">
        <f t="shared" si="77"/>
        <v>4201.680672268908</v>
      </c>
      <c r="AR127" s="163">
        <f t="shared" si="78"/>
        <v>798.31932773109247</v>
      </c>
      <c r="AS127" s="163">
        <f t="shared" si="79"/>
        <v>5000</v>
      </c>
      <c r="AT127" s="163">
        <f t="shared" si="80"/>
        <v>5000</v>
      </c>
      <c r="AU127" s="163">
        <f t="shared" si="81"/>
        <v>5000</v>
      </c>
      <c r="AV127" s="165">
        <f t="shared" si="27"/>
        <v>5830</v>
      </c>
      <c r="AW127" s="165">
        <f t="shared" si="28"/>
        <v>5830</v>
      </c>
      <c r="AX127" s="165">
        <f t="shared" si="29"/>
        <v>763</v>
      </c>
      <c r="AY127" s="166">
        <f t="shared" si="82"/>
        <v>0.13087478559176671</v>
      </c>
      <c r="AZ127" s="5"/>
      <c r="BA127" s="7">
        <f>COUNTA(M127,Z127,AM127)</f>
        <v>3</v>
      </c>
      <c r="BB127" s="7"/>
    </row>
    <row r="128" spans="1:54" ht="94.5" x14ac:dyDescent="0.25">
      <c r="A128" s="137" t="s">
        <v>229</v>
      </c>
      <c r="B128" s="137" t="s">
        <v>306</v>
      </c>
      <c r="C128" s="137">
        <v>14111531</v>
      </c>
      <c r="D128" s="137" t="s">
        <v>680</v>
      </c>
      <c r="E128" s="138" t="s">
        <v>681</v>
      </c>
      <c r="F128" s="139" t="s">
        <v>233</v>
      </c>
      <c r="G128" s="140">
        <v>1</v>
      </c>
      <c r="H128" s="139" t="s">
        <v>51</v>
      </c>
      <c r="I128" s="141" t="s">
        <v>247</v>
      </c>
      <c r="J128" s="142">
        <v>46071</v>
      </c>
      <c r="K128" s="143" t="s">
        <v>535</v>
      </c>
      <c r="L128" s="144" t="s">
        <v>241</v>
      </c>
      <c r="M128" s="142" t="s">
        <v>536</v>
      </c>
      <c r="N128" s="145">
        <v>18890</v>
      </c>
      <c r="O128" s="145" t="s">
        <v>245</v>
      </c>
      <c r="P128" s="145" t="s">
        <v>245</v>
      </c>
      <c r="Q128" s="146">
        <f t="shared" si="67"/>
        <v>18890</v>
      </c>
      <c r="R128" s="147">
        <f t="shared" si="68"/>
        <v>0</v>
      </c>
      <c r="S128" s="147">
        <f t="shared" si="69"/>
        <v>18890</v>
      </c>
      <c r="T128" s="147">
        <f t="shared" si="70"/>
        <v>18890</v>
      </c>
      <c r="U128" s="147">
        <f t="shared" si="71"/>
        <v>18890</v>
      </c>
      <c r="V128" s="148" t="s">
        <v>247</v>
      </c>
      <c r="W128" s="149">
        <v>46071</v>
      </c>
      <c r="X128" s="150" t="s">
        <v>313</v>
      </c>
      <c r="Y128" s="151" t="s">
        <v>241</v>
      </c>
      <c r="Z128" s="152" t="s">
        <v>553</v>
      </c>
      <c r="AA128" s="153">
        <v>21200</v>
      </c>
      <c r="AB128" s="153" t="s">
        <v>238</v>
      </c>
      <c r="AC128" s="153" t="s">
        <v>239</v>
      </c>
      <c r="AD128" s="154">
        <f t="shared" si="72"/>
        <v>17815.126050420167</v>
      </c>
      <c r="AE128" s="155">
        <f t="shared" si="73"/>
        <v>3384.8739495798318</v>
      </c>
      <c r="AF128" s="155">
        <f t="shared" si="74"/>
        <v>21200</v>
      </c>
      <c r="AG128" s="155">
        <f t="shared" si="75"/>
        <v>21200</v>
      </c>
      <c r="AH128" s="155">
        <f t="shared" si="76"/>
        <v>21200</v>
      </c>
      <c r="AI128" s="156" t="s">
        <v>247</v>
      </c>
      <c r="AJ128" s="157">
        <v>46071</v>
      </c>
      <c r="AK128" s="158" t="s">
        <v>682</v>
      </c>
      <c r="AL128" s="159" t="s">
        <v>241</v>
      </c>
      <c r="AM128" s="160" t="s">
        <v>683</v>
      </c>
      <c r="AN128" s="161">
        <v>19900</v>
      </c>
      <c r="AO128" s="161" t="s">
        <v>238</v>
      </c>
      <c r="AP128" s="162" t="s">
        <v>239</v>
      </c>
      <c r="AQ128" s="163">
        <f t="shared" si="77"/>
        <v>16722.689075630253</v>
      </c>
      <c r="AR128" s="163">
        <f t="shared" si="78"/>
        <v>3177.3109243697481</v>
      </c>
      <c r="AS128" s="163">
        <f t="shared" si="79"/>
        <v>19900</v>
      </c>
      <c r="AT128" s="163">
        <f t="shared" si="80"/>
        <v>19900</v>
      </c>
      <c r="AU128" s="163">
        <f t="shared" si="81"/>
        <v>19900</v>
      </c>
      <c r="AV128" s="165">
        <f t="shared" si="27"/>
        <v>19997</v>
      </c>
      <c r="AW128" s="165">
        <f t="shared" si="28"/>
        <v>19997</v>
      </c>
      <c r="AX128" s="165">
        <f t="shared" si="29"/>
        <v>1158</v>
      </c>
      <c r="AY128" s="166">
        <f t="shared" si="82"/>
        <v>5.790868630294544E-2</v>
      </c>
      <c r="AZ128" s="5"/>
      <c r="BA128" s="7">
        <f>COUNTA(M128,Z128,AM128)</f>
        <v>3</v>
      </c>
      <c r="BB128" s="7" t="s">
        <v>684</v>
      </c>
    </row>
    <row r="129" spans="1:54" ht="297" x14ac:dyDescent="0.25">
      <c r="A129" s="137" t="s">
        <v>299</v>
      </c>
      <c r="B129" s="137" t="s">
        <v>299</v>
      </c>
      <c r="C129" s="137" t="s">
        <v>299</v>
      </c>
      <c r="D129" s="137" t="s">
        <v>685</v>
      </c>
      <c r="E129" s="138" t="s">
        <v>686</v>
      </c>
      <c r="F129" s="139" t="s">
        <v>302</v>
      </c>
      <c r="G129" s="140">
        <v>1</v>
      </c>
      <c r="H129" s="139"/>
      <c r="I129" s="141"/>
      <c r="J129" s="142"/>
      <c r="K129" s="143"/>
      <c r="L129" s="144"/>
      <c r="M129" s="142"/>
      <c r="N129" s="145"/>
      <c r="O129" s="145"/>
      <c r="P129" s="145"/>
      <c r="Q129" s="146" t="s">
        <v>303</v>
      </c>
      <c r="R129" s="147" t="s">
        <v>303</v>
      </c>
      <c r="S129" s="147" t="s">
        <v>303</v>
      </c>
      <c r="T129" s="147" t="s">
        <v>303</v>
      </c>
      <c r="U129" s="147" t="s">
        <v>303</v>
      </c>
      <c r="V129" s="148" t="s">
        <v>299</v>
      </c>
      <c r="W129" s="149" t="s">
        <v>299</v>
      </c>
      <c r="X129" s="150" t="s">
        <v>299</v>
      </c>
      <c r="Y129" s="151" t="s">
        <v>299</v>
      </c>
      <c r="Z129" s="152" t="s">
        <v>304</v>
      </c>
      <c r="AA129" s="153" t="s">
        <v>299</v>
      </c>
      <c r="AB129" s="153" t="s">
        <v>299</v>
      </c>
      <c r="AC129" s="153" t="s">
        <v>299</v>
      </c>
      <c r="AD129" s="154" t="s">
        <v>299</v>
      </c>
      <c r="AE129" s="155" t="s">
        <v>299</v>
      </c>
      <c r="AF129" s="155">
        <f>AH129/1.19</f>
        <v>16641.176470588234</v>
      </c>
      <c r="AG129" s="155">
        <f>AF129*19%</f>
        <v>3161.8235294117644</v>
      </c>
      <c r="AH129" s="155">
        <v>19803</v>
      </c>
      <c r="AI129" s="156" t="s">
        <v>299</v>
      </c>
      <c r="AJ129" s="157" t="s">
        <v>299</v>
      </c>
      <c r="AK129" s="158" t="s">
        <v>299</v>
      </c>
      <c r="AL129" s="159" t="s">
        <v>299</v>
      </c>
      <c r="AM129" s="160" t="s">
        <v>305</v>
      </c>
      <c r="AN129" s="161" t="s">
        <v>299</v>
      </c>
      <c r="AO129" s="161" t="s">
        <v>299</v>
      </c>
      <c r="AP129" s="162" t="s">
        <v>299</v>
      </c>
      <c r="AQ129" s="163">
        <v>16395</v>
      </c>
      <c r="AR129" s="164">
        <v>3115</v>
      </c>
      <c r="AS129" s="164">
        <v>19510</v>
      </c>
      <c r="AT129" s="164">
        <v>16395</v>
      </c>
      <c r="AU129" s="164">
        <v>19510</v>
      </c>
      <c r="AV129" s="165">
        <f t="shared" si="27"/>
        <v>18076</v>
      </c>
      <c r="AW129" s="165">
        <f t="shared" si="28"/>
        <v>18076</v>
      </c>
      <c r="AX129" s="165" t="str">
        <f t="shared" si="29"/>
        <v/>
      </c>
      <c r="AY129" s="166">
        <v>1.0500000000000001E-2</v>
      </c>
      <c r="AZ129" s="5"/>
      <c r="BA129" s="7"/>
      <c r="BB129" s="7"/>
    </row>
    <row r="130" spans="1:54" ht="297" x14ac:dyDescent="0.25">
      <c r="A130" s="137" t="s">
        <v>299</v>
      </c>
      <c r="B130" s="137" t="s">
        <v>299</v>
      </c>
      <c r="C130" s="137" t="s">
        <v>299</v>
      </c>
      <c r="D130" s="137" t="s">
        <v>687</v>
      </c>
      <c r="E130" s="138" t="s">
        <v>688</v>
      </c>
      <c r="F130" s="139" t="s">
        <v>302</v>
      </c>
      <c r="G130" s="140">
        <v>1</v>
      </c>
      <c r="H130" s="139"/>
      <c r="I130" s="141"/>
      <c r="J130" s="142"/>
      <c r="K130" s="143"/>
      <c r="L130" s="144"/>
      <c r="M130" s="142"/>
      <c r="N130" s="145"/>
      <c r="O130" s="145"/>
      <c r="P130" s="145"/>
      <c r="Q130" s="146" t="s">
        <v>303</v>
      </c>
      <c r="R130" s="147" t="s">
        <v>303</v>
      </c>
      <c r="S130" s="147" t="s">
        <v>303</v>
      </c>
      <c r="T130" s="147" t="s">
        <v>303</v>
      </c>
      <c r="U130" s="147" t="s">
        <v>303</v>
      </c>
      <c r="V130" s="148" t="s">
        <v>299</v>
      </c>
      <c r="W130" s="149" t="s">
        <v>299</v>
      </c>
      <c r="X130" s="150" t="s">
        <v>299</v>
      </c>
      <c r="Y130" s="151" t="s">
        <v>299</v>
      </c>
      <c r="Z130" s="152" t="s">
        <v>304</v>
      </c>
      <c r="AA130" s="153" t="s">
        <v>299</v>
      </c>
      <c r="AB130" s="153" t="s">
        <v>299</v>
      </c>
      <c r="AC130" s="153" t="s">
        <v>299</v>
      </c>
      <c r="AD130" s="154" t="s">
        <v>299</v>
      </c>
      <c r="AE130" s="155" t="s">
        <v>299</v>
      </c>
      <c r="AF130" s="155">
        <f>AH130/1.19</f>
        <v>1191859.6638655462</v>
      </c>
      <c r="AG130" s="155">
        <f>AF130*19%</f>
        <v>226453.3361344538</v>
      </c>
      <c r="AH130" s="155">
        <v>1418313</v>
      </c>
      <c r="AI130" s="156" t="s">
        <v>299</v>
      </c>
      <c r="AJ130" s="157" t="s">
        <v>299</v>
      </c>
      <c r="AK130" s="158" t="s">
        <v>299</v>
      </c>
      <c r="AL130" s="159" t="s">
        <v>299</v>
      </c>
      <c r="AM130" s="160" t="s">
        <v>305</v>
      </c>
      <c r="AN130" s="161" t="s">
        <v>299</v>
      </c>
      <c r="AO130" s="161" t="s">
        <v>299</v>
      </c>
      <c r="AP130" s="162" t="s">
        <v>299</v>
      </c>
      <c r="AQ130" s="163">
        <v>1157309</v>
      </c>
      <c r="AR130" s="164">
        <v>219889</v>
      </c>
      <c r="AS130" s="164">
        <v>1377198</v>
      </c>
      <c r="AT130" s="164">
        <v>1157309</v>
      </c>
      <c r="AU130" s="164">
        <v>1377198</v>
      </c>
      <c r="AV130" s="165">
        <f t="shared" si="27"/>
        <v>1284529</v>
      </c>
      <c r="AW130" s="165">
        <f t="shared" si="28"/>
        <v>1284529</v>
      </c>
      <c r="AX130" s="165" t="str">
        <f t="shared" si="29"/>
        <v/>
      </c>
      <c r="AY130" s="166">
        <v>2.0799999999999999E-2</v>
      </c>
      <c r="AZ130" s="5"/>
      <c r="BA130" s="7"/>
      <c r="BB130" s="7"/>
    </row>
    <row r="131" spans="1:54" ht="297" x14ac:dyDescent="0.25">
      <c r="A131" s="137" t="s">
        <v>299</v>
      </c>
      <c r="B131" s="137" t="s">
        <v>299</v>
      </c>
      <c r="C131" s="137" t="s">
        <v>299</v>
      </c>
      <c r="D131" s="137" t="s">
        <v>689</v>
      </c>
      <c r="E131" s="138" t="s">
        <v>690</v>
      </c>
      <c r="F131" s="139" t="s">
        <v>302</v>
      </c>
      <c r="G131" s="140">
        <v>1</v>
      </c>
      <c r="H131" s="139"/>
      <c r="I131" s="141"/>
      <c r="J131" s="142"/>
      <c r="K131" s="143"/>
      <c r="L131" s="144"/>
      <c r="M131" s="142"/>
      <c r="N131" s="145"/>
      <c r="O131" s="145"/>
      <c r="P131" s="145"/>
      <c r="Q131" s="146" t="s">
        <v>303</v>
      </c>
      <c r="R131" s="147" t="s">
        <v>303</v>
      </c>
      <c r="S131" s="147" t="s">
        <v>303</v>
      </c>
      <c r="T131" s="147" t="s">
        <v>303</v>
      </c>
      <c r="U131" s="147" t="s">
        <v>303</v>
      </c>
      <c r="V131" s="148" t="s">
        <v>299</v>
      </c>
      <c r="W131" s="149" t="s">
        <v>299</v>
      </c>
      <c r="X131" s="150" t="s">
        <v>299</v>
      </c>
      <c r="Y131" s="151" t="s">
        <v>299</v>
      </c>
      <c r="Z131" s="152" t="s">
        <v>304</v>
      </c>
      <c r="AA131" s="153" t="s">
        <v>299</v>
      </c>
      <c r="AB131" s="153" t="s">
        <v>299</v>
      </c>
      <c r="AC131" s="153" t="s">
        <v>299</v>
      </c>
      <c r="AD131" s="154" t="s">
        <v>299</v>
      </c>
      <c r="AE131" s="155" t="s">
        <v>299</v>
      </c>
      <c r="AF131" s="155">
        <f>AH131/1.19</f>
        <v>1293627.7310924369</v>
      </c>
      <c r="AG131" s="155">
        <f>AF131*19%</f>
        <v>245789.26890756303</v>
      </c>
      <c r="AH131" s="155">
        <v>1539417</v>
      </c>
      <c r="AI131" s="156" t="s">
        <v>299</v>
      </c>
      <c r="AJ131" s="157" t="s">
        <v>299</v>
      </c>
      <c r="AK131" s="158" t="s">
        <v>299</v>
      </c>
      <c r="AL131" s="159" t="s">
        <v>299</v>
      </c>
      <c r="AM131" s="160" t="s">
        <v>305</v>
      </c>
      <c r="AN131" s="161" t="s">
        <v>299</v>
      </c>
      <c r="AO131" s="161" t="s">
        <v>299</v>
      </c>
      <c r="AP131" s="162" t="s">
        <v>299</v>
      </c>
      <c r="AQ131" s="163">
        <v>1256128</v>
      </c>
      <c r="AR131" s="164">
        <v>238664</v>
      </c>
      <c r="AS131" s="164">
        <v>1494792</v>
      </c>
      <c r="AT131" s="164">
        <v>1256128</v>
      </c>
      <c r="AU131" s="164">
        <v>1494792</v>
      </c>
      <c r="AV131" s="165">
        <f t="shared" si="27"/>
        <v>1394210</v>
      </c>
      <c r="AW131" s="165">
        <f t="shared" si="28"/>
        <v>1394210</v>
      </c>
      <c r="AX131" s="165" t="str">
        <f t="shared" si="29"/>
        <v/>
      </c>
      <c r="AY131" s="166">
        <v>2.0799999999999999E-2</v>
      </c>
      <c r="AZ131" s="5"/>
      <c r="BA131" s="7"/>
      <c r="BB131" s="7"/>
    </row>
    <row r="132" spans="1:54" ht="297" x14ac:dyDescent="0.25">
      <c r="A132" s="137" t="s">
        <v>299</v>
      </c>
      <c r="B132" s="137" t="s">
        <v>299</v>
      </c>
      <c r="C132" s="137" t="s">
        <v>299</v>
      </c>
      <c r="D132" s="137" t="s">
        <v>691</v>
      </c>
      <c r="E132" s="138" t="s">
        <v>692</v>
      </c>
      <c r="F132" s="139" t="s">
        <v>302</v>
      </c>
      <c r="G132" s="140">
        <v>1</v>
      </c>
      <c r="H132" s="139"/>
      <c r="I132" s="141"/>
      <c r="J132" s="142"/>
      <c r="K132" s="143"/>
      <c r="L132" s="144"/>
      <c r="M132" s="142"/>
      <c r="N132" s="145"/>
      <c r="O132" s="145"/>
      <c r="P132" s="145"/>
      <c r="Q132" s="146" t="s">
        <v>303</v>
      </c>
      <c r="R132" s="147" t="s">
        <v>303</v>
      </c>
      <c r="S132" s="147" t="s">
        <v>303</v>
      </c>
      <c r="T132" s="147" t="s">
        <v>303</v>
      </c>
      <c r="U132" s="147" t="s">
        <v>303</v>
      </c>
      <c r="V132" s="148" t="s">
        <v>299</v>
      </c>
      <c r="W132" s="149" t="s">
        <v>299</v>
      </c>
      <c r="X132" s="150" t="s">
        <v>299</v>
      </c>
      <c r="Y132" s="151" t="s">
        <v>299</v>
      </c>
      <c r="Z132" s="152" t="s">
        <v>304</v>
      </c>
      <c r="AA132" s="153" t="s">
        <v>299</v>
      </c>
      <c r="AB132" s="153" t="s">
        <v>299</v>
      </c>
      <c r="AC132" s="153" t="s">
        <v>299</v>
      </c>
      <c r="AD132" s="154" t="s">
        <v>299</v>
      </c>
      <c r="AE132" s="155" t="s">
        <v>299</v>
      </c>
      <c r="AF132" s="155">
        <f>AH132/1.19</f>
        <v>2651329.411764706</v>
      </c>
      <c r="AG132" s="155">
        <f>AF132*19%</f>
        <v>503752.58823529416</v>
      </c>
      <c r="AH132" s="155">
        <v>3155082</v>
      </c>
      <c r="AI132" s="156" t="s">
        <v>299</v>
      </c>
      <c r="AJ132" s="157" t="s">
        <v>299</v>
      </c>
      <c r="AK132" s="158" t="s">
        <v>299</v>
      </c>
      <c r="AL132" s="159" t="s">
        <v>299</v>
      </c>
      <c r="AM132" s="160" t="s">
        <v>305</v>
      </c>
      <c r="AN132" s="161" t="s">
        <v>299</v>
      </c>
      <c r="AO132" s="161" t="s">
        <v>299</v>
      </c>
      <c r="AP132" s="162" t="s">
        <v>299</v>
      </c>
      <c r="AQ132" s="163">
        <v>2561913</v>
      </c>
      <c r="AR132" s="164">
        <v>486764</v>
      </c>
      <c r="AS132" s="164">
        <v>3048677</v>
      </c>
      <c r="AT132" s="164">
        <v>2561913</v>
      </c>
      <c r="AU132" s="164">
        <v>3048677</v>
      </c>
      <c r="AV132" s="165">
        <f t="shared" ref="AV132:AV195" si="83">IF(A132="","",ROUND(AVERAGE(S132,AF132,AS132),0))</f>
        <v>2850003</v>
      </c>
      <c r="AW132" s="165">
        <f t="shared" ref="AW132:AW195" si="84">IF(A132="","",AV132*G132)</f>
        <v>2850003</v>
      </c>
      <c r="AX132" s="165" t="str">
        <f t="shared" ref="AX132:AX195" si="85">IF(N132="","",ROUND(STDEV(U132,AH132,AU132),0))</f>
        <v/>
      </c>
      <c r="AY132" s="166">
        <v>2.4299999999999999E-2</v>
      </c>
      <c r="AZ132" s="5"/>
      <c r="BA132" s="7"/>
      <c r="BB132" s="7"/>
    </row>
    <row r="133" spans="1:54" ht="255" x14ac:dyDescent="0.25">
      <c r="A133" s="137" t="s">
        <v>229</v>
      </c>
      <c r="B133" s="137" t="s">
        <v>230</v>
      </c>
      <c r="C133" s="137">
        <v>60101405</v>
      </c>
      <c r="D133" s="137" t="s">
        <v>693</v>
      </c>
      <c r="E133" s="138" t="s">
        <v>694</v>
      </c>
      <c r="F133" s="139" t="s">
        <v>695</v>
      </c>
      <c r="G133" s="140">
        <v>1</v>
      </c>
      <c r="H133" s="139" t="s">
        <v>51</v>
      </c>
      <c r="I133" s="141" t="s">
        <v>234</v>
      </c>
      <c r="J133" s="142">
        <v>46153</v>
      </c>
      <c r="K133" s="143" t="s">
        <v>260</v>
      </c>
      <c r="L133" s="144" t="s">
        <v>236</v>
      </c>
      <c r="M133" s="142" t="s">
        <v>595</v>
      </c>
      <c r="N133" s="145">
        <v>70000</v>
      </c>
      <c r="O133" s="145" t="s">
        <v>245</v>
      </c>
      <c r="P133" s="145" t="s">
        <v>239</v>
      </c>
      <c r="Q133" s="146">
        <f>IF(O133="IVA Incluido",(N133/1.19),N133)</f>
        <v>70000</v>
      </c>
      <c r="R133" s="147">
        <f>IF(P133="Si tiene IVA",Q133*19%,0)</f>
        <v>13300</v>
      </c>
      <c r="S133" s="147">
        <f>Q133+R133</f>
        <v>83300</v>
      </c>
      <c r="T133" s="147">
        <f>IF(B133="","",(N133*G133))</f>
        <v>70000</v>
      </c>
      <c r="U133" s="147">
        <f>IF(B133="","",(S133*G133))</f>
        <v>83300</v>
      </c>
      <c r="V133" s="148" t="s">
        <v>234</v>
      </c>
      <c r="W133" s="149">
        <v>46153</v>
      </c>
      <c r="X133" s="150" t="s">
        <v>255</v>
      </c>
      <c r="Y133" s="151" t="s">
        <v>236</v>
      </c>
      <c r="Z133" s="152" t="s">
        <v>252</v>
      </c>
      <c r="AA133" s="153">
        <v>70000</v>
      </c>
      <c r="AB133" s="153" t="s">
        <v>238</v>
      </c>
      <c r="AC133" s="153" t="s">
        <v>239</v>
      </c>
      <c r="AD133" s="154">
        <f>IF(AB133="IVA Incluido",(AA133/1.19),AA133)</f>
        <v>58823.529411764706</v>
      </c>
      <c r="AE133" s="155">
        <f>IF(AC133="Si tiene IVA",AD133*19%,0)</f>
        <v>11176.470588235294</v>
      </c>
      <c r="AF133" s="155">
        <f>AD133+AE133</f>
        <v>70000</v>
      </c>
      <c r="AG133" s="155">
        <f>IF(O133="","",(AA133*G133))</f>
        <v>70000</v>
      </c>
      <c r="AH133" s="155">
        <f>IF(O133="","",(AF133*G133))</f>
        <v>70000</v>
      </c>
      <c r="AI133" s="156" t="s">
        <v>234</v>
      </c>
      <c r="AJ133" s="157">
        <v>46153</v>
      </c>
      <c r="AK133" s="158" t="s">
        <v>696</v>
      </c>
      <c r="AL133" s="159" t="s">
        <v>241</v>
      </c>
      <c r="AM133" s="160" t="s">
        <v>264</v>
      </c>
      <c r="AN133" s="161">
        <v>80000</v>
      </c>
      <c r="AO133" s="161" t="s">
        <v>245</v>
      </c>
      <c r="AP133" s="162" t="s">
        <v>265</v>
      </c>
      <c r="AQ133" s="163">
        <f>IF(AO133="IVA Incluido",(AN133/1.19),AN133)</f>
        <v>80000</v>
      </c>
      <c r="AR133" s="164">
        <f>IF(AP133="Si tiene IVA",AQ133*19%,0)</f>
        <v>0</v>
      </c>
      <c r="AS133" s="164">
        <f>AQ133+AR133</f>
        <v>80000</v>
      </c>
      <c r="AT133" s="164">
        <f>IF(AB133="","",(AN133*G133))</f>
        <v>80000</v>
      </c>
      <c r="AU133" s="164">
        <f>IF(AB133="","",(AS133*G133))</f>
        <v>80000</v>
      </c>
      <c r="AV133" s="165">
        <f t="shared" si="83"/>
        <v>77767</v>
      </c>
      <c r="AW133" s="165">
        <f t="shared" si="84"/>
        <v>77767</v>
      </c>
      <c r="AX133" s="165">
        <f t="shared" si="85"/>
        <v>6926</v>
      </c>
      <c r="AY133" s="166">
        <f>IF(N133="","",(AX133/AW133))</f>
        <v>8.9060912726477814E-2</v>
      </c>
      <c r="AZ133" s="5" t="s">
        <v>697</v>
      </c>
      <c r="BA133" s="7">
        <f>COUNTA(M133,Z133,AM133)</f>
        <v>3</v>
      </c>
      <c r="BB133" s="7" t="s">
        <v>277</v>
      </c>
    </row>
    <row r="134" spans="1:54" ht="255" x14ac:dyDescent="0.25">
      <c r="A134" s="137" t="s">
        <v>229</v>
      </c>
      <c r="B134" s="137" t="s">
        <v>230</v>
      </c>
      <c r="C134" s="137"/>
      <c r="D134" s="137" t="s">
        <v>698</v>
      </c>
      <c r="E134" s="138" t="s">
        <v>694</v>
      </c>
      <c r="F134" s="139" t="s">
        <v>233</v>
      </c>
      <c r="G134" s="140">
        <v>1</v>
      </c>
      <c r="H134" s="139" t="s">
        <v>51</v>
      </c>
      <c r="I134" s="141" t="s">
        <v>234</v>
      </c>
      <c r="J134" s="142">
        <v>46153</v>
      </c>
      <c r="K134" s="143" t="s">
        <v>258</v>
      </c>
      <c r="L134" s="144" t="s">
        <v>236</v>
      </c>
      <c r="M134" s="142" t="s">
        <v>259</v>
      </c>
      <c r="N134" s="145">
        <v>230000</v>
      </c>
      <c r="O134" s="145" t="s">
        <v>245</v>
      </c>
      <c r="P134" s="145" t="s">
        <v>239</v>
      </c>
      <c r="Q134" s="146">
        <f>IF(O134="IVA Incluido",(N134/1.19),N134)</f>
        <v>230000</v>
      </c>
      <c r="R134" s="147">
        <f>IF(P134="Si tiene IVA",Q134*19%,IF(P134="Si tiene IPOCONSUMO",Q134*8%,0))</f>
        <v>43700</v>
      </c>
      <c r="S134" s="147">
        <f>Q134+R134</f>
        <v>273700</v>
      </c>
      <c r="T134" s="147">
        <f>IF(B134="","",(N134*G134))</f>
        <v>230000</v>
      </c>
      <c r="U134" s="147">
        <f>IF(B134="","",(S134*G134))</f>
        <v>273700</v>
      </c>
      <c r="V134" s="148" t="s">
        <v>234</v>
      </c>
      <c r="W134" s="149">
        <v>46153</v>
      </c>
      <c r="X134" s="150" t="s">
        <v>699</v>
      </c>
      <c r="Y134" s="151" t="s">
        <v>236</v>
      </c>
      <c r="Z134" s="152" t="s">
        <v>700</v>
      </c>
      <c r="AA134" s="153">
        <v>232500</v>
      </c>
      <c r="AB134" s="153" t="s">
        <v>245</v>
      </c>
      <c r="AC134" s="153" t="s">
        <v>239</v>
      </c>
      <c r="AD134" s="154">
        <f>IF(AB134="IVA Incluido",(AA134/1.19),AA134)</f>
        <v>232500</v>
      </c>
      <c r="AE134" s="155">
        <f>IF(AC134="Si tiene IVA",AD134*19%,IF(AC134="Si tiene IPOCONSUMO",AD134*8%,0))</f>
        <v>44175</v>
      </c>
      <c r="AF134" s="155">
        <f>AD134+AE134</f>
        <v>276675</v>
      </c>
      <c r="AG134" s="155">
        <f>IF(O134="","",(AA134*G134))</f>
        <v>232500</v>
      </c>
      <c r="AH134" s="155">
        <f>IF(O134="","",(AF134*G134))</f>
        <v>276675</v>
      </c>
      <c r="AI134" s="156" t="s">
        <v>234</v>
      </c>
      <c r="AJ134" s="157">
        <v>46153</v>
      </c>
      <c r="AK134" s="158" t="s">
        <v>260</v>
      </c>
      <c r="AL134" s="159" t="s">
        <v>236</v>
      </c>
      <c r="AM134" s="160" t="s">
        <v>595</v>
      </c>
      <c r="AN134" s="161">
        <v>200000</v>
      </c>
      <c r="AO134" s="161" t="s">
        <v>245</v>
      </c>
      <c r="AP134" s="162" t="s">
        <v>239</v>
      </c>
      <c r="AQ134" s="163">
        <f>IF(AO134="IVA Incluido",(AN134/1.19),AN134)</f>
        <v>200000</v>
      </c>
      <c r="AR134" s="164">
        <f>IF(AP134="Si tiene IVA",AQ134*19%,0)</f>
        <v>38000</v>
      </c>
      <c r="AS134" s="164">
        <f>AQ134+AR134</f>
        <v>238000</v>
      </c>
      <c r="AT134" s="164">
        <f>IF(AB134="","",(AN134*G134))</f>
        <v>200000</v>
      </c>
      <c r="AU134" s="164">
        <f>IF(AB134="","",(AS134*G134))</f>
        <v>238000</v>
      </c>
      <c r="AV134" s="165">
        <f t="shared" si="83"/>
        <v>262792</v>
      </c>
      <c r="AW134" s="165">
        <f t="shared" si="84"/>
        <v>262792</v>
      </c>
      <c r="AX134" s="165">
        <f t="shared" si="85"/>
        <v>21522</v>
      </c>
      <c r="AY134" s="166">
        <f>IF(N134="","",(AX134/AW134))</f>
        <v>8.189747024262535E-2</v>
      </c>
      <c r="AZ134" s="5" t="s">
        <v>697</v>
      </c>
      <c r="BA134" s="7">
        <f>COUNTA(M134,Z134,AM134)</f>
        <v>3</v>
      </c>
      <c r="BB134" s="7"/>
    </row>
    <row r="135" spans="1:54" ht="255" x14ac:dyDescent="0.25">
      <c r="A135" s="137" t="s">
        <v>229</v>
      </c>
      <c r="B135" s="137" t="s">
        <v>230</v>
      </c>
      <c r="C135" s="137"/>
      <c r="D135" s="137" t="s">
        <v>701</v>
      </c>
      <c r="E135" s="138" t="s">
        <v>694</v>
      </c>
      <c r="F135" s="139" t="s">
        <v>233</v>
      </c>
      <c r="G135" s="140">
        <v>1</v>
      </c>
      <c r="H135" s="139" t="s">
        <v>51</v>
      </c>
      <c r="I135" s="141" t="s">
        <v>234</v>
      </c>
      <c r="J135" s="142">
        <v>46153</v>
      </c>
      <c r="K135" s="143" t="s">
        <v>258</v>
      </c>
      <c r="L135" s="144" t="s">
        <v>236</v>
      </c>
      <c r="M135" s="142" t="s">
        <v>259</v>
      </c>
      <c r="N135" s="145">
        <v>120000</v>
      </c>
      <c r="O135" s="145" t="s">
        <v>245</v>
      </c>
      <c r="P135" s="145" t="s">
        <v>239</v>
      </c>
      <c r="Q135" s="146">
        <f>IF(O135="IVA Incluido",(N135/1.19),N135)</f>
        <v>120000</v>
      </c>
      <c r="R135" s="147">
        <f>IF(P135="Si tiene IVA",Q135*19%,0)</f>
        <v>22800</v>
      </c>
      <c r="S135" s="147">
        <f>Q135+R135</f>
        <v>142800</v>
      </c>
      <c r="T135" s="147">
        <f>IF(B135="","",(N135*G135))</f>
        <v>120000</v>
      </c>
      <c r="U135" s="147">
        <f>IF(B135="","",(S135*G135))</f>
        <v>142800</v>
      </c>
      <c r="V135" s="148" t="s">
        <v>234</v>
      </c>
      <c r="W135" s="149">
        <v>46153</v>
      </c>
      <c r="X135" s="150" t="s">
        <v>699</v>
      </c>
      <c r="Y135" s="151" t="s">
        <v>236</v>
      </c>
      <c r="Z135" s="152" t="s">
        <v>700</v>
      </c>
      <c r="AA135" s="153">
        <v>108000</v>
      </c>
      <c r="AB135" s="153" t="s">
        <v>245</v>
      </c>
      <c r="AC135" s="153" t="s">
        <v>239</v>
      </c>
      <c r="AD135" s="154">
        <f>IF(AB135="IVA Incluido",(AA135/1.19),AA135)</f>
        <v>108000</v>
      </c>
      <c r="AE135" s="155">
        <f>IF(AC135="Si tiene IVA",AD135*19%,0)</f>
        <v>20520</v>
      </c>
      <c r="AF135" s="155">
        <f>AD135+AE135</f>
        <v>128520</v>
      </c>
      <c r="AG135" s="155">
        <f>IF(O135="","",(AA135*G135))</f>
        <v>108000</v>
      </c>
      <c r="AH135" s="155">
        <f>IF(O135="","",(AF135*G135))</f>
        <v>128520</v>
      </c>
      <c r="AI135" s="156" t="s">
        <v>234</v>
      </c>
      <c r="AJ135" s="157">
        <v>46153</v>
      </c>
      <c r="AK135" s="158" t="s">
        <v>702</v>
      </c>
      <c r="AL135" s="159" t="s">
        <v>236</v>
      </c>
      <c r="AM135" s="160" t="s">
        <v>703</v>
      </c>
      <c r="AN135" s="161">
        <v>150000</v>
      </c>
      <c r="AO135" s="161" t="s">
        <v>245</v>
      </c>
      <c r="AP135" s="162" t="s">
        <v>265</v>
      </c>
      <c r="AQ135" s="163">
        <f>IF(AO135="IVA Incluido",(AN135/1.19),AN135)</f>
        <v>150000</v>
      </c>
      <c r="AR135" s="164">
        <f>IF(AP135="Si tiene IVA",AQ135*19%,0)</f>
        <v>0</v>
      </c>
      <c r="AS135" s="164">
        <f>AQ135+AR135</f>
        <v>150000</v>
      </c>
      <c r="AT135" s="164">
        <f>IF(AB135="","",(AN135*G135))</f>
        <v>150000</v>
      </c>
      <c r="AU135" s="164">
        <f>IF(AB135="","",(AS135*G135))</f>
        <v>150000</v>
      </c>
      <c r="AV135" s="165">
        <f t="shared" si="83"/>
        <v>140440</v>
      </c>
      <c r="AW135" s="165">
        <f t="shared" si="84"/>
        <v>140440</v>
      </c>
      <c r="AX135" s="165">
        <f t="shared" si="85"/>
        <v>10933</v>
      </c>
      <c r="AY135" s="166">
        <f>IF(N135="","",(AX135/AW135))</f>
        <v>7.7848191398461983E-2</v>
      </c>
      <c r="AZ135" s="5" t="s">
        <v>697</v>
      </c>
      <c r="BA135" s="7">
        <f>COUNTA(M135,Z135,AM135)</f>
        <v>3</v>
      </c>
      <c r="BB135" s="7" t="s">
        <v>277</v>
      </c>
    </row>
    <row r="136" spans="1:54" ht="67.5" x14ac:dyDescent="0.25">
      <c r="A136" s="137" t="s">
        <v>229</v>
      </c>
      <c r="B136" s="137" t="s">
        <v>306</v>
      </c>
      <c r="C136" s="137">
        <v>44121702</v>
      </c>
      <c r="D136" s="137" t="s">
        <v>704</v>
      </c>
      <c r="E136" s="138" t="s">
        <v>705</v>
      </c>
      <c r="F136" s="139" t="s">
        <v>233</v>
      </c>
      <c r="G136" s="140">
        <v>1</v>
      </c>
      <c r="H136" s="139" t="s">
        <v>51</v>
      </c>
      <c r="I136" s="141" t="s">
        <v>234</v>
      </c>
      <c r="J136" s="142">
        <v>46139</v>
      </c>
      <c r="K136" s="143" t="s">
        <v>706</v>
      </c>
      <c r="L136" s="144" t="s">
        <v>236</v>
      </c>
      <c r="M136" s="142" t="s">
        <v>639</v>
      </c>
      <c r="N136" s="145">
        <v>6435</v>
      </c>
      <c r="O136" s="145" t="s">
        <v>238</v>
      </c>
      <c r="P136" s="145" t="s">
        <v>239</v>
      </c>
      <c r="Q136" s="146">
        <f>IF(O136="IVA Incluido",(N136/1.19),N136)</f>
        <v>5407.5630252100846</v>
      </c>
      <c r="R136" s="147">
        <f>IF(P136="Si tiene IVA",Q136*19%,0)</f>
        <v>1027.4369747899161</v>
      </c>
      <c r="S136" s="147">
        <f>Q136+R136</f>
        <v>6435.0000000000009</v>
      </c>
      <c r="T136" s="147">
        <f>IF(B136="","",(N136*G136))</f>
        <v>6435</v>
      </c>
      <c r="U136" s="147">
        <f>IF(B136="","",(S136*G136))</f>
        <v>6435.0000000000009</v>
      </c>
      <c r="V136" s="148" t="s">
        <v>234</v>
      </c>
      <c r="W136" s="149">
        <v>46139</v>
      </c>
      <c r="X136" s="150" t="s">
        <v>535</v>
      </c>
      <c r="Y136" s="151" t="s">
        <v>241</v>
      </c>
      <c r="Z136" s="152" t="s">
        <v>707</v>
      </c>
      <c r="AA136" s="153">
        <v>5508</v>
      </c>
      <c r="AB136" s="153" t="s">
        <v>238</v>
      </c>
      <c r="AC136" s="153" t="s">
        <v>239</v>
      </c>
      <c r="AD136" s="154">
        <f>IF(AB136="IVA Incluido",(AA136/1.19),AA136)</f>
        <v>4628.5714285714284</v>
      </c>
      <c r="AE136" s="155">
        <f>IF(AC136="Si tiene IVA",AD136*19%,0)</f>
        <v>879.42857142857144</v>
      </c>
      <c r="AF136" s="155">
        <f>AD136+AE136</f>
        <v>5508</v>
      </c>
      <c r="AG136" s="155">
        <f>IF(O136="","",(AA136*G136))</f>
        <v>5508</v>
      </c>
      <c r="AH136" s="155">
        <f>IF(O136="","",(AF136*G136))</f>
        <v>5508</v>
      </c>
      <c r="AI136" s="156" t="s">
        <v>234</v>
      </c>
      <c r="AJ136" s="157">
        <v>46139</v>
      </c>
      <c r="AK136" s="158" t="s">
        <v>708</v>
      </c>
      <c r="AL136" s="159" t="s">
        <v>241</v>
      </c>
      <c r="AM136" s="160" t="s">
        <v>709</v>
      </c>
      <c r="AN136" s="161">
        <v>5913</v>
      </c>
      <c r="AO136" s="161" t="s">
        <v>238</v>
      </c>
      <c r="AP136" s="162" t="s">
        <v>239</v>
      </c>
      <c r="AQ136" s="163">
        <f>IF(AO136="IVA Incluido",(AN136/1.19),AN136)</f>
        <v>4968.90756302521</v>
      </c>
      <c r="AR136" s="164">
        <f>IF(AP136="Si tiene IVA",AQ136*19%,0)</f>
        <v>944.09243697478996</v>
      </c>
      <c r="AS136" s="164">
        <f>AQ136+AR136</f>
        <v>5913</v>
      </c>
      <c r="AT136" s="164">
        <f>IF(AB136="","",(AN136*G136))</f>
        <v>5913</v>
      </c>
      <c r="AU136" s="164">
        <f>IF(AB136="","",(AS136*G136))</f>
        <v>5913</v>
      </c>
      <c r="AV136" s="165">
        <f t="shared" si="83"/>
        <v>5952</v>
      </c>
      <c r="AW136" s="165">
        <f t="shared" si="84"/>
        <v>5952</v>
      </c>
      <c r="AX136" s="165">
        <f t="shared" si="85"/>
        <v>465</v>
      </c>
      <c r="AY136" s="166">
        <f>IF(N136="","",(AX136/AW136))</f>
        <v>7.8125E-2</v>
      </c>
      <c r="AZ136" s="5"/>
      <c r="BA136" s="7">
        <f>COUNTA(M136,Z136,AM136)</f>
        <v>3</v>
      </c>
      <c r="BB136" s="7"/>
    </row>
    <row r="137" spans="1:54" ht="297" x14ac:dyDescent="0.25">
      <c r="A137" s="137" t="s">
        <v>299</v>
      </c>
      <c r="B137" s="137" t="s">
        <v>299</v>
      </c>
      <c r="C137" s="137" t="s">
        <v>299</v>
      </c>
      <c r="D137" s="137" t="s">
        <v>710</v>
      </c>
      <c r="E137" s="138" t="s">
        <v>711</v>
      </c>
      <c r="F137" s="139" t="s">
        <v>302</v>
      </c>
      <c r="G137" s="140">
        <v>1</v>
      </c>
      <c r="H137" s="139"/>
      <c r="I137" s="141"/>
      <c r="J137" s="142"/>
      <c r="K137" s="143"/>
      <c r="L137" s="144"/>
      <c r="M137" s="142"/>
      <c r="N137" s="145"/>
      <c r="O137" s="145"/>
      <c r="P137" s="145"/>
      <c r="Q137" s="146" t="s">
        <v>303</v>
      </c>
      <c r="R137" s="147" t="s">
        <v>303</v>
      </c>
      <c r="S137" s="147" t="s">
        <v>303</v>
      </c>
      <c r="T137" s="147" t="s">
        <v>303</v>
      </c>
      <c r="U137" s="147" t="s">
        <v>303</v>
      </c>
      <c r="V137" s="148" t="s">
        <v>299</v>
      </c>
      <c r="W137" s="149" t="s">
        <v>299</v>
      </c>
      <c r="X137" s="150" t="s">
        <v>299</v>
      </c>
      <c r="Y137" s="151" t="s">
        <v>299</v>
      </c>
      <c r="Z137" s="152" t="s">
        <v>304</v>
      </c>
      <c r="AA137" s="153" t="s">
        <v>299</v>
      </c>
      <c r="AB137" s="153" t="s">
        <v>299</v>
      </c>
      <c r="AC137" s="153" t="s">
        <v>299</v>
      </c>
      <c r="AD137" s="154" t="s">
        <v>299</v>
      </c>
      <c r="AE137" s="155" t="s">
        <v>299</v>
      </c>
      <c r="AF137" s="155">
        <f>AH137/1.19</f>
        <v>432995.79831932776</v>
      </c>
      <c r="AG137" s="155">
        <f>AF137*19%</f>
        <v>82269.201680672282</v>
      </c>
      <c r="AH137" s="155">
        <v>515265</v>
      </c>
      <c r="AI137" s="156" t="s">
        <v>299</v>
      </c>
      <c r="AJ137" s="157" t="s">
        <v>299</v>
      </c>
      <c r="AK137" s="158" t="s">
        <v>299</v>
      </c>
      <c r="AL137" s="159" t="s">
        <v>299</v>
      </c>
      <c r="AM137" s="160" t="s">
        <v>305</v>
      </c>
      <c r="AN137" s="161" t="s">
        <v>299</v>
      </c>
      <c r="AO137" s="161" t="s">
        <v>299</v>
      </c>
      <c r="AP137" s="162" t="s">
        <v>299</v>
      </c>
      <c r="AQ137" s="163">
        <v>426597</v>
      </c>
      <c r="AR137" s="164">
        <v>81053</v>
      </c>
      <c r="AS137" s="164">
        <v>507650</v>
      </c>
      <c r="AT137" s="164">
        <v>426597</v>
      </c>
      <c r="AU137" s="164">
        <v>507650</v>
      </c>
      <c r="AV137" s="165">
        <f t="shared" si="83"/>
        <v>470323</v>
      </c>
      <c r="AW137" s="165">
        <f t="shared" si="84"/>
        <v>470323</v>
      </c>
      <c r="AX137" s="165" t="str">
        <f t="shared" si="85"/>
        <v/>
      </c>
      <c r="AY137" s="166">
        <v>1.0500000000000001E-2</v>
      </c>
      <c r="AZ137" s="5"/>
      <c r="BA137" s="7"/>
      <c r="BB137" s="7"/>
    </row>
    <row r="138" spans="1:54" ht="90" x14ac:dyDescent="0.25">
      <c r="A138" s="137" t="s">
        <v>229</v>
      </c>
      <c r="B138" s="137" t="s">
        <v>288</v>
      </c>
      <c r="C138" s="137">
        <v>90101603</v>
      </c>
      <c r="D138" s="137" t="s">
        <v>712</v>
      </c>
      <c r="E138" s="138" t="s">
        <v>713</v>
      </c>
      <c r="F138" s="139" t="s">
        <v>317</v>
      </c>
      <c r="G138" s="140">
        <v>1</v>
      </c>
      <c r="H138" s="139" t="s">
        <v>51</v>
      </c>
      <c r="I138" s="141" t="s">
        <v>234</v>
      </c>
      <c r="J138" s="142">
        <v>46119</v>
      </c>
      <c r="K138" s="143" t="s">
        <v>436</v>
      </c>
      <c r="L138" s="144" t="s">
        <v>241</v>
      </c>
      <c r="M138" s="142" t="s">
        <v>347</v>
      </c>
      <c r="N138" s="145">
        <v>766800</v>
      </c>
      <c r="O138" s="145" t="s">
        <v>320</v>
      </c>
      <c r="P138" s="145" t="s">
        <v>321</v>
      </c>
      <c r="Q138" s="146">
        <f>IF(O138="IVA Incluido",(N138/1.19),N138)</f>
        <v>766800</v>
      </c>
      <c r="R138" s="147">
        <f>IF(P138="Si tiene IVA",Q138*19%,0)</f>
        <v>0</v>
      </c>
      <c r="S138" s="147">
        <f t="shared" ref="S138:S153" si="86">Q138+R138</f>
        <v>766800</v>
      </c>
      <c r="T138" s="147">
        <f>IF(B138="","",(N138*G138))</f>
        <v>766800</v>
      </c>
      <c r="U138" s="147">
        <f>IF(B138="","",(S138*G138))</f>
        <v>766800</v>
      </c>
      <c r="V138" s="148" t="s">
        <v>234</v>
      </c>
      <c r="W138" s="149">
        <v>46094</v>
      </c>
      <c r="X138" s="150" t="s">
        <v>324</v>
      </c>
      <c r="Y138" s="151" t="s">
        <v>241</v>
      </c>
      <c r="Z138" s="152" t="s">
        <v>325</v>
      </c>
      <c r="AA138" s="153">
        <v>1282500</v>
      </c>
      <c r="AB138" s="153" t="s">
        <v>320</v>
      </c>
      <c r="AC138" s="153" t="s">
        <v>321</v>
      </c>
      <c r="AD138" s="154">
        <f>IF(AB138="IVA Incluido",(AA138/1.19),AA138)</f>
        <v>1282500</v>
      </c>
      <c r="AE138" s="155">
        <f>IF(AC138="Si tiene IVA",AD138*19%,0)</f>
        <v>0</v>
      </c>
      <c r="AF138" s="155">
        <f t="shared" ref="AF138:AF153" si="87">AD138+AE138</f>
        <v>1282500</v>
      </c>
      <c r="AG138" s="155">
        <f>IF(O138="","",(AA138*G138))</f>
        <v>1282500</v>
      </c>
      <c r="AH138" s="155">
        <f>IF(O138="","",(AF138*G138))</f>
        <v>1282500</v>
      </c>
      <c r="AI138" s="156" t="s">
        <v>714</v>
      </c>
      <c r="AJ138" s="157"/>
      <c r="AK138" s="158"/>
      <c r="AL138" s="159" t="s">
        <v>241</v>
      </c>
      <c r="AM138" s="160" t="s">
        <v>715</v>
      </c>
      <c r="AN138" s="161">
        <v>1200000</v>
      </c>
      <c r="AO138" s="161" t="s">
        <v>245</v>
      </c>
      <c r="AP138" s="162" t="s">
        <v>239</v>
      </c>
      <c r="AQ138" s="163">
        <f>IF(AO138="IVA Incluido",(AN138/1.19),AN138)</f>
        <v>1200000</v>
      </c>
      <c r="AR138" s="164">
        <f t="shared" ref="AR138:AR153" si="88">IF(AP138="Si tiene IVA",AQ138*19%,0)</f>
        <v>228000</v>
      </c>
      <c r="AS138" s="164">
        <f t="shared" ref="AS138:AS153" si="89">AQ138+AR138</f>
        <v>1428000</v>
      </c>
      <c r="AT138" s="164">
        <f t="shared" ref="AT138:AT153" si="90">IF(AB138="","",(AN138*G138))</f>
        <v>1200000</v>
      </c>
      <c r="AU138" s="164">
        <f t="shared" ref="AU138:AU153" si="91">IF(AB138="","",(AS138*G138))</f>
        <v>1428000</v>
      </c>
      <c r="AV138" s="165">
        <f t="shared" si="83"/>
        <v>1159100</v>
      </c>
      <c r="AW138" s="165">
        <f t="shared" si="84"/>
        <v>1159100</v>
      </c>
      <c r="AX138" s="165">
        <f t="shared" si="85"/>
        <v>347444</v>
      </c>
      <c r="AY138" s="166">
        <f t="shared" ref="AY138:AY153" si="92">IF(N138="","",(AX138/AW138))</f>
        <v>0.29975325683720128</v>
      </c>
      <c r="AZ138" s="5" t="s">
        <v>716</v>
      </c>
      <c r="BA138" s="7">
        <f t="shared" ref="BA138:BA153" si="93">COUNTA(M138,Z138,AM138)</f>
        <v>3</v>
      </c>
      <c r="BB138" s="7" t="s">
        <v>605</v>
      </c>
    </row>
    <row r="139" spans="1:54" ht="90" x14ac:dyDescent="0.25">
      <c r="A139" s="137" t="s">
        <v>229</v>
      </c>
      <c r="B139" s="137" t="s">
        <v>288</v>
      </c>
      <c r="C139" s="137">
        <v>90101603</v>
      </c>
      <c r="D139" s="137" t="s">
        <v>717</v>
      </c>
      <c r="E139" s="138" t="s">
        <v>718</v>
      </c>
      <c r="F139" s="139" t="s">
        <v>317</v>
      </c>
      <c r="G139" s="140">
        <v>1</v>
      </c>
      <c r="H139" s="139" t="s">
        <v>51</v>
      </c>
      <c r="I139" s="141" t="s">
        <v>234</v>
      </c>
      <c r="J139" s="142">
        <v>46134</v>
      </c>
      <c r="K139" s="143" t="s">
        <v>719</v>
      </c>
      <c r="L139" s="144" t="s">
        <v>241</v>
      </c>
      <c r="M139" s="142" t="s">
        <v>325</v>
      </c>
      <c r="N139" s="145">
        <v>641250</v>
      </c>
      <c r="O139" s="145" t="s">
        <v>245</v>
      </c>
      <c r="P139" s="145" t="s">
        <v>321</v>
      </c>
      <c r="Q139" s="146">
        <f>IF(O139="IVA Incluido",(N139/1.19),IF(O139="Ipoconsumo Incluido",(N139/1.08),N139))</f>
        <v>641250</v>
      </c>
      <c r="R139" s="147">
        <f>IF(P139="Si tiene IVA",Q139*19%,IF(P139="Si tiene IPOCONSUMO",Q139*8%,0))</f>
        <v>51300</v>
      </c>
      <c r="S139" s="147">
        <f t="shared" si="86"/>
        <v>692550</v>
      </c>
      <c r="T139" s="147">
        <f>IF(R139="IVA Incluido",(Q139/1.19),IF(R139="Ipoconsumo Incluido",(Q139/1.08),Q139))</f>
        <v>641250</v>
      </c>
      <c r="U139" s="147">
        <f>Q139+R139</f>
        <v>692550</v>
      </c>
      <c r="V139" s="148" t="s">
        <v>234</v>
      </c>
      <c r="W139" s="149">
        <v>46134</v>
      </c>
      <c r="X139" s="150" t="s">
        <v>436</v>
      </c>
      <c r="Y139" s="151" t="s">
        <v>241</v>
      </c>
      <c r="Z139" s="152" t="s">
        <v>347</v>
      </c>
      <c r="AA139" s="153">
        <v>588000</v>
      </c>
      <c r="AB139" s="153" t="s">
        <v>720</v>
      </c>
      <c r="AC139" s="153" t="s">
        <v>321</v>
      </c>
      <c r="AD139" s="154">
        <f>IF(AB139="IVA Incluido",(AA139/1.19),IF(AB139="Ipoconsumo Incluido",(AA139/1.08),AA139))</f>
        <v>544444.44444444438</v>
      </c>
      <c r="AE139" s="155">
        <f>IF(AC139="Si tiene IVA",AD139*19%,IF(AC139="Si tiene IPOCONSUMO",AD139*8%,0))</f>
        <v>43555.555555555555</v>
      </c>
      <c r="AF139" s="155">
        <f t="shared" si="87"/>
        <v>587999.99999999988</v>
      </c>
      <c r="AG139" s="155">
        <f>IF(AE139="IVA Incluido",(AD139/1.19),IF(AE139="Ipoconsumo Incluido",(AD139/1.08),AD139))</f>
        <v>544444.44444444438</v>
      </c>
      <c r="AH139" s="155">
        <f>AD139+AE139</f>
        <v>587999.99999999988</v>
      </c>
      <c r="AI139" s="156"/>
      <c r="AJ139" s="157"/>
      <c r="AK139" s="158"/>
      <c r="AL139" s="159"/>
      <c r="AM139" s="160"/>
      <c r="AN139" s="161"/>
      <c r="AO139" s="161"/>
      <c r="AP139" s="162"/>
      <c r="AQ139" s="163"/>
      <c r="AR139" s="164">
        <f t="shared" si="88"/>
        <v>0</v>
      </c>
      <c r="AS139" s="164">
        <f t="shared" si="89"/>
        <v>0</v>
      </c>
      <c r="AT139" s="164">
        <f t="shared" si="90"/>
        <v>0</v>
      </c>
      <c r="AU139" s="164">
        <f t="shared" si="91"/>
        <v>0</v>
      </c>
      <c r="AV139" s="165">
        <f t="shared" si="83"/>
        <v>426850</v>
      </c>
      <c r="AW139" s="165">
        <f t="shared" si="84"/>
        <v>426850</v>
      </c>
      <c r="AX139" s="165">
        <f t="shared" si="85"/>
        <v>373341</v>
      </c>
      <c r="AY139" s="166">
        <f t="shared" si="92"/>
        <v>0.8746421459529109</v>
      </c>
      <c r="AZ139" s="5" t="s">
        <v>716</v>
      </c>
      <c r="BA139" s="7">
        <f t="shared" si="93"/>
        <v>2</v>
      </c>
      <c r="BB139" s="7" t="s">
        <v>277</v>
      </c>
    </row>
    <row r="140" spans="1:54" ht="40.5" x14ac:dyDescent="0.25">
      <c r="A140" s="137" t="s">
        <v>229</v>
      </c>
      <c r="B140" s="137" t="s">
        <v>306</v>
      </c>
      <c r="C140" s="137">
        <v>60141001</v>
      </c>
      <c r="D140" s="137" t="s">
        <v>721</v>
      </c>
      <c r="E140" s="138" t="s">
        <v>722</v>
      </c>
      <c r="F140" s="139" t="s">
        <v>233</v>
      </c>
      <c r="G140" s="140">
        <v>1</v>
      </c>
      <c r="H140" s="139" t="s">
        <v>51</v>
      </c>
      <c r="I140" s="141" t="s">
        <v>247</v>
      </c>
      <c r="J140" s="142">
        <v>46071</v>
      </c>
      <c r="K140" s="143" t="s">
        <v>313</v>
      </c>
      <c r="L140" s="144" t="s">
        <v>241</v>
      </c>
      <c r="M140" s="142" t="s">
        <v>561</v>
      </c>
      <c r="N140" s="145">
        <v>13800</v>
      </c>
      <c r="O140" s="145" t="s">
        <v>238</v>
      </c>
      <c r="P140" s="145" t="s">
        <v>239</v>
      </c>
      <c r="Q140" s="146">
        <f>IF(O140="IVA Incluido",(N140/1.19),N140)</f>
        <v>11596.638655462186</v>
      </c>
      <c r="R140" s="147">
        <f t="shared" ref="R140:R153" si="94">IF(P140="Si tiene IVA",Q140*19%,0)</f>
        <v>2203.3613445378155</v>
      </c>
      <c r="S140" s="147">
        <f t="shared" si="86"/>
        <v>13800.000000000002</v>
      </c>
      <c r="T140" s="147">
        <f t="shared" ref="T140:T153" si="95">IF(B140="","",(N140*G140))</f>
        <v>13800</v>
      </c>
      <c r="U140" s="147">
        <f t="shared" ref="U140:U153" si="96">IF(B140="","",(S140*G140))</f>
        <v>13800.000000000002</v>
      </c>
      <c r="V140" s="148" t="s">
        <v>247</v>
      </c>
      <c r="W140" s="149">
        <v>46071</v>
      </c>
      <c r="X140" s="150" t="s">
        <v>537</v>
      </c>
      <c r="Y140" s="151" t="s">
        <v>241</v>
      </c>
      <c r="Z140" s="152" t="s">
        <v>630</v>
      </c>
      <c r="AA140" s="153">
        <v>10504</v>
      </c>
      <c r="AB140" s="153" t="s">
        <v>245</v>
      </c>
      <c r="AC140" s="153" t="s">
        <v>239</v>
      </c>
      <c r="AD140" s="154">
        <f t="shared" ref="AD140:AD153" si="97">IF(AB140="IVA Incluido",(AA140/1.19),AA140)</f>
        <v>10504</v>
      </c>
      <c r="AE140" s="155">
        <f t="shared" ref="AE140:AE153" si="98">IF(AC140="Si tiene IVA",AD140*19%,0)</f>
        <v>1995.76</v>
      </c>
      <c r="AF140" s="155">
        <f t="shared" si="87"/>
        <v>12499.76</v>
      </c>
      <c r="AG140" s="155">
        <f t="shared" ref="AG140:AG153" si="99">IF(O140="","",(AA140*G140))</f>
        <v>10504</v>
      </c>
      <c r="AH140" s="155">
        <f t="shared" ref="AH140:AH153" si="100">IF(O140="","",(AF140*G140))</f>
        <v>12499.76</v>
      </c>
      <c r="AI140" s="156" t="s">
        <v>247</v>
      </c>
      <c r="AJ140" s="157">
        <v>46071</v>
      </c>
      <c r="AK140" s="158" t="s">
        <v>311</v>
      </c>
      <c r="AL140" s="159" t="s">
        <v>241</v>
      </c>
      <c r="AM140" s="160" t="s">
        <v>312</v>
      </c>
      <c r="AN140" s="161">
        <v>8926</v>
      </c>
      <c r="AO140" s="161" t="s">
        <v>245</v>
      </c>
      <c r="AP140" s="162" t="s">
        <v>239</v>
      </c>
      <c r="AQ140" s="163">
        <f t="shared" ref="AQ140:AQ153" si="101">IF(AO140="IVA Incluido",(AN140/1.19),AN140)</f>
        <v>8926</v>
      </c>
      <c r="AR140" s="164">
        <f t="shared" si="88"/>
        <v>1695.94</v>
      </c>
      <c r="AS140" s="164">
        <f t="shared" si="89"/>
        <v>10621.94</v>
      </c>
      <c r="AT140" s="164">
        <f t="shared" si="90"/>
        <v>8926</v>
      </c>
      <c r="AU140" s="164">
        <f t="shared" si="91"/>
        <v>10621.94</v>
      </c>
      <c r="AV140" s="165">
        <f t="shared" si="83"/>
        <v>12307</v>
      </c>
      <c r="AW140" s="165">
        <f t="shared" si="84"/>
        <v>12307</v>
      </c>
      <c r="AX140" s="165">
        <f t="shared" si="85"/>
        <v>1598</v>
      </c>
      <c r="AY140" s="166">
        <f t="shared" si="92"/>
        <v>0.12984480377021207</v>
      </c>
      <c r="AZ140" s="5"/>
      <c r="BA140" s="7">
        <f t="shared" si="93"/>
        <v>3</v>
      </c>
      <c r="BB140" s="7"/>
    </row>
    <row r="141" spans="1:54" ht="60" x14ac:dyDescent="0.25">
      <c r="A141" s="137" t="s">
        <v>229</v>
      </c>
      <c r="B141" s="137" t="s">
        <v>230</v>
      </c>
      <c r="C141" s="137">
        <v>53102516</v>
      </c>
      <c r="D141" s="137" t="s">
        <v>723</v>
      </c>
      <c r="E141" s="138" t="s">
        <v>724</v>
      </c>
      <c r="F141" s="139" t="s">
        <v>233</v>
      </c>
      <c r="G141" s="140">
        <v>1</v>
      </c>
      <c r="H141" s="139" t="s">
        <v>51</v>
      </c>
      <c r="I141" s="141" t="s">
        <v>281</v>
      </c>
      <c r="J141" s="142">
        <v>46070</v>
      </c>
      <c r="K141" s="143" t="s">
        <v>248</v>
      </c>
      <c r="L141" s="144" t="s">
        <v>241</v>
      </c>
      <c r="M141" s="142" t="s">
        <v>244</v>
      </c>
      <c r="N141" s="145">
        <v>28000</v>
      </c>
      <c r="O141" s="145" t="s">
        <v>245</v>
      </c>
      <c r="P141" s="145" t="s">
        <v>239</v>
      </c>
      <c r="Q141" s="146">
        <f>IF(O141="IVA Incluido",(N141/1.19),N141)</f>
        <v>28000</v>
      </c>
      <c r="R141" s="147">
        <f t="shared" si="94"/>
        <v>5320</v>
      </c>
      <c r="S141" s="147">
        <f t="shared" si="86"/>
        <v>33320</v>
      </c>
      <c r="T141" s="147">
        <f t="shared" si="95"/>
        <v>28000</v>
      </c>
      <c r="U141" s="147">
        <f t="shared" si="96"/>
        <v>33320</v>
      </c>
      <c r="V141" s="148" t="s">
        <v>281</v>
      </c>
      <c r="W141" s="149">
        <v>46071</v>
      </c>
      <c r="X141" s="150" t="s">
        <v>255</v>
      </c>
      <c r="Y141" s="151" t="s">
        <v>241</v>
      </c>
      <c r="Z141" s="152" t="s">
        <v>252</v>
      </c>
      <c r="AA141" s="153">
        <v>25000</v>
      </c>
      <c r="AB141" s="153" t="s">
        <v>245</v>
      </c>
      <c r="AC141" s="153" t="s">
        <v>265</v>
      </c>
      <c r="AD141" s="154">
        <f t="shared" si="97"/>
        <v>25000</v>
      </c>
      <c r="AE141" s="155">
        <f t="shared" si="98"/>
        <v>0</v>
      </c>
      <c r="AF141" s="155">
        <f t="shared" si="87"/>
        <v>25000</v>
      </c>
      <c r="AG141" s="155">
        <f t="shared" si="99"/>
        <v>25000</v>
      </c>
      <c r="AH141" s="155">
        <f t="shared" si="100"/>
        <v>25000</v>
      </c>
      <c r="AI141" s="156" t="s">
        <v>281</v>
      </c>
      <c r="AJ141" s="157">
        <v>46071</v>
      </c>
      <c r="AK141" s="158" t="s">
        <v>263</v>
      </c>
      <c r="AL141" s="159" t="s">
        <v>241</v>
      </c>
      <c r="AM141" s="160" t="s">
        <v>264</v>
      </c>
      <c r="AN141" s="161">
        <v>25000</v>
      </c>
      <c r="AO141" s="161" t="s">
        <v>245</v>
      </c>
      <c r="AP141" s="162" t="s">
        <v>265</v>
      </c>
      <c r="AQ141" s="163">
        <f t="shared" si="101"/>
        <v>25000</v>
      </c>
      <c r="AR141" s="164">
        <f t="shared" si="88"/>
        <v>0</v>
      </c>
      <c r="AS141" s="164">
        <f t="shared" si="89"/>
        <v>25000</v>
      </c>
      <c r="AT141" s="164">
        <f t="shared" si="90"/>
        <v>25000</v>
      </c>
      <c r="AU141" s="164">
        <f t="shared" si="91"/>
        <v>25000</v>
      </c>
      <c r="AV141" s="165">
        <f t="shared" si="83"/>
        <v>27773</v>
      </c>
      <c r="AW141" s="165">
        <f t="shared" si="84"/>
        <v>27773</v>
      </c>
      <c r="AX141" s="165">
        <f t="shared" si="85"/>
        <v>4804</v>
      </c>
      <c r="AY141" s="166">
        <f t="shared" si="92"/>
        <v>0.17297375148525546</v>
      </c>
      <c r="AZ141" s="5"/>
      <c r="BA141" s="7">
        <f t="shared" si="93"/>
        <v>3</v>
      </c>
      <c r="BB141" s="7" t="s">
        <v>285</v>
      </c>
    </row>
    <row r="142" spans="1:54" ht="54" x14ac:dyDescent="0.25">
      <c r="A142" s="137" t="s">
        <v>229</v>
      </c>
      <c r="B142" s="137" t="s">
        <v>230</v>
      </c>
      <c r="C142" s="137">
        <v>53102516</v>
      </c>
      <c r="D142" s="137" t="s">
        <v>725</v>
      </c>
      <c r="E142" s="138" t="s">
        <v>726</v>
      </c>
      <c r="F142" s="139" t="s">
        <v>233</v>
      </c>
      <c r="G142" s="140">
        <v>1</v>
      </c>
      <c r="H142" s="139" t="s">
        <v>51</v>
      </c>
      <c r="I142" s="141" t="s">
        <v>281</v>
      </c>
      <c r="J142" s="142">
        <v>46072</v>
      </c>
      <c r="K142" s="143" t="s">
        <v>282</v>
      </c>
      <c r="L142" s="144" t="s">
        <v>241</v>
      </c>
      <c r="M142" s="142" t="s">
        <v>259</v>
      </c>
      <c r="N142" s="145">
        <v>18000</v>
      </c>
      <c r="O142" s="145" t="s">
        <v>245</v>
      </c>
      <c r="P142" s="145" t="s">
        <v>239</v>
      </c>
      <c r="Q142" s="146">
        <f>IF(O142="IVA Incluido",(N142/1.19),N142)</f>
        <v>18000</v>
      </c>
      <c r="R142" s="147">
        <f t="shared" si="94"/>
        <v>3420</v>
      </c>
      <c r="S142" s="147">
        <f t="shared" si="86"/>
        <v>21420</v>
      </c>
      <c r="T142" s="147">
        <f t="shared" si="95"/>
        <v>18000</v>
      </c>
      <c r="U142" s="147">
        <f t="shared" si="96"/>
        <v>21420</v>
      </c>
      <c r="V142" s="148" t="s">
        <v>281</v>
      </c>
      <c r="W142" s="149">
        <v>46072</v>
      </c>
      <c r="X142" s="150" t="s">
        <v>255</v>
      </c>
      <c r="Y142" s="151" t="s">
        <v>241</v>
      </c>
      <c r="Z142" s="152" t="s">
        <v>252</v>
      </c>
      <c r="AA142" s="153">
        <v>20500</v>
      </c>
      <c r="AB142" s="153" t="s">
        <v>238</v>
      </c>
      <c r="AC142" s="153" t="s">
        <v>239</v>
      </c>
      <c r="AD142" s="154">
        <f t="shared" si="97"/>
        <v>17226.89075630252</v>
      </c>
      <c r="AE142" s="155">
        <f t="shared" si="98"/>
        <v>3273.1092436974791</v>
      </c>
      <c r="AF142" s="155">
        <f t="shared" si="87"/>
        <v>20500</v>
      </c>
      <c r="AG142" s="155">
        <f t="shared" si="99"/>
        <v>20500</v>
      </c>
      <c r="AH142" s="155">
        <f t="shared" si="100"/>
        <v>20500</v>
      </c>
      <c r="AI142" s="156" t="s">
        <v>281</v>
      </c>
      <c r="AJ142" s="157">
        <v>46072</v>
      </c>
      <c r="AK142" s="158" t="s">
        <v>263</v>
      </c>
      <c r="AL142" s="159" t="s">
        <v>241</v>
      </c>
      <c r="AM142" s="160" t="s">
        <v>264</v>
      </c>
      <c r="AN142" s="161">
        <v>25000</v>
      </c>
      <c r="AO142" s="161" t="s">
        <v>245</v>
      </c>
      <c r="AP142" s="162" t="s">
        <v>265</v>
      </c>
      <c r="AQ142" s="163">
        <f t="shared" si="101"/>
        <v>25000</v>
      </c>
      <c r="AR142" s="164">
        <f t="shared" si="88"/>
        <v>0</v>
      </c>
      <c r="AS142" s="164">
        <f t="shared" si="89"/>
        <v>25000</v>
      </c>
      <c r="AT142" s="164">
        <f t="shared" si="90"/>
        <v>25000</v>
      </c>
      <c r="AU142" s="164">
        <f t="shared" si="91"/>
        <v>25000</v>
      </c>
      <c r="AV142" s="165">
        <f t="shared" si="83"/>
        <v>22307</v>
      </c>
      <c r="AW142" s="165">
        <f t="shared" si="84"/>
        <v>22307</v>
      </c>
      <c r="AX142" s="165">
        <f t="shared" si="85"/>
        <v>2377</v>
      </c>
      <c r="AY142" s="166">
        <f t="shared" si="92"/>
        <v>0.10655847940108486</v>
      </c>
      <c r="AZ142" s="5"/>
      <c r="BA142" s="7">
        <f t="shared" si="93"/>
        <v>3</v>
      </c>
      <c r="BB142" s="7" t="s">
        <v>277</v>
      </c>
    </row>
    <row r="143" spans="1:54" ht="162" x14ac:dyDescent="0.25">
      <c r="A143" s="137" t="s">
        <v>229</v>
      </c>
      <c r="B143" s="137" t="s">
        <v>230</v>
      </c>
      <c r="C143" s="137">
        <v>53102516</v>
      </c>
      <c r="D143" s="137" t="s">
        <v>727</v>
      </c>
      <c r="E143" s="138" t="s">
        <v>728</v>
      </c>
      <c r="F143" s="139" t="s">
        <v>233</v>
      </c>
      <c r="G143" s="140">
        <v>1</v>
      </c>
      <c r="H143" s="139" t="s">
        <v>51</v>
      </c>
      <c r="I143" s="141" t="s">
        <v>234</v>
      </c>
      <c r="J143" s="142">
        <v>46153</v>
      </c>
      <c r="K143" s="143" t="s">
        <v>283</v>
      </c>
      <c r="L143" s="144" t="s">
        <v>236</v>
      </c>
      <c r="M143" s="142" t="s">
        <v>284</v>
      </c>
      <c r="N143" s="145">
        <v>15000</v>
      </c>
      <c r="O143" s="145" t="s">
        <v>245</v>
      </c>
      <c r="P143" s="145" t="s">
        <v>265</v>
      </c>
      <c r="Q143" s="146">
        <v>15000</v>
      </c>
      <c r="R143" s="147">
        <f t="shared" si="94"/>
        <v>0</v>
      </c>
      <c r="S143" s="147">
        <f t="shared" si="86"/>
        <v>15000</v>
      </c>
      <c r="T143" s="147">
        <f t="shared" si="95"/>
        <v>15000</v>
      </c>
      <c r="U143" s="147">
        <f t="shared" si="96"/>
        <v>15000</v>
      </c>
      <c r="V143" s="148" t="s">
        <v>729</v>
      </c>
      <c r="W143" s="149">
        <v>46147</v>
      </c>
      <c r="X143" s="150" t="s">
        <v>282</v>
      </c>
      <c r="Y143" s="151" t="s">
        <v>236</v>
      </c>
      <c r="Z143" s="152" t="s">
        <v>259</v>
      </c>
      <c r="AA143" s="153">
        <v>15000</v>
      </c>
      <c r="AB143" s="153" t="s">
        <v>245</v>
      </c>
      <c r="AC143" s="153" t="s">
        <v>239</v>
      </c>
      <c r="AD143" s="154">
        <f t="shared" si="97"/>
        <v>15000</v>
      </c>
      <c r="AE143" s="155">
        <f t="shared" si="98"/>
        <v>2850</v>
      </c>
      <c r="AF143" s="155">
        <f t="shared" si="87"/>
        <v>17850</v>
      </c>
      <c r="AG143" s="155">
        <f t="shared" si="99"/>
        <v>15000</v>
      </c>
      <c r="AH143" s="155">
        <f t="shared" si="100"/>
        <v>17850</v>
      </c>
      <c r="AI143" s="156" t="s">
        <v>247</v>
      </c>
      <c r="AJ143" s="157">
        <v>46147</v>
      </c>
      <c r="AK143" s="158" t="s">
        <v>235</v>
      </c>
      <c r="AL143" s="159" t="s">
        <v>236</v>
      </c>
      <c r="AM143" s="160" t="s">
        <v>235</v>
      </c>
      <c r="AN143" s="161">
        <v>18500</v>
      </c>
      <c r="AO143" s="161" t="s">
        <v>265</v>
      </c>
      <c r="AP143" s="162" t="s">
        <v>265</v>
      </c>
      <c r="AQ143" s="163">
        <f t="shared" si="101"/>
        <v>18500</v>
      </c>
      <c r="AR143" s="164">
        <f t="shared" si="88"/>
        <v>0</v>
      </c>
      <c r="AS143" s="164">
        <f t="shared" si="89"/>
        <v>18500</v>
      </c>
      <c r="AT143" s="164">
        <f t="shared" si="90"/>
        <v>18500</v>
      </c>
      <c r="AU143" s="164">
        <f t="shared" si="91"/>
        <v>18500</v>
      </c>
      <c r="AV143" s="165">
        <f t="shared" si="83"/>
        <v>17117</v>
      </c>
      <c r="AW143" s="165">
        <f t="shared" si="84"/>
        <v>17117</v>
      </c>
      <c r="AX143" s="165">
        <f t="shared" si="85"/>
        <v>1862</v>
      </c>
      <c r="AY143" s="166">
        <f t="shared" si="92"/>
        <v>0.10878074428930304</v>
      </c>
      <c r="AZ143" s="5"/>
      <c r="BA143" s="7">
        <f t="shared" si="93"/>
        <v>3</v>
      </c>
      <c r="BB143" s="7" t="s">
        <v>730</v>
      </c>
    </row>
    <row r="144" spans="1:54" ht="81" x14ac:dyDescent="0.25">
      <c r="A144" s="137" t="s">
        <v>229</v>
      </c>
      <c r="B144" s="137" t="s">
        <v>306</v>
      </c>
      <c r="C144" s="137">
        <v>60121226</v>
      </c>
      <c r="D144" s="137" t="s">
        <v>731</v>
      </c>
      <c r="E144" s="138" t="s">
        <v>732</v>
      </c>
      <c r="F144" s="139" t="s">
        <v>233</v>
      </c>
      <c r="G144" s="140">
        <v>1</v>
      </c>
      <c r="H144" s="139" t="s">
        <v>51</v>
      </c>
      <c r="I144" s="141" t="s">
        <v>247</v>
      </c>
      <c r="J144" s="142">
        <v>46072</v>
      </c>
      <c r="K144" s="143" t="s">
        <v>733</v>
      </c>
      <c r="L144" s="144" t="s">
        <v>241</v>
      </c>
      <c r="M144" s="142" t="s">
        <v>634</v>
      </c>
      <c r="N144" s="145">
        <v>19900</v>
      </c>
      <c r="O144" s="145" t="s">
        <v>238</v>
      </c>
      <c r="P144" s="145" t="s">
        <v>239</v>
      </c>
      <c r="Q144" s="146">
        <f t="shared" ref="Q144:Q153" si="102">IF(O144="IVA Incluido",(N144/1.19),N144)</f>
        <v>16722.689075630253</v>
      </c>
      <c r="R144" s="147">
        <f t="shared" si="94"/>
        <v>3177.3109243697481</v>
      </c>
      <c r="S144" s="147">
        <f t="shared" si="86"/>
        <v>19900</v>
      </c>
      <c r="T144" s="147">
        <f t="shared" si="95"/>
        <v>19900</v>
      </c>
      <c r="U144" s="147">
        <f t="shared" si="96"/>
        <v>19900</v>
      </c>
      <c r="V144" s="148" t="s">
        <v>247</v>
      </c>
      <c r="W144" s="149">
        <v>46072</v>
      </c>
      <c r="X144" s="150" t="s">
        <v>311</v>
      </c>
      <c r="Y144" s="151" t="s">
        <v>241</v>
      </c>
      <c r="Z144" s="152" t="s">
        <v>312</v>
      </c>
      <c r="AA144" s="153">
        <v>18200</v>
      </c>
      <c r="AB144" s="153" t="s">
        <v>245</v>
      </c>
      <c r="AC144" s="153" t="s">
        <v>239</v>
      </c>
      <c r="AD144" s="154">
        <f t="shared" si="97"/>
        <v>18200</v>
      </c>
      <c r="AE144" s="155">
        <f t="shared" si="98"/>
        <v>3458</v>
      </c>
      <c r="AF144" s="155">
        <f t="shared" si="87"/>
        <v>21658</v>
      </c>
      <c r="AG144" s="155">
        <f t="shared" si="99"/>
        <v>18200</v>
      </c>
      <c r="AH144" s="155">
        <f t="shared" si="100"/>
        <v>21658</v>
      </c>
      <c r="AI144" s="156" t="s">
        <v>247</v>
      </c>
      <c r="AJ144" s="157">
        <v>46072</v>
      </c>
      <c r="AK144" s="158" t="s">
        <v>734</v>
      </c>
      <c r="AL144" s="159" t="s">
        <v>241</v>
      </c>
      <c r="AM144" s="160" t="s">
        <v>683</v>
      </c>
      <c r="AN144" s="161">
        <v>17500</v>
      </c>
      <c r="AO144" s="161" t="s">
        <v>238</v>
      </c>
      <c r="AP144" s="162" t="s">
        <v>239</v>
      </c>
      <c r="AQ144" s="163">
        <f t="shared" si="101"/>
        <v>14705.882352941177</v>
      </c>
      <c r="AR144" s="164">
        <f t="shared" si="88"/>
        <v>2794.1176470588234</v>
      </c>
      <c r="AS144" s="164">
        <f t="shared" si="89"/>
        <v>17500</v>
      </c>
      <c r="AT144" s="164">
        <f t="shared" si="90"/>
        <v>17500</v>
      </c>
      <c r="AU144" s="164">
        <f t="shared" si="91"/>
        <v>17500</v>
      </c>
      <c r="AV144" s="165">
        <f t="shared" si="83"/>
        <v>19686</v>
      </c>
      <c r="AW144" s="165">
        <f t="shared" si="84"/>
        <v>19686</v>
      </c>
      <c r="AX144" s="165">
        <f t="shared" si="85"/>
        <v>2087</v>
      </c>
      <c r="AY144" s="166">
        <f t="shared" si="92"/>
        <v>0.106014426495987</v>
      </c>
      <c r="AZ144" s="5"/>
      <c r="BA144" s="7">
        <f t="shared" si="93"/>
        <v>3</v>
      </c>
      <c r="BB144" s="7"/>
    </row>
    <row r="145" spans="1:54" ht="81" x14ac:dyDescent="0.25">
      <c r="A145" s="137" t="s">
        <v>229</v>
      </c>
      <c r="B145" s="137" t="s">
        <v>306</v>
      </c>
      <c r="C145" s="137">
        <v>60121226</v>
      </c>
      <c r="D145" s="137" t="s">
        <v>735</v>
      </c>
      <c r="E145" s="138" t="s">
        <v>736</v>
      </c>
      <c r="F145" s="139" t="s">
        <v>233</v>
      </c>
      <c r="G145" s="140">
        <v>1</v>
      </c>
      <c r="H145" s="139" t="s">
        <v>51</v>
      </c>
      <c r="I145" s="141" t="s">
        <v>247</v>
      </c>
      <c r="J145" s="142">
        <v>46072</v>
      </c>
      <c r="K145" s="143" t="s">
        <v>537</v>
      </c>
      <c r="L145" s="144" t="s">
        <v>241</v>
      </c>
      <c r="M145" s="142" t="s">
        <v>538</v>
      </c>
      <c r="N145" s="145">
        <v>18319</v>
      </c>
      <c r="O145" s="145" t="s">
        <v>245</v>
      </c>
      <c r="P145" s="145" t="s">
        <v>239</v>
      </c>
      <c r="Q145" s="146">
        <f t="shared" si="102"/>
        <v>18319</v>
      </c>
      <c r="R145" s="147">
        <f t="shared" si="94"/>
        <v>3480.61</v>
      </c>
      <c r="S145" s="147">
        <f t="shared" si="86"/>
        <v>21799.61</v>
      </c>
      <c r="T145" s="147">
        <f t="shared" si="95"/>
        <v>18319</v>
      </c>
      <c r="U145" s="147">
        <f t="shared" si="96"/>
        <v>21799.61</v>
      </c>
      <c r="V145" s="148" t="s">
        <v>247</v>
      </c>
      <c r="W145" s="149">
        <v>46072</v>
      </c>
      <c r="X145" s="150" t="s">
        <v>313</v>
      </c>
      <c r="Y145" s="151" t="s">
        <v>241</v>
      </c>
      <c r="Z145" s="152" t="s">
        <v>553</v>
      </c>
      <c r="AA145" s="153">
        <v>20400</v>
      </c>
      <c r="AB145" s="153" t="s">
        <v>238</v>
      </c>
      <c r="AC145" s="153" t="s">
        <v>239</v>
      </c>
      <c r="AD145" s="154">
        <f t="shared" si="97"/>
        <v>17142.857142857145</v>
      </c>
      <c r="AE145" s="155">
        <f t="shared" si="98"/>
        <v>3257.1428571428578</v>
      </c>
      <c r="AF145" s="155">
        <f t="shared" si="87"/>
        <v>20400.000000000004</v>
      </c>
      <c r="AG145" s="155">
        <f t="shared" si="99"/>
        <v>20400</v>
      </c>
      <c r="AH145" s="155">
        <f t="shared" si="100"/>
        <v>20400.000000000004</v>
      </c>
      <c r="AI145" s="156" t="s">
        <v>247</v>
      </c>
      <c r="AJ145" s="157">
        <v>46072</v>
      </c>
      <c r="AK145" s="158" t="s">
        <v>737</v>
      </c>
      <c r="AL145" s="159" t="s">
        <v>241</v>
      </c>
      <c r="AM145" s="160" t="s">
        <v>634</v>
      </c>
      <c r="AN145" s="161">
        <v>24900</v>
      </c>
      <c r="AO145" s="161" t="s">
        <v>238</v>
      </c>
      <c r="AP145" s="162" t="s">
        <v>239</v>
      </c>
      <c r="AQ145" s="163">
        <f t="shared" si="101"/>
        <v>20924.36974789916</v>
      </c>
      <c r="AR145" s="164">
        <f t="shared" si="88"/>
        <v>3975.6302521008406</v>
      </c>
      <c r="AS145" s="164">
        <f t="shared" si="89"/>
        <v>24900</v>
      </c>
      <c r="AT145" s="164">
        <f t="shared" si="90"/>
        <v>24900</v>
      </c>
      <c r="AU145" s="164">
        <f t="shared" si="91"/>
        <v>24900</v>
      </c>
      <c r="AV145" s="165">
        <f t="shared" si="83"/>
        <v>22367</v>
      </c>
      <c r="AW145" s="165">
        <f t="shared" si="84"/>
        <v>22367</v>
      </c>
      <c r="AX145" s="165">
        <f t="shared" si="85"/>
        <v>2303</v>
      </c>
      <c r="AY145" s="166">
        <f t="shared" si="92"/>
        <v>0.10296418831313989</v>
      </c>
      <c r="AZ145" s="5"/>
      <c r="BA145" s="7">
        <f t="shared" si="93"/>
        <v>3</v>
      </c>
      <c r="BB145" s="7"/>
    </row>
    <row r="146" spans="1:54" ht="94.5" x14ac:dyDescent="0.25">
      <c r="A146" s="137" t="s">
        <v>229</v>
      </c>
      <c r="B146" s="137" t="s">
        <v>306</v>
      </c>
      <c r="C146" s="137"/>
      <c r="D146" s="137" t="s">
        <v>738</v>
      </c>
      <c r="E146" s="138" t="s">
        <v>739</v>
      </c>
      <c r="F146" s="139" t="s">
        <v>233</v>
      </c>
      <c r="G146" s="140">
        <v>1</v>
      </c>
      <c r="H146" s="139" t="s">
        <v>51</v>
      </c>
      <c r="I146" s="141" t="s">
        <v>247</v>
      </c>
      <c r="J146" s="142">
        <v>46072</v>
      </c>
      <c r="K146" s="143" t="s">
        <v>740</v>
      </c>
      <c r="L146" s="144" t="s">
        <v>241</v>
      </c>
      <c r="M146" s="142" t="s">
        <v>741</v>
      </c>
      <c r="N146" s="145">
        <v>14000</v>
      </c>
      <c r="O146" s="145" t="s">
        <v>238</v>
      </c>
      <c r="P146" s="145" t="s">
        <v>239</v>
      </c>
      <c r="Q146" s="146">
        <f t="shared" si="102"/>
        <v>11764.705882352942</v>
      </c>
      <c r="R146" s="147">
        <f t="shared" si="94"/>
        <v>2235.294117647059</v>
      </c>
      <c r="S146" s="147">
        <f t="shared" si="86"/>
        <v>14000.000000000002</v>
      </c>
      <c r="T146" s="147">
        <f t="shared" si="95"/>
        <v>14000</v>
      </c>
      <c r="U146" s="147">
        <f t="shared" si="96"/>
        <v>14000.000000000002</v>
      </c>
      <c r="V146" s="148" t="s">
        <v>247</v>
      </c>
      <c r="W146" s="149">
        <v>46072</v>
      </c>
      <c r="X146" s="150" t="s">
        <v>742</v>
      </c>
      <c r="Y146" s="151" t="s">
        <v>241</v>
      </c>
      <c r="Z146" s="152" t="s">
        <v>743</v>
      </c>
      <c r="AA146" s="153">
        <v>13600</v>
      </c>
      <c r="AB146" s="153" t="s">
        <v>238</v>
      </c>
      <c r="AC146" s="153" t="s">
        <v>239</v>
      </c>
      <c r="AD146" s="154">
        <f t="shared" si="97"/>
        <v>11428.571428571429</v>
      </c>
      <c r="AE146" s="155">
        <f t="shared" si="98"/>
        <v>2171.4285714285716</v>
      </c>
      <c r="AF146" s="155">
        <f t="shared" si="87"/>
        <v>13600</v>
      </c>
      <c r="AG146" s="155">
        <f t="shared" si="99"/>
        <v>13600</v>
      </c>
      <c r="AH146" s="155">
        <f t="shared" si="100"/>
        <v>13600</v>
      </c>
      <c r="AI146" s="156" t="s">
        <v>247</v>
      </c>
      <c r="AJ146" s="157">
        <v>46072</v>
      </c>
      <c r="AK146" s="158" t="s">
        <v>744</v>
      </c>
      <c r="AL146" s="159" t="s">
        <v>241</v>
      </c>
      <c r="AM146" s="160" t="s">
        <v>745</v>
      </c>
      <c r="AN146" s="161">
        <v>12000</v>
      </c>
      <c r="AO146" s="161" t="s">
        <v>238</v>
      </c>
      <c r="AP146" s="162" t="s">
        <v>239</v>
      </c>
      <c r="AQ146" s="163">
        <f t="shared" si="101"/>
        <v>10084.033613445379</v>
      </c>
      <c r="AR146" s="164">
        <f t="shared" si="88"/>
        <v>1915.966386554622</v>
      </c>
      <c r="AS146" s="164">
        <f t="shared" si="89"/>
        <v>12000.000000000002</v>
      </c>
      <c r="AT146" s="164">
        <f t="shared" si="90"/>
        <v>12000</v>
      </c>
      <c r="AU146" s="164">
        <f t="shared" si="91"/>
        <v>12000.000000000002</v>
      </c>
      <c r="AV146" s="165">
        <f t="shared" si="83"/>
        <v>13200</v>
      </c>
      <c r="AW146" s="165">
        <f t="shared" si="84"/>
        <v>13200</v>
      </c>
      <c r="AX146" s="165">
        <f t="shared" si="85"/>
        <v>1058</v>
      </c>
      <c r="AY146" s="166">
        <f t="shared" si="92"/>
        <v>8.0151515151515154E-2</v>
      </c>
      <c r="AZ146" s="5"/>
      <c r="BA146" s="7">
        <f t="shared" si="93"/>
        <v>3</v>
      </c>
      <c r="BB146" s="7"/>
    </row>
    <row r="147" spans="1:54" ht="67.5" x14ac:dyDescent="0.25">
      <c r="A147" s="137" t="s">
        <v>229</v>
      </c>
      <c r="B147" s="137" t="s">
        <v>306</v>
      </c>
      <c r="C147" s="137"/>
      <c r="D147" s="137" t="s">
        <v>746</v>
      </c>
      <c r="E147" s="138" t="s">
        <v>747</v>
      </c>
      <c r="F147" s="139" t="s">
        <v>233</v>
      </c>
      <c r="G147" s="140">
        <v>1</v>
      </c>
      <c r="H147" s="139" t="s">
        <v>51</v>
      </c>
      <c r="I147" s="141" t="s">
        <v>247</v>
      </c>
      <c r="J147" s="142">
        <v>46072</v>
      </c>
      <c r="K147" s="143" t="s">
        <v>748</v>
      </c>
      <c r="L147" s="144" t="s">
        <v>241</v>
      </c>
      <c r="M147" s="142" t="s">
        <v>749</v>
      </c>
      <c r="N147" s="145">
        <v>11900</v>
      </c>
      <c r="O147" s="145" t="s">
        <v>238</v>
      </c>
      <c r="P147" s="145" t="s">
        <v>239</v>
      </c>
      <c r="Q147" s="146">
        <f t="shared" si="102"/>
        <v>10000</v>
      </c>
      <c r="R147" s="147">
        <f t="shared" si="94"/>
        <v>1900</v>
      </c>
      <c r="S147" s="147">
        <f t="shared" si="86"/>
        <v>11900</v>
      </c>
      <c r="T147" s="147">
        <f t="shared" si="95"/>
        <v>11900</v>
      </c>
      <c r="U147" s="147">
        <f t="shared" si="96"/>
        <v>11900</v>
      </c>
      <c r="V147" s="148" t="s">
        <v>247</v>
      </c>
      <c r="W147" s="149">
        <v>46072</v>
      </c>
      <c r="X147" s="150" t="s">
        <v>750</v>
      </c>
      <c r="Y147" s="151" t="s">
        <v>241</v>
      </c>
      <c r="Z147" s="152" t="s">
        <v>751</v>
      </c>
      <c r="AA147" s="153">
        <v>13800</v>
      </c>
      <c r="AB147" s="153" t="s">
        <v>238</v>
      </c>
      <c r="AC147" s="153" t="s">
        <v>239</v>
      </c>
      <c r="AD147" s="154">
        <f t="shared" si="97"/>
        <v>11596.638655462186</v>
      </c>
      <c r="AE147" s="155">
        <f t="shared" si="98"/>
        <v>2203.3613445378155</v>
      </c>
      <c r="AF147" s="155">
        <f t="shared" si="87"/>
        <v>13800.000000000002</v>
      </c>
      <c r="AG147" s="155">
        <f t="shared" si="99"/>
        <v>13800</v>
      </c>
      <c r="AH147" s="155">
        <f t="shared" si="100"/>
        <v>13800.000000000002</v>
      </c>
      <c r="AI147" s="156" t="s">
        <v>247</v>
      </c>
      <c r="AJ147" s="157">
        <v>46072</v>
      </c>
      <c r="AK147" s="158" t="s">
        <v>752</v>
      </c>
      <c r="AL147" s="159" t="s">
        <v>241</v>
      </c>
      <c r="AM147" s="160" t="s">
        <v>753</v>
      </c>
      <c r="AN147" s="161">
        <v>11400</v>
      </c>
      <c r="AO147" s="161" t="s">
        <v>238</v>
      </c>
      <c r="AP147" s="162" t="s">
        <v>239</v>
      </c>
      <c r="AQ147" s="163">
        <f t="shared" si="101"/>
        <v>9579.8319327731097</v>
      </c>
      <c r="AR147" s="164">
        <f t="shared" si="88"/>
        <v>1820.1680672268908</v>
      </c>
      <c r="AS147" s="164">
        <f t="shared" si="89"/>
        <v>11400</v>
      </c>
      <c r="AT147" s="164">
        <f t="shared" si="90"/>
        <v>11400</v>
      </c>
      <c r="AU147" s="164">
        <f t="shared" si="91"/>
        <v>11400</v>
      </c>
      <c r="AV147" s="165">
        <f t="shared" si="83"/>
        <v>12367</v>
      </c>
      <c r="AW147" s="165">
        <f t="shared" si="84"/>
        <v>12367</v>
      </c>
      <c r="AX147" s="165">
        <f t="shared" si="85"/>
        <v>1266</v>
      </c>
      <c r="AY147" s="166">
        <f t="shared" si="92"/>
        <v>0.10236920837713269</v>
      </c>
      <c r="AZ147" s="5"/>
      <c r="BA147" s="7">
        <f t="shared" si="93"/>
        <v>3</v>
      </c>
      <c r="BB147" s="7"/>
    </row>
    <row r="148" spans="1:54" ht="67.5" x14ac:dyDescent="0.25">
      <c r="A148" s="137" t="s">
        <v>229</v>
      </c>
      <c r="B148" s="137" t="s">
        <v>306</v>
      </c>
      <c r="C148" s="137"/>
      <c r="D148" s="137" t="s">
        <v>754</v>
      </c>
      <c r="E148" s="138" t="s">
        <v>755</v>
      </c>
      <c r="F148" s="139" t="s">
        <v>233</v>
      </c>
      <c r="G148" s="140">
        <v>1</v>
      </c>
      <c r="H148" s="139" t="s">
        <v>51</v>
      </c>
      <c r="I148" s="141" t="s">
        <v>247</v>
      </c>
      <c r="J148" s="142">
        <v>46072</v>
      </c>
      <c r="K148" s="143" t="s">
        <v>313</v>
      </c>
      <c r="L148" s="144" t="s">
        <v>241</v>
      </c>
      <c r="M148" s="142" t="s">
        <v>561</v>
      </c>
      <c r="N148" s="145">
        <v>5200</v>
      </c>
      <c r="O148" s="145" t="s">
        <v>238</v>
      </c>
      <c r="P148" s="145" t="s">
        <v>239</v>
      </c>
      <c r="Q148" s="146">
        <f t="shared" si="102"/>
        <v>4369.7478991596645</v>
      </c>
      <c r="R148" s="147">
        <f t="shared" si="94"/>
        <v>830.25210084033631</v>
      </c>
      <c r="S148" s="147">
        <f t="shared" si="86"/>
        <v>5200.0000000000009</v>
      </c>
      <c r="T148" s="147">
        <f t="shared" si="95"/>
        <v>5200</v>
      </c>
      <c r="U148" s="147">
        <f t="shared" si="96"/>
        <v>5200.0000000000009</v>
      </c>
      <c r="V148" s="148" t="s">
        <v>247</v>
      </c>
      <c r="W148" s="149">
        <v>46072</v>
      </c>
      <c r="X148" s="150" t="s">
        <v>756</v>
      </c>
      <c r="Y148" s="151" t="s">
        <v>241</v>
      </c>
      <c r="Z148" s="152" t="s">
        <v>757</v>
      </c>
      <c r="AA148" s="153">
        <v>5500</v>
      </c>
      <c r="AB148" s="153" t="s">
        <v>238</v>
      </c>
      <c r="AC148" s="153" t="s">
        <v>239</v>
      </c>
      <c r="AD148" s="154">
        <f t="shared" si="97"/>
        <v>4621.8487394957983</v>
      </c>
      <c r="AE148" s="155">
        <f t="shared" si="98"/>
        <v>878.15126050420167</v>
      </c>
      <c r="AF148" s="155">
        <f t="shared" si="87"/>
        <v>5500</v>
      </c>
      <c r="AG148" s="155">
        <f t="shared" si="99"/>
        <v>5500</v>
      </c>
      <c r="AH148" s="155">
        <f t="shared" si="100"/>
        <v>5500</v>
      </c>
      <c r="AI148" s="156" t="s">
        <v>234</v>
      </c>
      <c r="AJ148" s="157">
        <v>46072</v>
      </c>
      <c r="AK148" s="158" t="s">
        <v>655</v>
      </c>
      <c r="AL148" s="159" t="s">
        <v>236</v>
      </c>
      <c r="AM148" s="160" t="s">
        <v>656</v>
      </c>
      <c r="AN148" s="161">
        <v>5200</v>
      </c>
      <c r="AO148" s="161" t="s">
        <v>245</v>
      </c>
      <c r="AP148" s="162" t="s">
        <v>239</v>
      </c>
      <c r="AQ148" s="163">
        <f t="shared" si="101"/>
        <v>5200</v>
      </c>
      <c r="AR148" s="164">
        <f t="shared" si="88"/>
        <v>988</v>
      </c>
      <c r="AS148" s="164">
        <f t="shared" si="89"/>
        <v>6188</v>
      </c>
      <c r="AT148" s="164">
        <f t="shared" si="90"/>
        <v>5200</v>
      </c>
      <c r="AU148" s="164">
        <f t="shared" si="91"/>
        <v>6188</v>
      </c>
      <c r="AV148" s="165">
        <f t="shared" si="83"/>
        <v>5629</v>
      </c>
      <c r="AW148" s="165">
        <f t="shared" si="84"/>
        <v>5629</v>
      </c>
      <c r="AX148" s="165">
        <f t="shared" si="85"/>
        <v>507</v>
      </c>
      <c r="AY148" s="166">
        <f t="shared" si="92"/>
        <v>9.0069284064665134E-2</v>
      </c>
      <c r="AZ148" s="5"/>
      <c r="BA148" s="7">
        <f t="shared" si="93"/>
        <v>3</v>
      </c>
      <c r="BB148" s="7"/>
    </row>
    <row r="149" spans="1:54" ht="54" x14ac:dyDescent="0.25">
      <c r="A149" s="137" t="s">
        <v>229</v>
      </c>
      <c r="B149" s="137" t="s">
        <v>306</v>
      </c>
      <c r="C149" s="137">
        <v>60121518</v>
      </c>
      <c r="D149" s="137" t="s">
        <v>758</v>
      </c>
      <c r="E149" s="138" t="s">
        <v>759</v>
      </c>
      <c r="F149" s="139" t="s">
        <v>233</v>
      </c>
      <c r="G149" s="140">
        <v>1</v>
      </c>
      <c r="H149" s="139" t="s">
        <v>51</v>
      </c>
      <c r="I149" s="141" t="s">
        <v>760</v>
      </c>
      <c r="J149" s="142">
        <v>46056</v>
      </c>
      <c r="K149" s="143" t="s">
        <v>761</v>
      </c>
      <c r="L149" s="144" t="s">
        <v>241</v>
      </c>
      <c r="M149" s="142" t="s">
        <v>634</v>
      </c>
      <c r="N149" s="145">
        <v>7992</v>
      </c>
      <c r="O149" s="145" t="s">
        <v>238</v>
      </c>
      <c r="P149" s="145" t="s">
        <v>239</v>
      </c>
      <c r="Q149" s="146">
        <f t="shared" si="102"/>
        <v>6715.9663865546217</v>
      </c>
      <c r="R149" s="147">
        <f t="shared" si="94"/>
        <v>1276.0336134453783</v>
      </c>
      <c r="S149" s="147">
        <f t="shared" si="86"/>
        <v>7992</v>
      </c>
      <c r="T149" s="147">
        <f t="shared" si="95"/>
        <v>7992</v>
      </c>
      <c r="U149" s="147">
        <f t="shared" si="96"/>
        <v>7992</v>
      </c>
      <c r="V149" s="148" t="s">
        <v>762</v>
      </c>
      <c r="W149" s="149">
        <v>46056</v>
      </c>
      <c r="X149" s="150" t="s">
        <v>763</v>
      </c>
      <c r="Y149" s="151" t="s">
        <v>241</v>
      </c>
      <c r="Z149" s="152" t="s">
        <v>293</v>
      </c>
      <c r="AA149" s="153">
        <v>9300</v>
      </c>
      <c r="AB149" s="153" t="s">
        <v>238</v>
      </c>
      <c r="AC149" s="153" t="s">
        <v>239</v>
      </c>
      <c r="AD149" s="154">
        <f t="shared" si="97"/>
        <v>7815.1260504201682</v>
      </c>
      <c r="AE149" s="155">
        <f t="shared" si="98"/>
        <v>1484.873949579832</v>
      </c>
      <c r="AF149" s="155">
        <f t="shared" si="87"/>
        <v>9300</v>
      </c>
      <c r="AG149" s="155">
        <f t="shared" si="99"/>
        <v>9300</v>
      </c>
      <c r="AH149" s="155">
        <f t="shared" si="100"/>
        <v>9300</v>
      </c>
      <c r="AI149" s="156" t="s">
        <v>760</v>
      </c>
      <c r="AJ149" s="157">
        <v>46056</v>
      </c>
      <c r="AK149" s="158" t="s">
        <v>764</v>
      </c>
      <c r="AL149" s="159" t="s">
        <v>241</v>
      </c>
      <c r="AM149" s="160" t="s">
        <v>765</v>
      </c>
      <c r="AN149" s="161">
        <v>11180</v>
      </c>
      <c r="AO149" s="161" t="s">
        <v>238</v>
      </c>
      <c r="AP149" s="162" t="s">
        <v>239</v>
      </c>
      <c r="AQ149" s="163">
        <f t="shared" si="101"/>
        <v>9394.957983193277</v>
      </c>
      <c r="AR149" s="164">
        <f t="shared" si="88"/>
        <v>1785.0420168067226</v>
      </c>
      <c r="AS149" s="164">
        <f t="shared" si="89"/>
        <v>11180</v>
      </c>
      <c r="AT149" s="164">
        <f t="shared" si="90"/>
        <v>11180</v>
      </c>
      <c r="AU149" s="164">
        <f t="shared" si="91"/>
        <v>11180</v>
      </c>
      <c r="AV149" s="165">
        <f t="shared" si="83"/>
        <v>9491</v>
      </c>
      <c r="AW149" s="165">
        <f t="shared" si="84"/>
        <v>9491</v>
      </c>
      <c r="AX149" s="165">
        <f t="shared" si="85"/>
        <v>1603</v>
      </c>
      <c r="AY149" s="166">
        <f t="shared" si="92"/>
        <v>0.16889684964703403</v>
      </c>
      <c r="AZ149" s="5"/>
      <c r="BA149" s="7">
        <f t="shared" si="93"/>
        <v>3</v>
      </c>
      <c r="BB149" s="7"/>
    </row>
    <row r="150" spans="1:54" ht="67.5" x14ac:dyDescent="0.25">
      <c r="A150" s="137" t="s">
        <v>229</v>
      </c>
      <c r="B150" s="137" t="s">
        <v>306</v>
      </c>
      <c r="C150" s="137">
        <v>60121516</v>
      </c>
      <c r="D150" s="137" t="s">
        <v>766</v>
      </c>
      <c r="E150" s="138" t="s">
        <v>767</v>
      </c>
      <c r="F150" s="139" t="s">
        <v>233</v>
      </c>
      <c r="G150" s="140">
        <v>1</v>
      </c>
      <c r="H150" s="139" t="s">
        <v>51</v>
      </c>
      <c r="I150" s="141" t="s">
        <v>760</v>
      </c>
      <c r="J150" s="142">
        <v>46057</v>
      </c>
      <c r="K150" s="143" t="s">
        <v>768</v>
      </c>
      <c r="L150" s="144" t="s">
        <v>241</v>
      </c>
      <c r="M150" s="142" t="s">
        <v>769</v>
      </c>
      <c r="N150" s="145">
        <v>3500</v>
      </c>
      <c r="O150" s="145" t="s">
        <v>238</v>
      </c>
      <c r="P150" s="145" t="s">
        <v>239</v>
      </c>
      <c r="Q150" s="146">
        <f t="shared" si="102"/>
        <v>2941.1764705882356</v>
      </c>
      <c r="R150" s="147">
        <f t="shared" si="94"/>
        <v>558.82352941176475</v>
      </c>
      <c r="S150" s="147">
        <f t="shared" si="86"/>
        <v>3500.0000000000005</v>
      </c>
      <c r="T150" s="147">
        <f t="shared" si="95"/>
        <v>3500</v>
      </c>
      <c r="U150" s="147">
        <f t="shared" si="96"/>
        <v>3500.0000000000005</v>
      </c>
      <c r="V150" s="148" t="s">
        <v>760</v>
      </c>
      <c r="W150" s="149">
        <v>46057</v>
      </c>
      <c r="X150" s="150" t="s">
        <v>770</v>
      </c>
      <c r="Y150" s="151" t="s">
        <v>241</v>
      </c>
      <c r="Z150" s="152" t="s">
        <v>771</v>
      </c>
      <c r="AA150" s="153">
        <v>3176</v>
      </c>
      <c r="AB150" s="153" t="s">
        <v>238</v>
      </c>
      <c r="AC150" s="153" t="s">
        <v>239</v>
      </c>
      <c r="AD150" s="154">
        <f t="shared" si="97"/>
        <v>2668.90756302521</v>
      </c>
      <c r="AE150" s="155">
        <f t="shared" si="98"/>
        <v>507.0924369747899</v>
      </c>
      <c r="AF150" s="155">
        <f t="shared" si="87"/>
        <v>3176</v>
      </c>
      <c r="AG150" s="155">
        <f t="shared" si="99"/>
        <v>3176</v>
      </c>
      <c r="AH150" s="155">
        <f t="shared" si="100"/>
        <v>3176</v>
      </c>
      <c r="AI150" s="156" t="s">
        <v>760</v>
      </c>
      <c r="AJ150" s="157">
        <v>46057</v>
      </c>
      <c r="AK150" s="158" t="s">
        <v>772</v>
      </c>
      <c r="AL150" s="159" t="s">
        <v>241</v>
      </c>
      <c r="AM150" s="160" t="s">
        <v>550</v>
      </c>
      <c r="AN150" s="161">
        <v>4500</v>
      </c>
      <c r="AO150" s="161" t="s">
        <v>238</v>
      </c>
      <c r="AP150" s="162" t="s">
        <v>239</v>
      </c>
      <c r="AQ150" s="163">
        <f t="shared" si="101"/>
        <v>3781.5126050420172</v>
      </c>
      <c r="AR150" s="164">
        <f t="shared" si="88"/>
        <v>718.48739495798327</v>
      </c>
      <c r="AS150" s="164">
        <f t="shared" si="89"/>
        <v>4500</v>
      </c>
      <c r="AT150" s="164">
        <f t="shared" si="90"/>
        <v>4500</v>
      </c>
      <c r="AU150" s="164">
        <f t="shared" si="91"/>
        <v>4500</v>
      </c>
      <c r="AV150" s="165">
        <f t="shared" si="83"/>
        <v>3725</v>
      </c>
      <c r="AW150" s="165">
        <f t="shared" si="84"/>
        <v>3725</v>
      </c>
      <c r="AX150" s="165">
        <f t="shared" si="85"/>
        <v>690</v>
      </c>
      <c r="AY150" s="166">
        <f t="shared" si="92"/>
        <v>0.18523489932885906</v>
      </c>
      <c r="AZ150" s="5"/>
      <c r="BA150" s="7">
        <f t="shared" si="93"/>
        <v>3</v>
      </c>
      <c r="BB150" s="7"/>
    </row>
    <row r="151" spans="1:54" ht="67.5" x14ac:dyDescent="0.25">
      <c r="A151" s="137" t="s">
        <v>229</v>
      </c>
      <c r="B151" s="137" t="s">
        <v>306</v>
      </c>
      <c r="C151" s="137">
        <v>60121518</v>
      </c>
      <c r="D151" s="137" t="s">
        <v>773</v>
      </c>
      <c r="E151" s="138" t="s">
        <v>774</v>
      </c>
      <c r="F151" s="139" t="s">
        <v>233</v>
      </c>
      <c r="G151" s="140">
        <v>1</v>
      </c>
      <c r="H151" s="139" t="s">
        <v>51</v>
      </c>
      <c r="I151" s="141" t="s">
        <v>234</v>
      </c>
      <c r="J151" s="142">
        <v>46080</v>
      </c>
      <c r="K151" s="143" t="s">
        <v>775</v>
      </c>
      <c r="L151" s="144" t="s">
        <v>241</v>
      </c>
      <c r="M151" s="142" t="s">
        <v>776</v>
      </c>
      <c r="N151" s="145">
        <v>8500</v>
      </c>
      <c r="O151" s="145" t="s">
        <v>238</v>
      </c>
      <c r="P151" s="145" t="s">
        <v>239</v>
      </c>
      <c r="Q151" s="146">
        <f t="shared" si="102"/>
        <v>7142.8571428571431</v>
      </c>
      <c r="R151" s="147">
        <f t="shared" si="94"/>
        <v>1357.1428571428571</v>
      </c>
      <c r="S151" s="147">
        <f t="shared" si="86"/>
        <v>8500</v>
      </c>
      <c r="T151" s="147">
        <f t="shared" si="95"/>
        <v>8500</v>
      </c>
      <c r="U151" s="147">
        <f t="shared" si="96"/>
        <v>8500</v>
      </c>
      <c r="V151" s="148" t="s">
        <v>234</v>
      </c>
      <c r="W151" s="149">
        <v>46080</v>
      </c>
      <c r="X151" s="150" t="s">
        <v>768</v>
      </c>
      <c r="Y151" s="151" t="s">
        <v>241</v>
      </c>
      <c r="Z151" s="152" t="s">
        <v>777</v>
      </c>
      <c r="AA151" s="153">
        <v>6722</v>
      </c>
      <c r="AB151" s="153" t="s">
        <v>245</v>
      </c>
      <c r="AC151" s="153" t="s">
        <v>239</v>
      </c>
      <c r="AD151" s="154">
        <f t="shared" si="97"/>
        <v>6722</v>
      </c>
      <c r="AE151" s="155">
        <f t="shared" si="98"/>
        <v>1277.18</v>
      </c>
      <c r="AF151" s="155">
        <f t="shared" si="87"/>
        <v>7999.18</v>
      </c>
      <c r="AG151" s="155">
        <f t="shared" si="99"/>
        <v>6722</v>
      </c>
      <c r="AH151" s="155">
        <f t="shared" si="100"/>
        <v>7999.18</v>
      </c>
      <c r="AI151" s="156" t="s">
        <v>234</v>
      </c>
      <c r="AJ151" s="157">
        <v>46080</v>
      </c>
      <c r="AK151" s="158" t="s">
        <v>313</v>
      </c>
      <c r="AL151" s="159" t="s">
        <v>241</v>
      </c>
      <c r="AM151" s="160" t="s">
        <v>553</v>
      </c>
      <c r="AN151" s="161">
        <v>6302</v>
      </c>
      <c r="AO151" s="161" t="s">
        <v>238</v>
      </c>
      <c r="AP151" s="162" t="s">
        <v>239</v>
      </c>
      <c r="AQ151" s="163">
        <f t="shared" si="101"/>
        <v>5295.7983193277314</v>
      </c>
      <c r="AR151" s="164">
        <f t="shared" si="88"/>
        <v>1006.2016806722689</v>
      </c>
      <c r="AS151" s="164">
        <f t="shared" si="89"/>
        <v>6302</v>
      </c>
      <c r="AT151" s="164">
        <f t="shared" si="90"/>
        <v>6302</v>
      </c>
      <c r="AU151" s="164">
        <f t="shared" si="91"/>
        <v>6302</v>
      </c>
      <c r="AV151" s="165">
        <f t="shared" si="83"/>
        <v>7600</v>
      </c>
      <c r="AW151" s="165">
        <f t="shared" si="84"/>
        <v>7600</v>
      </c>
      <c r="AX151" s="165">
        <f t="shared" si="85"/>
        <v>1152</v>
      </c>
      <c r="AY151" s="166">
        <f t="shared" si="92"/>
        <v>0.15157894736842106</v>
      </c>
      <c r="AZ151" s="5"/>
      <c r="BA151" s="7">
        <f t="shared" si="93"/>
        <v>3</v>
      </c>
      <c r="BB151" s="7"/>
    </row>
    <row r="152" spans="1:54" ht="108" x14ac:dyDescent="0.25">
      <c r="A152" s="137" t="s">
        <v>229</v>
      </c>
      <c r="B152" s="137" t="s">
        <v>306</v>
      </c>
      <c r="C152" s="137">
        <v>60121905</v>
      </c>
      <c r="D152" s="137" t="s">
        <v>778</v>
      </c>
      <c r="E152" s="138" t="s">
        <v>779</v>
      </c>
      <c r="F152" s="139" t="s">
        <v>233</v>
      </c>
      <c r="G152" s="140">
        <v>1</v>
      </c>
      <c r="H152" s="139" t="s">
        <v>51</v>
      </c>
      <c r="I152" s="141" t="s">
        <v>234</v>
      </c>
      <c r="J152" s="142">
        <v>46080</v>
      </c>
      <c r="K152" s="143" t="s">
        <v>780</v>
      </c>
      <c r="L152" s="144" t="s">
        <v>236</v>
      </c>
      <c r="M152" s="142" t="s">
        <v>781</v>
      </c>
      <c r="N152" s="145">
        <v>12000</v>
      </c>
      <c r="O152" s="145" t="s">
        <v>238</v>
      </c>
      <c r="P152" s="145" t="s">
        <v>239</v>
      </c>
      <c r="Q152" s="146">
        <f t="shared" si="102"/>
        <v>10084.033613445379</v>
      </c>
      <c r="R152" s="147">
        <f t="shared" si="94"/>
        <v>1915.966386554622</v>
      </c>
      <c r="S152" s="147">
        <f t="shared" si="86"/>
        <v>12000.000000000002</v>
      </c>
      <c r="T152" s="147">
        <f t="shared" si="95"/>
        <v>12000</v>
      </c>
      <c r="U152" s="147">
        <f t="shared" si="96"/>
        <v>12000.000000000002</v>
      </c>
      <c r="V152" s="148" t="s">
        <v>234</v>
      </c>
      <c r="W152" s="149">
        <v>46080</v>
      </c>
      <c r="X152" s="150" t="s">
        <v>782</v>
      </c>
      <c r="Y152" s="151" t="s">
        <v>241</v>
      </c>
      <c r="Z152" s="152" t="s">
        <v>634</v>
      </c>
      <c r="AA152" s="153">
        <v>11400</v>
      </c>
      <c r="AB152" s="153" t="s">
        <v>238</v>
      </c>
      <c r="AC152" s="153" t="s">
        <v>239</v>
      </c>
      <c r="AD152" s="154">
        <f t="shared" si="97"/>
        <v>9579.8319327731097</v>
      </c>
      <c r="AE152" s="155">
        <f t="shared" si="98"/>
        <v>1820.1680672268908</v>
      </c>
      <c r="AF152" s="155">
        <f t="shared" si="87"/>
        <v>11400</v>
      </c>
      <c r="AG152" s="155">
        <f t="shared" si="99"/>
        <v>11400</v>
      </c>
      <c r="AH152" s="155">
        <f t="shared" si="100"/>
        <v>11400</v>
      </c>
      <c r="AI152" s="156" t="s">
        <v>234</v>
      </c>
      <c r="AJ152" s="157">
        <v>46080</v>
      </c>
      <c r="AK152" s="158" t="s">
        <v>783</v>
      </c>
      <c r="AL152" s="159" t="s">
        <v>241</v>
      </c>
      <c r="AM152" s="160" t="s">
        <v>571</v>
      </c>
      <c r="AN152" s="161">
        <v>12700</v>
      </c>
      <c r="AO152" s="161" t="s">
        <v>238</v>
      </c>
      <c r="AP152" s="162" t="s">
        <v>239</v>
      </c>
      <c r="AQ152" s="163">
        <f t="shared" si="101"/>
        <v>10672.268907563026</v>
      </c>
      <c r="AR152" s="164">
        <f t="shared" si="88"/>
        <v>2027.7310924369749</v>
      </c>
      <c r="AS152" s="164">
        <f t="shared" si="89"/>
        <v>12700</v>
      </c>
      <c r="AT152" s="164">
        <f t="shared" si="90"/>
        <v>12700</v>
      </c>
      <c r="AU152" s="164">
        <f t="shared" si="91"/>
        <v>12700</v>
      </c>
      <c r="AV152" s="165">
        <f t="shared" si="83"/>
        <v>12033</v>
      </c>
      <c r="AW152" s="165">
        <f t="shared" si="84"/>
        <v>12033</v>
      </c>
      <c r="AX152" s="165">
        <f t="shared" si="85"/>
        <v>651</v>
      </c>
      <c r="AY152" s="166">
        <f t="shared" si="92"/>
        <v>5.4101221640488653E-2</v>
      </c>
      <c r="AZ152" s="5"/>
      <c r="BA152" s="7">
        <f t="shared" si="93"/>
        <v>3</v>
      </c>
      <c r="BB152" s="7"/>
    </row>
    <row r="153" spans="1:54" ht="94.5" x14ac:dyDescent="0.25">
      <c r="A153" s="137" t="s">
        <v>229</v>
      </c>
      <c r="B153" s="137" t="s">
        <v>306</v>
      </c>
      <c r="C153" s="137">
        <v>60121905</v>
      </c>
      <c r="D153" s="137" t="s">
        <v>784</v>
      </c>
      <c r="E153" s="138" t="s">
        <v>785</v>
      </c>
      <c r="F153" s="139" t="s">
        <v>233</v>
      </c>
      <c r="G153" s="140">
        <v>1</v>
      </c>
      <c r="H153" s="139" t="s">
        <v>51</v>
      </c>
      <c r="I153" s="141" t="s">
        <v>234</v>
      </c>
      <c r="J153" s="142">
        <v>46080</v>
      </c>
      <c r="K153" s="143" t="s">
        <v>655</v>
      </c>
      <c r="L153" s="144" t="s">
        <v>241</v>
      </c>
      <c r="M153" s="142" t="s">
        <v>656</v>
      </c>
      <c r="N153" s="145">
        <v>7700</v>
      </c>
      <c r="O153" s="145" t="s">
        <v>245</v>
      </c>
      <c r="P153" s="145" t="s">
        <v>239</v>
      </c>
      <c r="Q153" s="146">
        <f t="shared" si="102"/>
        <v>7700</v>
      </c>
      <c r="R153" s="147">
        <f t="shared" si="94"/>
        <v>1463</v>
      </c>
      <c r="S153" s="147">
        <f t="shared" si="86"/>
        <v>9163</v>
      </c>
      <c r="T153" s="147">
        <f t="shared" si="95"/>
        <v>7700</v>
      </c>
      <c r="U153" s="147">
        <f t="shared" si="96"/>
        <v>9163</v>
      </c>
      <c r="V153" s="148" t="s">
        <v>234</v>
      </c>
      <c r="W153" s="149">
        <v>46080</v>
      </c>
      <c r="X153" s="150" t="s">
        <v>786</v>
      </c>
      <c r="Y153" s="151" t="s">
        <v>241</v>
      </c>
      <c r="Z153" s="152" t="s">
        <v>571</v>
      </c>
      <c r="AA153" s="153">
        <v>10710</v>
      </c>
      <c r="AB153" s="153" t="s">
        <v>238</v>
      </c>
      <c r="AC153" s="153" t="s">
        <v>239</v>
      </c>
      <c r="AD153" s="154">
        <f t="shared" si="97"/>
        <v>9000</v>
      </c>
      <c r="AE153" s="155">
        <f t="shared" si="98"/>
        <v>1710</v>
      </c>
      <c r="AF153" s="155">
        <f t="shared" si="87"/>
        <v>10710</v>
      </c>
      <c r="AG153" s="155">
        <f t="shared" si="99"/>
        <v>10710</v>
      </c>
      <c r="AH153" s="155">
        <f t="shared" si="100"/>
        <v>10710</v>
      </c>
      <c r="AI153" s="156" t="s">
        <v>234</v>
      </c>
      <c r="AJ153" s="157">
        <v>46080</v>
      </c>
      <c r="AK153" s="158" t="s">
        <v>787</v>
      </c>
      <c r="AL153" s="159" t="s">
        <v>241</v>
      </c>
      <c r="AM153" s="160" t="s">
        <v>634</v>
      </c>
      <c r="AN153" s="161">
        <v>9900</v>
      </c>
      <c r="AO153" s="161" t="s">
        <v>238</v>
      </c>
      <c r="AP153" s="162" t="s">
        <v>239</v>
      </c>
      <c r="AQ153" s="163">
        <f t="shared" si="101"/>
        <v>8319.3277310924368</v>
      </c>
      <c r="AR153" s="164">
        <f t="shared" si="88"/>
        <v>1580.672268907563</v>
      </c>
      <c r="AS153" s="164">
        <f t="shared" si="89"/>
        <v>9900</v>
      </c>
      <c r="AT153" s="164">
        <f t="shared" si="90"/>
        <v>9900</v>
      </c>
      <c r="AU153" s="164">
        <f t="shared" si="91"/>
        <v>9900</v>
      </c>
      <c r="AV153" s="165">
        <f t="shared" si="83"/>
        <v>9924</v>
      </c>
      <c r="AW153" s="165">
        <f t="shared" si="84"/>
        <v>9924</v>
      </c>
      <c r="AX153" s="165">
        <f t="shared" si="85"/>
        <v>774</v>
      </c>
      <c r="AY153" s="166">
        <f t="shared" si="92"/>
        <v>7.7992744860943167E-2</v>
      </c>
      <c r="AZ153" s="5"/>
      <c r="BA153" s="7">
        <f t="shared" si="93"/>
        <v>3</v>
      </c>
      <c r="BB153" s="7"/>
    </row>
    <row r="154" spans="1:54" ht="297" x14ac:dyDescent="0.25">
      <c r="A154" s="137" t="s">
        <v>299</v>
      </c>
      <c r="B154" s="137" t="s">
        <v>299</v>
      </c>
      <c r="C154" s="137" t="s">
        <v>299</v>
      </c>
      <c r="D154" s="137" t="s">
        <v>788</v>
      </c>
      <c r="E154" s="138" t="s">
        <v>789</v>
      </c>
      <c r="F154" s="139" t="s">
        <v>302</v>
      </c>
      <c r="G154" s="140">
        <v>1</v>
      </c>
      <c r="H154" s="139"/>
      <c r="I154" s="141"/>
      <c r="J154" s="142"/>
      <c r="K154" s="143"/>
      <c r="L154" s="144"/>
      <c r="M154" s="142"/>
      <c r="N154" s="145"/>
      <c r="O154" s="145"/>
      <c r="P154" s="145"/>
      <c r="Q154" s="146" t="s">
        <v>303</v>
      </c>
      <c r="R154" s="147" t="s">
        <v>303</v>
      </c>
      <c r="S154" s="147" t="s">
        <v>303</v>
      </c>
      <c r="T154" s="147" t="s">
        <v>303</v>
      </c>
      <c r="U154" s="147" t="s">
        <v>303</v>
      </c>
      <c r="V154" s="148" t="s">
        <v>299</v>
      </c>
      <c r="W154" s="149" t="s">
        <v>299</v>
      </c>
      <c r="X154" s="150" t="s">
        <v>299</v>
      </c>
      <c r="Y154" s="151" t="s">
        <v>299</v>
      </c>
      <c r="Z154" s="152" t="s">
        <v>304</v>
      </c>
      <c r="AA154" s="153" t="s">
        <v>299</v>
      </c>
      <c r="AB154" s="153" t="s">
        <v>299</v>
      </c>
      <c r="AC154" s="153" t="s">
        <v>299</v>
      </c>
      <c r="AD154" s="154" t="s">
        <v>299</v>
      </c>
      <c r="AE154" s="155" t="s">
        <v>299</v>
      </c>
      <c r="AF154" s="155">
        <f>AH154/1.19</f>
        <v>238084.03361344538</v>
      </c>
      <c r="AG154" s="155">
        <f>AF154*19%</f>
        <v>45235.966386554624</v>
      </c>
      <c r="AH154" s="155">
        <v>283320</v>
      </c>
      <c r="AI154" s="156" t="s">
        <v>299</v>
      </c>
      <c r="AJ154" s="157" t="s">
        <v>299</v>
      </c>
      <c r="AK154" s="158" t="s">
        <v>299</v>
      </c>
      <c r="AL154" s="159" t="s">
        <v>299</v>
      </c>
      <c r="AM154" s="160" t="s">
        <v>305</v>
      </c>
      <c r="AN154" s="161" t="s">
        <v>299</v>
      </c>
      <c r="AO154" s="161" t="s">
        <v>299</v>
      </c>
      <c r="AP154" s="162" t="s">
        <v>299</v>
      </c>
      <c r="AQ154" s="163">
        <v>230055</v>
      </c>
      <c r="AR154" s="164">
        <v>43710</v>
      </c>
      <c r="AS154" s="164">
        <v>273765</v>
      </c>
      <c r="AT154" s="164">
        <v>230055</v>
      </c>
      <c r="AU154" s="164">
        <v>273765</v>
      </c>
      <c r="AV154" s="165">
        <f t="shared" si="83"/>
        <v>255925</v>
      </c>
      <c r="AW154" s="165">
        <f t="shared" si="84"/>
        <v>255925</v>
      </c>
      <c r="AX154" s="165" t="str">
        <f t="shared" si="85"/>
        <v/>
      </c>
      <c r="AY154" s="166">
        <v>2.4299999999999999E-2</v>
      </c>
      <c r="AZ154" s="5"/>
      <c r="BA154" s="7"/>
      <c r="BB154" s="7"/>
    </row>
    <row r="155" spans="1:54" ht="67.5" x14ac:dyDescent="0.25">
      <c r="A155" s="137" t="s">
        <v>229</v>
      </c>
      <c r="B155" s="137" t="s">
        <v>306</v>
      </c>
      <c r="C155" s="137">
        <v>44121708</v>
      </c>
      <c r="D155" s="137" t="s">
        <v>790</v>
      </c>
      <c r="E155" s="138" t="s">
        <v>791</v>
      </c>
      <c r="F155" s="139" t="s">
        <v>233</v>
      </c>
      <c r="G155" s="140">
        <v>1</v>
      </c>
      <c r="H155" s="139" t="s">
        <v>51</v>
      </c>
      <c r="I155" s="141" t="s">
        <v>234</v>
      </c>
      <c r="J155" s="142">
        <v>46080</v>
      </c>
      <c r="K155" s="143" t="s">
        <v>792</v>
      </c>
      <c r="L155" s="144" t="s">
        <v>241</v>
      </c>
      <c r="M155" s="142" t="s">
        <v>793</v>
      </c>
      <c r="N155" s="145">
        <v>13866</v>
      </c>
      <c r="O155" s="145" t="s">
        <v>238</v>
      </c>
      <c r="P155" s="145" t="s">
        <v>239</v>
      </c>
      <c r="Q155" s="146">
        <f>IF(O155="IVA Incluido",(N155/1.19),N155)</f>
        <v>11652.100840336136</v>
      </c>
      <c r="R155" s="147">
        <f>IF(P155="Si tiene IVA",Q155*19%,0)</f>
        <v>2213.8991596638657</v>
      </c>
      <c r="S155" s="147">
        <f>Q155+R155</f>
        <v>13866.000000000002</v>
      </c>
      <c r="T155" s="147">
        <f>IF(B155="","",(N155*G155))</f>
        <v>13866</v>
      </c>
      <c r="U155" s="147">
        <f>IF(B155="","",(S155*G155))</f>
        <v>13866.000000000002</v>
      </c>
      <c r="V155" s="148" t="s">
        <v>234</v>
      </c>
      <c r="W155" s="149">
        <v>46080</v>
      </c>
      <c r="X155" s="150" t="s">
        <v>655</v>
      </c>
      <c r="Y155" s="151" t="s">
        <v>241</v>
      </c>
      <c r="Z155" s="152" t="s">
        <v>656</v>
      </c>
      <c r="AA155" s="153">
        <v>14034</v>
      </c>
      <c r="AB155" s="153" t="s">
        <v>245</v>
      </c>
      <c r="AC155" s="153" t="s">
        <v>239</v>
      </c>
      <c r="AD155" s="154">
        <f>IF(AB155="IVA Incluido",(AA155/1.19),AA155)</f>
        <v>14034</v>
      </c>
      <c r="AE155" s="155">
        <f>IF(AC155="Si tiene IVA",AD155*19%,0)</f>
        <v>2666.46</v>
      </c>
      <c r="AF155" s="155">
        <f>AD155+AE155</f>
        <v>16700.46</v>
      </c>
      <c r="AG155" s="155">
        <f>IF(O155="","",(AA155*G155))</f>
        <v>14034</v>
      </c>
      <c r="AH155" s="155">
        <f>IF(O155="","",(AF155*G155))</f>
        <v>16700.46</v>
      </c>
      <c r="AI155" s="156" t="s">
        <v>234</v>
      </c>
      <c r="AJ155" s="157">
        <v>46080</v>
      </c>
      <c r="AK155" s="158" t="s">
        <v>794</v>
      </c>
      <c r="AL155" s="159" t="s">
        <v>241</v>
      </c>
      <c r="AM155" s="160" t="s">
        <v>795</v>
      </c>
      <c r="AN155" s="161">
        <v>15000</v>
      </c>
      <c r="AO155" s="161" t="s">
        <v>238</v>
      </c>
      <c r="AP155" s="162" t="s">
        <v>239</v>
      </c>
      <c r="AQ155" s="163">
        <f>IF(AO155="IVA Incluido",(AN155/1.19),AN155)</f>
        <v>12605.042016806723</v>
      </c>
      <c r="AR155" s="164">
        <f>IF(AP155="Si tiene IVA",AQ155*19%,0)</f>
        <v>2394.9579831932774</v>
      </c>
      <c r="AS155" s="164">
        <f>AQ155+AR155</f>
        <v>15000</v>
      </c>
      <c r="AT155" s="164">
        <f>IF(AB155="","",(AN155*G155))</f>
        <v>15000</v>
      </c>
      <c r="AU155" s="164">
        <f>IF(AB155="","",(AS155*G155))</f>
        <v>15000</v>
      </c>
      <c r="AV155" s="165">
        <f t="shared" si="83"/>
        <v>15189</v>
      </c>
      <c r="AW155" s="165">
        <f t="shared" si="84"/>
        <v>15189</v>
      </c>
      <c r="AX155" s="165">
        <f t="shared" si="85"/>
        <v>1427</v>
      </c>
      <c r="AY155" s="166">
        <f>IF(N155="","",(AX155/AW155))</f>
        <v>9.3949568766870759E-2</v>
      </c>
      <c r="AZ155" s="5"/>
      <c r="BA155" s="7">
        <f>COUNTA(M155,Z155,AM155)</f>
        <v>3</v>
      </c>
      <c r="BB155" s="7"/>
    </row>
    <row r="156" spans="1:54" ht="67.5" x14ac:dyDescent="0.25">
      <c r="A156" s="137" t="s">
        <v>229</v>
      </c>
      <c r="B156" s="137" t="s">
        <v>306</v>
      </c>
      <c r="C156" s="137">
        <v>44121708</v>
      </c>
      <c r="D156" s="137" t="s">
        <v>796</v>
      </c>
      <c r="E156" s="138" t="s">
        <v>797</v>
      </c>
      <c r="F156" s="139" t="s">
        <v>233</v>
      </c>
      <c r="G156" s="140">
        <v>1</v>
      </c>
      <c r="H156" s="139" t="s">
        <v>51</v>
      </c>
      <c r="I156" s="141" t="s">
        <v>234</v>
      </c>
      <c r="J156" s="142">
        <v>46080</v>
      </c>
      <c r="K156" s="143" t="s">
        <v>655</v>
      </c>
      <c r="L156" s="144" t="s">
        <v>236</v>
      </c>
      <c r="M156" s="142" t="s">
        <v>656</v>
      </c>
      <c r="N156" s="145">
        <v>12687</v>
      </c>
      <c r="O156" s="145" t="s">
        <v>245</v>
      </c>
      <c r="P156" s="145" t="s">
        <v>239</v>
      </c>
      <c r="Q156" s="146">
        <f>IF(O156="IVA Incluido",(N156/1.19),N156)</f>
        <v>12687</v>
      </c>
      <c r="R156" s="147">
        <f>IF(P156="Si tiene IVA",Q156*19%,0)</f>
        <v>2410.5300000000002</v>
      </c>
      <c r="S156" s="147">
        <f>Q156+R156</f>
        <v>15097.53</v>
      </c>
      <c r="T156" s="147">
        <f>IF(B156="","",(N156*G156))</f>
        <v>12687</v>
      </c>
      <c r="U156" s="147">
        <f>IF(B156="","",(S156*G156))</f>
        <v>15097.53</v>
      </c>
      <c r="V156" s="148" t="s">
        <v>234</v>
      </c>
      <c r="W156" s="149">
        <v>46080</v>
      </c>
      <c r="X156" s="150" t="s">
        <v>795</v>
      </c>
      <c r="Y156" s="151" t="s">
        <v>241</v>
      </c>
      <c r="Z156" s="152" t="s">
        <v>795</v>
      </c>
      <c r="AA156" s="153">
        <v>12000</v>
      </c>
      <c r="AB156" s="153" t="s">
        <v>238</v>
      </c>
      <c r="AC156" s="153" t="s">
        <v>239</v>
      </c>
      <c r="AD156" s="154">
        <f>IF(AB156="IVA Incluido",(AA156/1.19),AA156)</f>
        <v>10084.033613445379</v>
      </c>
      <c r="AE156" s="155">
        <f>IF(AC156="Si tiene IVA",AD156*19%,0)</f>
        <v>1915.966386554622</v>
      </c>
      <c r="AF156" s="155">
        <f>AD156+AE156</f>
        <v>12000.000000000002</v>
      </c>
      <c r="AG156" s="155">
        <f>IF(O156="","",(AA156*G156))</f>
        <v>12000</v>
      </c>
      <c r="AH156" s="155">
        <f>IF(O156="","",(AF156*G156))</f>
        <v>12000.000000000002</v>
      </c>
      <c r="AI156" s="156" t="s">
        <v>234</v>
      </c>
      <c r="AJ156" s="157">
        <v>46080</v>
      </c>
      <c r="AK156" s="158" t="s">
        <v>313</v>
      </c>
      <c r="AL156" s="159" t="s">
        <v>236</v>
      </c>
      <c r="AM156" s="160" t="s">
        <v>553</v>
      </c>
      <c r="AN156" s="161">
        <v>14800</v>
      </c>
      <c r="AO156" s="161" t="s">
        <v>238</v>
      </c>
      <c r="AP156" s="162" t="s">
        <v>239</v>
      </c>
      <c r="AQ156" s="163">
        <f>IF(AO156="IVA Incluido",(AN156/1.19),AN156)</f>
        <v>12436.974789915967</v>
      </c>
      <c r="AR156" s="164">
        <f>IF(AP156="Si tiene IVA",AQ156*19%,0)</f>
        <v>2363.0252100840335</v>
      </c>
      <c r="AS156" s="164">
        <f>AQ156+AR156</f>
        <v>14800</v>
      </c>
      <c r="AT156" s="164">
        <f>IF(AB156="","",(AN156*G156))</f>
        <v>14800</v>
      </c>
      <c r="AU156" s="164">
        <f>IF(AB156="","",(AS156*G156))</f>
        <v>14800</v>
      </c>
      <c r="AV156" s="165">
        <f t="shared" si="83"/>
        <v>13966</v>
      </c>
      <c r="AW156" s="165">
        <f t="shared" si="84"/>
        <v>13966</v>
      </c>
      <c r="AX156" s="165">
        <f t="shared" si="85"/>
        <v>1709</v>
      </c>
      <c r="AY156" s="166">
        <f>IF(N156="","",(AX156/AW156))</f>
        <v>0.12236860948016612</v>
      </c>
      <c r="AZ156" s="5"/>
      <c r="BA156" s="7">
        <f>COUNTA(M156,Z156,AM156)</f>
        <v>3</v>
      </c>
      <c r="BB156" s="7"/>
    </row>
    <row r="157" spans="1:54" ht="94.5" x14ac:dyDescent="0.25">
      <c r="A157" s="137" t="s">
        <v>229</v>
      </c>
      <c r="B157" s="137" t="s">
        <v>306</v>
      </c>
      <c r="C157" s="137">
        <v>44121708</v>
      </c>
      <c r="D157" s="137" t="s">
        <v>798</v>
      </c>
      <c r="E157" s="138" t="s">
        <v>799</v>
      </c>
      <c r="F157" s="139" t="s">
        <v>233</v>
      </c>
      <c r="G157" s="140">
        <v>1</v>
      </c>
      <c r="H157" s="139" t="s">
        <v>51</v>
      </c>
      <c r="I157" s="141" t="s">
        <v>234</v>
      </c>
      <c r="J157" s="142">
        <v>46080</v>
      </c>
      <c r="K157" s="143" t="s">
        <v>800</v>
      </c>
      <c r="L157" s="144" t="s">
        <v>236</v>
      </c>
      <c r="M157" s="142" t="s">
        <v>801</v>
      </c>
      <c r="N157" s="145">
        <v>47900</v>
      </c>
      <c r="O157" s="145" t="s">
        <v>238</v>
      </c>
      <c r="P157" s="145" t="s">
        <v>239</v>
      </c>
      <c r="Q157" s="146">
        <f>IF(O157="IVA Incluido",(N157/1.19),N157)</f>
        <v>40252.100840336134</v>
      </c>
      <c r="R157" s="147">
        <f>IF(P157="Si tiene IVA",Q157*19%,0)</f>
        <v>7647.8991596638652</v>
      </c>
      <c r="S157" s="147">
        <f>Q157+R157</f>
        <v>47900</v>
      </c>
      <c r="T157" s="147">
        <f>IF(B157="","",(N157*G157))</f>
        <v>47900</v>
      </c>
      <c r="U157" s="147">
        <f>IF(B157="","",(S157*G157))</f>
        <v>47900</v>
      </c>
      <c r="V157" s="148" t="s">
        <v>234</v>
      </c>
      <c r="W157" s="149">
        <v>46080</v>
      </c>
      <c r="X157" s="150" t="s">
        <v>802</v>
      </c>
      <c r="Y157" s="151" t="s">
        <v>236</v>
      </c>
      <c r="Z157" s="152" t="s">
        <v>803</v>
      </c>
      <c r="AA157" s="153">
        <v>51900</v>
      </c>
      <c r="AB157" s="153" t="s">
        <v>238</v>
      </c>
      <c r="AC157" s="153" t="s">
        <v>239</v>
      </c>
      <c r="AD157" s="154">
        <f>IF(AB157="IVA Incluido",(AA157/1.19),AA157)</f>
        <v>43613.445378151264</v>
      </c>
      <c r="AE157" s="155">
        <f>IF(AC157="Si tiene IVA",AD157*19%,0)</f>
        <v>8286.5546218487398</v>
      </c>
      <c r="AF157" s="155">
        <f>AD157+AE157</f>
        <v>51900</v>
      </c>
      <c r="AG157" s="155">
        <f>IF(O157="","",(AA157*G157))</f>
        <v>51900</v>
      </c>
      <c r="AH157" s="155">
        <f>IF(O157="","",(AF157*G157))</f>
        <v>51900</v>
      </c>
      <c r="AI157" s="156" t="s">
        <v>234</v>
      </c>
      <c r="AJ157" s="157">
        <v>46080</v>
      </c>
      <c r="AK157" s="158" t="s">
        <v>804</v>
      </c>
      <c r="AL157" s="159" t="s">
        <v>236</v>
      </c>
      <c r="AM157" s="160" t="s">
        <v>805</v>
      </c>
      <c r="AN157" s="161">
        <v>50000</v>
      </c>
      <c r="AO157" s="161" t="s">
        <v>238</v>
      </c>
      <c r="AP157" s="162" t="s">
        <v>239</v>
      </c>
      <c r="AQ157" s="163">
        <f>IF(AO157="IVA Incluido",(AN157/1.19),AN157)</f>
        <v>42016.806722689078</v>
      </c>
      <c r="AR157" s="164">
        <f>IF(AP157="Si tiene IVA",AQ157*19%,0)</f>
        <v>7983.1932773109247</v>
      </c>
      <c r="AS157" s="164">
        <f>AQ157+AR157</f>
        <v>50000</v>
      </c>
      <c r="AT157" s="164">
        <f>IF(AB157="","",(AN157*G157))</f>
        <v>50000</v>
      </c>
      <c r="AU157" s="164">
        <f>IF(AB157="","",(AS157*G157))</f>
        <v>50000</v>
      </c>
      <c r="AV157" s="165">
        <f t="shared" si="83"/>
        <v>49933</v>
      </c>
      <c r="AW157" s="165">
        <f t="shared" si="84"/>
        <v>49933</v>
      </c>
      <c r="AX157" s="165">
        <f t="shared" si="85"/>
        <v>2001</v>
      </c>
      <c r="AY157" s="166">
        <f>IF(N157="","",(AX157/AW157))</f>
        <v>4.0073698756333487E-2</v>
      </c>
      <c r="AZ157" s="5"/>
      <c r="BA157" s="7">
        <f>COUNTA(M157,Z157,AM157)</f>
        <v>3</v>
      </c>
      <c r="BB157" s="7"/>
    </row>
    <row r="158" spans="1:54" ht="297" x14ac:dyDescent="0.25">
      <c r="A158" s="137" t="s">
        <v>299</v>
      </c>
      <c r="B158" s="137" t="s">
        <v>299</v>
      </c>
      <c r="C158" s="137" t="s">
        <v>299</v>
      </c>
      <c r="D158" s="137" t="s">
        <v>806</v>
      </c>
      <c r="E158" s="138" t="s">
        <v>807</v>
      </c>
      <c r="F158" s="139" t="s">
        <v>302</v>
      </c>
      <c r="G158" s="140">
        <v>1</v>
      </c>
      <c r="H158" s="139"/>
      <c r="I158" s="141"/>
      <c r="J158" s="142"/>
      <c r="K158" s="143"/>
      <c r="L158" s="144"/>
      <c r="M158" s="142"/>
      <c r="N158" s="145"/>
      <c r="O158" s="145"/>
      <c r="P158" s="145"/>
      <c r="Q158" s="146" t="s">
        <v>303</v>
      </c>
      <c r="R158" s="147" t="s">
        <v>303</v>
      </c>
      <c r="S158" s="147" t="s">
        <v>303</v>
      </c>
      <c r="T158" s="147" t="s">
        <v>303</v>
      </c>
      <c r="U158" s="147" t="s">
        <v>303</v>
      </c>
      <c r="V158" s="148" t="s">
        <v>299</v>
      </c>
      <c r="W158" s="149" t="s">
        <v>299</v>
      </c>
      <c r="X158" s="150" t="s">
        <v>299</v>
      </c>
      <c r="Y158" s="151" t="s">
        <v>299</v>
      </c>
      <c r="Z158" s="152" t="s">
        <v>304</v>
      </c>
      <c r="AA158" s="153" t="s">
        <v>299</v>
      </c>
      <c r="AB158" s="153" t="s">
        <v>299</v>
      </c>
      <c r="AC158" s="153" t="s">
        <v>299</v>
      </c>
      <c r="AD158" s="154" t="s">
        <v>299</v>
      </c>
      <c r="AE158" s="155" t="s">
        <v>299</v>
      </c>
      <c r="AF158" s="155">
        <f>AH158/1.19</f>
        <v>655968.90756302525</v>
      </c>
      <c r="AG158" s="155">
        <f>AF158*19%</f>
        <v>124634.0924369748</v>
      </c>
      <c r="AH158" s="155">
        <v>780603</v>
      </c>
      <c r="AI158" s="156" t="s">
        <v>299</v>
      </c>
      <c r="AJ158" s="157" t="s">
        <v>299</v>
      </c>
      <c r="AK158" s="158" t="s">
        <v>299</v>
      </c>
      <c r="AL158" s="159" t="s">
        <v>299</v>
      </c>
      <c r="AM158" s="160" t="s">
        <v>305</v>
      </c>
      <c r="AN158" s="161" t="s">
        <v>299</v>
      </c>
      <c r="AO158" s="161" t="s">
        <v>299</v>
      </c>
      <c r="AP158" s="162" t="s">
        <v>299</v>
      </c>
      <c r="AQ158" s="163">
        <v>636954</v>
      </c>
      <c r="AR158" s="164">
        <v>121021</v>
      </c>
      <c r="AS158" s="164">
        <v>757975</v>
      </c>
      <c r="AT158" s="164">
        <v>636954</v>
      </c>
      <c r="AU158" s="164">
        <v>757975</v>
      </c>
      <c r="AV158" s="165">
        <f t="shared" si="83"/>
        <v>706972</v>
      </c>
      <c r="AW158" s="165">
        <f t="shared" si="84"/>
        <v>706972</v>
      </c>
      <c r="AX158" s="165" t="str">
        <f t="shared" si="85"/>
        <v/>
      </c>
      <c r="AY158" s="166">
        <v>2.0799999999999999E-2</v>
      </c>
      <c r="AZ158" s="5"/>
      <c r="BA158" s="7"/>
      <c r="BB158" s="7"/>
    </row>
    <row r="159" spans="1:54" ht="67.5" x14ac:dyDescent="0.25">
      <c r="A159" s="137" t="s">
        <v>229</v>
      </c>
      <c r="B159" s="137" t="s">
        <v>306</v>
      </c>
      <c r="C159" s="137"/>
      <c r="D159" s="137" t="s">
        <v>808</v>
      </c>
      <c r="E159" s="138" t="s">
        <v>809</v>
      </c>
      <c r="F159" s="139" t="s">
        <v>233</v>
      </c>
      <c r="G159" s="140">
        <v>1</v>
      </c>
      <c r="H159" s="139" t="s">
        <v>51</v>
      </c>
      <c r="I159" s="141" t="s">
        <v>234</v>
      </c>
      <c r="J159" s="142">
        <v>46080</v>
      </c>
      <c r="K159" s="143" t="s">
        <v>494</v>
      </c>
      <c r="L159" s="144" t="s">
        <v>236</v>
      </c>
      <c r="M159" s="142" t="s">
        <v>529</v>
      </c>
      <c r="N159" s="145">
        <v>32000</v>
      </c>
      <c r="O159" s="145" t="s">
        <v>238</v>
      </c>
      <c r="P159" s="145" t="s">
        <v>239</v>
      </c>
      <c r="Q159" s="146">
        <f>IF(O159="IVA Incluido",(N159/1.19),N159)</f>
        <v>26890.756302521011</v>
      </c>
      <c r="R159" s="147">
        <f>IF(P159="Si tiene IVA",Q159*19%,0)</f>
        <v>5109.2436974789925</v>
      </c>
      <c r="S159" s="147">
        <f>Q159+R159</f>
        <v>32000.000000000004</v>
      </c>
      <c r="T159" s="147">
        <f>IF(B159="","",(N159*G159))</f>
        <v>32000</v>
      </c>
      <c r="U159" s="147">
        <f>IF(B159="","",(S159*G159))</f>
        <v>32000.000000000004</v>
      </c>
      <c r="V159" s="148" t="s">
        <v>234</v>
      </c>
      <c r="W159" s="149">
        <v>46080</v>
      </c>
      <c r="X159" s="150" t="s">
        <v>810</v>
      </c>
      <c r="Y159" s="151" t="s">
        <v>241</v>
      </c>
      <c r="Z159" s="152" t="s">
        <v>811</v>
      </c>
      <c r="AA159" s="153">
        <v>24900</v>
      </c>
      <c r="AB159" s="153" t="s">
        <v>238</v>
      </c>
      <c r="AC159" s="153" t="s">
        <v>239</v>
      </c>
      <c r="AD159" s="154">
        <f>IF(AB159="IVA Incluido",(AA159/1.19),AA159)</f>
        <v>20924.36974789916</v>
      </c>
      <c r="AE159" s="155">
        <f>IF(AC159="Si tiene IVA",AD159*19%,0)</f>
        <v>3975.6302521008406</v>
      </c>
      <c r="AF159" s="155">
        <f>AD159+AE159</f>
        <v>24900</v>
      </c>
      <c r="AG159" s="155">
        <f>IF(O159="","",(AA159*G159))</f>
        <v>24900</v>
      </c>
      <c r="AH159" s="155">
        <f>IF(O159="","",(AF159*G159))</f>
        <v>24900</v>
      </c>
      <c r="AI159" s="156" t="s">
        <v>234</v>
      </c>
      <c r="AJ159" s="157">
        <v>46080</v>
      </c>
      <c r="AK159" s="158" t="s">
        <v>812</v>
      </c>
      <c r="AL159" s="159" t="s">
        <v>241</v>
      </c>
      <c r="AM159" s="160" t="s">
        <v>813</v>
      </c>
      <c r="AN159" s="161">
        <v>25000</v>
      </c>
      <c r="AO159" s="161" t="s">
        <v>238</v>
      </c>
      <c r="AP159" s="162" t="s">
        <v>239</v>
      </c>
      <c r="AQ159" s="163">
        <f>IF(AO159="IVA Incluido",(AN159/1.19),AN159)</f>
        <v>21008.403361344539</v>
      </c>
      <c r="AR159" s="164">
        <f>IF(AP159="Si tiene IVA",AQ159*19%,0)</f>
        <v>3991.5966386554624</v>
      </c>
      <c r="AS159" s="164">
        <f>AQ159+AR159</f>
        <v>25000</v>
      </c>
      <c r="AT159" s="164">
        <f>IF(AB159="","",(AN159*G159))</f>
        <v>25000</v>
      </c>
      <c r="AU159" s="164">
        <f>IF(AB159="","",(AS159*G159))</f>
        <v>25000</v>
      </c>
      <c r="AV159" s="165">
        <f t="shared" si="83"/>
        <v>27300</v>
      </c>
      <c r="AW159" s="165">
        <f t="shared" si="84"/>
        <v>27300</v>
      </c>
      <c r="AX159" s="165">
        <f t="shared" si="85"/>
        <v>4071</v>
      </c>
      <c r="AY159" s="166">
        <f>IF(N159="","",(AX159/AW159))</f>
        <v>0.14912087912087912</v>
      </c>
      <c r="AZ159" s="5"/>
      <c r="BA159" s="7">
        <f>COUNTA(M159,Z159,AM159)</f>
        <v>3</v>
      </c>
      <c r="BB159" s="7"/>
    </row>
    <row r="160" spans="1:54" ht="54" x14ac:dyDescent="0.25">
      <c r="A160" s="137" t="s">
        <v>229</v>
      </c>
      <c r="B160" s="137" t="s">
        <v>306</v>
      </c>
      <c r="C160" s="137"/>
      <c r="D160" s="137" t="s">
        <v>814</v>
      </c>
      <c r="E160" s="138" t="s">
        <v>815</v>
      </c>
      <c r="F160" s="139" t="s">
        <v>233</v>
      </c>
      <c r="G160" s="140">
        <v>1</v>
      </c>
      <c r="H160" s="139" t="s">
        <v>51</v>
      </c>
      <c r="I160" s="141" t="s">
        <v>234</v>
      </c>
      <c r="J160" s="142">
        <v>46080</v>
      </c>
      <c r="K160" s="143" t="s">
        <v>816</v>
      </c>
      <c r="L160" s="144" t="s">
        <v>241</v>
      </c>
      <c r="M160" s="142" t="s">
        <v>817</v>
      </c>
      <c r="N160" s="145">
        <v>18000</v>
      </c>
      <c r="O160" s="145" t="s">
        <v>238</v>
      </c>
      <c r="P160" s="145" t="s">
        <v>239</v>
      </c>
      <c r="Q160" s="146">
        <f>IF(O160="IVA Incluido",(N160/1.19),N160)</f>
        <v>15126.050420168069</v>
      </c>
      <c r="R160" s="147">
        <f>IF(P160="Si tiene IVA",Q160*19%,0)</f>
        <v>2873.9495798319331</v>
      </c>
      <c r="S160" s="147">
        <f>Q160+R160</f>
        <v>18000</v>
      </c>
      <c r="T160" s="147">
        <f>IF(B160="","",(N160*G160))</f>
        <v>18000</v>
      </c>
      <c r="U160" s="147">
        <f>IF(B160="","",(S160*G160))</f>
        <v>18000</v>
      </c>
      <c r="V160" s="148" t="s">
        <v>234</v>
      </c>
      <c r="W160" s="149">
        <v>46080</v>
      </c>
      <c r="X160" s="150" t="s">
        <v>655</v>
      </c>
      <c r="Y160" s="151" t="s">
        <v>236</v>
      </c>
      <c r="Z160" s="152" t="s">
        <v>818</v>
      </c>
      <c r="AA160" s="153">
        <v>14000</v>
      </c>
      <c r="AB160" s="153" t="s">
        <v>245</v>
      </c>
      <c r="AC160" s="153" t="s">
        <v>239</v>
      </c>
      <c r="AD160" s="154">
        <f>IF(AB160="IVA Incluido",(AA160/1.19),AA160)</f>
        <v>14000</v>
      </c>
      <c r="AE160" s="155">
        <f>IF(AC160="Si tiene IVA",AD160*19%,0)</f>
        <v>2660</v>
      </c>
      <c r="AF160" s="155">
        <f>AD160+AE160</f>
        <v>16660</v>
      </c>
      <c r="AG160" s="155">
        <f>IF(O160="","",(AA160*G160))</f>
        <v>14000</v>
      </c>
      <c r="AH160" s="155">
        <f>IF(O160="","",(AF160*G160))</f>
        <v>16660</v>
      </c>
      <c r="AI160" s="156" t="s">
        <v>234</v>
      </c>
      <c r="AJ160" s="157">
        <v>46080</v>
      </c>
      <c r="AK160" s="158" t="s">
        <v>794</v>
      </c>
      <c r="AL160" s="159" t="s">
        <v>241</v>
      </c>
      <c r="AM160" s="160" t="s">
        <v>795</v>
      </c>
      <c r="AN160" s="161">
        <v>16000</v>
      </c>
      <c r="AO160" s="161" t="s">
        <v>238</v>
      </c>
      <c r="AP160" s="162" t="s">
        <v>239</v>
      </c>
      <c r="AQ160" s="163">
        <f>IF(AO160="IVA Incluido",(AN160/1.19),AN160)</f>
        <v>13445.378151260506</v>
      </c>
      <c r="AR160" s="164">
        <f>IF(AP160="Si tiene IVA",AQ160*19%,0)</f>
        <v>2554.6218487394963</v>
      </c>
      <c r="AS160" s="164">
        <f>AQ160+AR160</f>
        <v>16000.000000000002</v>
      </c>
      <c r="AT160" s="164">
        <f>IF(AB160="","",(AN160*G160))</f>
        <v>16000</v>
      </c>
      <c r="AU160" s="164">
        <f>IF(AB160="","",(AS160*G160))</f>
        <v>16000.000000000002</v>
      </c>
      <c r="AV160" s="165">
        <f t="shared" si="83"/>
        <v>16887</v>
      </c>
      <c r="AW160" s="165">
        <f t="shared" si="84"/>
        <v>16887</v>
      </c>
      <c r="AX160" s="165">
        <f t="shared" si="85"/>
        <v>1019</v>
      </c>
      <c r="AY160" s="166">
        <f>IF(N160="","",(AX160/AW160))</f>
        <v>6.0342275122875585E-2</v>
      </c>
      <c r="AZ160" s="5"/>
      <c r="BA160" s="7">
        <f>COUNTA(M160,Z160,AM160)</f>
        <v>3</v>
      </c>
      <c r="BB160" s="7"/>
    </row>
    <row r="161" spans="1:54" ht="297" x14ac:dyDescent="0.25">
      <c r="A161" s="137" t="s">
        <v>229</v>
      </c>
      <c r="B161" s="137" t="s">
        <v>288</v>
      </c>
      <c r="C161" s="137" t="s">
        <v>819</v>
      </c>
      <c r="D161" s="137" t="s">
        <v>820</v>
      </c>
      <c r="E161" s="138" t="s">
        <v>821</v>
      </c>
      <c r="F161" s="139" t="s">
        <v>233</v>
      </c>
      <c r="G161" s="140">
        <v>1</v>
      </c>
      <c r="H161" s="139" t="s">
        <v>335</v>
      </c>
      <c r="I161" s="141" t="s">
        <v>299</v>
      </c>
      <c r="J161" s="142" t="s">
        <v>299</v>
      </c>
      <c r="K161" s="143" t="s">
        <v>299</v>
      </c>
      <c r="L161" s="144" t="s">
        <v>299</v>
      </c>
      <c r="M161" s="169" t="s">
        <v>304</v>
      </c>
      <c r="N161" s="170">
        <v>11508</v>
      </c>
      <c r="O161" s="145"/>
      <c r="P161" s="145"/>
      <c r="Q161" s="146">
        <f>IF(O161="IVA Incluido",(N161/1.19),N161)</f>
        <v>11508</v>
      </c>
      <c r="R161" s="147">
        <f>IF(P161="Si tiene IVA",Q161*19%,0)</f>
        <v>0</v>
      </c>
      <c r="S161" s="147">
        <f>Q161+R161</f>
        <v>11508</v>
      </c>
      <c r="T161" s="147">
        <f>IF(B161="","",(N161*G161))</f>
        <v>11508</v>
      </c>
      <c r="U161" s="147">
        <f>IF(B161="","",(S161*G161))</f>
        <v>11508</v>
      </c>
      <c r="V161" s="148" t="s">
        <v>299</v>
      </c>
      <c r="W161" s="149" t="s">
        <v>299</v>
      </c>
      <c r="X161" s="149" t="s">
        <v>299</v>
      </c>
      <c r="Y161" s="149" t="s">
        <v>299</v>
      </c>
      <c r="Z161" s="171" t="s">
        <v>305</v>
      </c>
      <c r="AA161" s="172">
        <v>9528</v>
      </c>
      <c r="AB161" s="153" t="s">
        <v>245</v>
      </c>
      <c r="AC161" s="153" t="s">
        <v>239</v>
      </c>
      <c r="AD161" s="154">
        <f>IF(AB161="IVA Incluido",(AA161/1.19),AA161)</f>
        <v>9528</v>
      </c>
      <c r="AE161" s="155">
        <f>IF(AC161="Si tiene IVA",AD161*19%,0)</f>
        <v>1810.32</v>
      </c>
      <c r="AF161" s="155">
        <f>AD161+AE161</f>
        <v>11338.32</v>
      </c>
      <c r="AG161" s="155">
        <f>AD161</f>
        <v>9528</v>
      </c>
      <c r="AH161" s="155">
        <f>AF161</f>
        <v>11338.32</v>
      </c>
      <c r="AI161" s="156"/>
      <c r="AJ161" s="157"/>
      <c r="AK161" s="158"/>
      <c r="AL161" s="159"/>
      <c r="AM161" s="160"/>
      <c r="AN161" s="161"/>
      <c r="AO161" s="161"/>
      <c r="AP161" s="162"/>
      <c r="AQ161" s="163"/>
      <c r="AR161" s="164"/>
      <c r="AS161" s="164"/>
      <c r="AT161" s="164"/>
      <c r="AU161" s="164"/>
      <c r="AV161" s="165">
        <f t="shared" si="83"/>
        <v>11423</v>
      </c>
      <c r="AW161" s="165">
        <f t="shared" si="84"/>
        <v>11423</v>
      </c>
      <c r="AX161" s="165">
        <f t="shared" si="85"/>
        <v>120</v>
      </c>
      <c r="AY161" s="166">
        <f>IF(N161="","",(AX161/AW161))</f>
        <v>1.0505121246607721E-2</v>
      </c>
      <c r="AZ161" s="5"/>
      <c r="BA161" s="7">
        <f>COUNTA(M161,Z161,AM161)</f>
        <v>2</v>
      </c>
      <c r="BB161" s="7" t="s">
        <v>684</v>
      </c>
    </row>
    <row r="162" spans="1:54" ht="81" x14ac:dyDescent="0.25">
      <c r="A162" s="137" t="s">
        <v>229</v>
      </c>
      <c r="B162" s="137" t="s">
        <v>288</v>
      </c>
      <c r="C162" s="137" t="s">
        <v>819</v>
      </c>
      <c r="D162" s="137" t="s">
        <v>822</v>
      </c>
      <c r="E162" s="138" t="s">
        <v>823</v>
      </c>
      <c r="F162" s="139" t="s">
        <v>233</v>
      </c>
      <c r="G162" s="140">
        <v>1</v>
      </c>
      <c r="H162" s="139" t="s">
        <v>335</v>
      </c>
      <c r="I162" s="141" t="s">
        <v>234</v>
      </c>
      <c r="J162" s="142">
        <v>46094</v>
      </c>
      <c r="K162" s="143" t="s">
        <v>324</v>
      </c>
      <c r="L162" s="144" t="s">
        <v>241</v>
      </c>
      <c r="M162" s="142" t="s">
        <v>325</v>
      </c>
      <c r="N162" s="145">
        <v>33076</v>
      </c>
      <c r="O162" s="145" t="s">
        <v>245</v>
      </c>
      <c r="P162" s="145" t="s">
        <v>239</v>
      </c>
      <c r="Q162" s="146">
        <f>IF(O162="IVA Incluido",(N162/1.19),N162)</f>
        <v>33076</v>
      </c>
      <c r="R162" s="147">
        <f>IF(P162="Si tiene IVA",Q162*19%,0)</f>
        <v>6284.4400000000005</v>
      </c>
      <c r="S162" s="147">
        <f>Q162+R162</f>
        <v>39360.44</v>
      </c>
      <c r="T162" s="147">
        <f>IF(B162="","",(N162*G162))</f>
        <v>33076</v>
      </c>
      <c r="U162" s="147">
        <f>IF(B162="","",(S162*G162))</f>
        <v>39360.44</v>
      </c>
      <c r="V162" s="148" t="s">
        <v>234</v>
      </c>
      <c r="W162" s="149">
        <v>46119</v>
      </c>
      <c r="X162" s="150" t="s">
        <v>436</v>
      </c>
      <c r="Y162" s="151" t="s">
        <v>241</v>
      </c>
      <c r="Z162" s="152" t="s">
        <v>347</v>
      </c>
      <c r="AA162" s="153">
        <v>31000</v>
      </c>
      <c r="AB162" s="153" t="s">
        <v>238</v>
      </c>
      <c r="AC162" s="153" t="s">
        <v>239</v>
      </c>
      <c r="AD162" s="154">
        <f>IF(AB162="IVA Incluido",(AA162/1.19),AA162)</f>
        <v>26050.420168067227</v>
      </c>
      <c r="AE162" s="155">
        <f>IF(AC162="Si tiene IVA",AD162*19%,0)</f>
        <v>4949.5798319327732</v>
      </c>
      <c r="AF162" s="155">
        <f>AD162+AE162</f>
        <v>31000</v>
      </c>
      <c r="AG162" s="155">
        <f>IF(O162="","",(AA162*G162))</f>
        <v>31000</v>
      </c>
      <c r="AH162" s="155">
        <f>IF(O162="","",(AF162*G162))</f>
        <v>31000</v>
      </c>
      <c r="AI162" s="156"/>
      <c r="AJ162" s="157"/>
      <c r="AK162" s="158"/>
      <c r="AL162" s="159"/>
      <c r="AM162" s="160" t="s">
        <v>305</v>
      </c>
      <c r="AN162" s="161">
        <v>27096</v>
      </c>
      <c r="AO162" s="161"/>
      <c r="AP162" s="162"/>
      <c r="AQ162" s="163">
        <f>AN162</f>
        <v>27096</v>
      </c>
      <c r="AR162" s="164">
        <f>AQ162*19%</f>
        <v>5148.24</v>
      </c>
      <c r="AS162" s="164">
        <f>AQ162+AR162</f>
        <v>32244.239999999998</v>
      </c>
      <c r="AT162" s="164">
        <f>AQ162</f>
        <v>27096</v>
      </c>
      <c r="AU162" s="164">
        <f>AS162</f>
        <v>32244.239999999998</v>
      </c>
      <c r="AV162" s="165">
        <f t="shared" si="83"/>
        <v>34202</v>
      </c>
      <c r="AW162" s="165">
        <f t="shared" si="84"/>
        <v>34202</v>
      </c>
      <c r="AX162" s="165">
        <f t="shared" si="85"/>
        <v>4511</v>
      </c>
      <c r="AY162" s="166">
        <f>IF(N162="","",(AX162/AW162))</f>
        <v>0.13189287176188527</v>
      </c>
      <c r="AZ162" s="5"/>
      <c r="BA162" s="7">
        <f>COUNTA(M162,Z162,AM162)</f>
        <v>3</v>
      </c>
      <c r="BB162" s="7"/>
    </row>
    <row r="163" spans="1:54" ht="297" x14ac:dyDescent="0.25">
      <c r="A163" s="137" t="s">
        <v>299</v>
      </c>
      <c r="B163" s="137" t="s">
        <v>299</v>
      </c>
      <c r="C163" s="137" t="s">
        <v>299</v>
      </c>
      <c r="D163" s="137" t="s">
        <v>824</v>
      </c>
      <c r="E163" s="138" t="s">
        <v>825</v>
      </c>
      <c r="F163" s="139" t="s">
        <v>302</v>
      </c>
      <c r="G163" s="140">
        <v>1</v>
      </c>
      <c r="H163" s="139"/>
      <c r="I163" s="141"/>
      <c r="J163" s="142"/>
      <c r="K163" s="143"/>
      <c r="L163" s="144"/>
      <c r="M163" s="142"/>
      <c r="N163" s="145"/>
      <c r="O163" s="145"/>
      <c r="P163" s="145"/>
      <c r="Q163" s="146" t="s">
        <v>303</v>
      </c>
      <c r="R163" s="147" t="s">
        <v>303</v>
      </c>
      <c r="S163" s="147" t="s">
        <v>303</v>
      </c>
      <c r="T163" s="147" t="s">
        <v>303</v>
      </c>
      <c r="U163" s="147" t="s">
        <v>303</v>
      </c>
      <c r="V163" s="148" t="s">
        <v>299</v>
      </c>
      <c r="W163" s="149" t="s">
        <v>299</v>
      </c>
      <c r="X163" s="150" t="s">
        <v>299</v>
      </c>
      <c r="Y163" s="151" t="s">
        <v>299</v>
      </c>
      <c r="Z163" s="152" t="s">
        <v>304</v>
      </c>
      <c r="AA163" s="153" t="s">
        <v>299</v>
      </c>
      <c r="AB163" s="153" t="s">
        <v>299</v>
      </c>
      <c r="AC163" s="153" t="s">
        <v>299</v>
      </c>
      <c r="AD163" s="154" t="s">
        <v>299</v>
      </c>
      <c r="AE163" s="155" t="s">
        <v>299</v>
      </c>
      <c r="AF163" s="155">
        <f>AH163/1.19</f>
        <v>114031.0924369748</v>
      </c>
      <c r="AG163" s="155">
        <f>AF163*19%</f>
        <v>21665.907563025212</v>
      </c>
      <c r="AH163" s="155">
        <v>135697</v>
      </c>
      <c r="AI163" s="156" t="s">
        <v>299</v>
      </c>
      <c r="AJ163" s="157" t="s">
        <v>299</v>
      </c>
      <c r="AK163" s="158" t="s">
        <v>299</v>
      </c>
      <c r="AL163" s="159" t="s">
        <v>299</v>
      </c>
      <c r="AM163" s="160" t="s">
        <v>305</v>
      </c>
      <c r="AN163" s="161" t="s">
        <v>299</v>
      </c>
      <c r="AO163" s="161" t="s">
        <v>299</v>
      </c>
      <c r="AP163" s="162" t="s">
        <v>299</v>
      </c>
      <c r="AQ163" s="163">
        <v>112346</v>
      </c>
      <c r="AR163" s="164">
        <v>21346</v>
      </c>
      <c r="AS163" s="164">
        <v>133692</v>
      </c>
      <c r="AT163" s="164">
        <v>112346</v>
      </c>
      <c r="AU163" s="164">
        <v>133692</v>
      </c>
      <c r="AV163" s="165">
        <f t="shared" si="83"/>
        <v>123862</v>
      </c>
      <c r="AW163" s="165">
        <f t="shared" si="84"/>
        <v>123862</v>
      </c>
      <c r="AX163" s="165" t="str">
        <f t="shared" si="85"/>
        <v/>
      </c>
      <c r="AY163" s="166">
        <v>1.0500000000000001E-2</v>
      </c>
      <c r="AZ163" s="5"/>
      <c r="BA163" s="7"/>
      <c r="BB163" s="7"/>
    </row>
    <row r="164" spans="1:54" ht="297" x14ac:dyDescent="0.25">
      <c r="A164" s="137" t="s">
        <v>299</v>
      </c>
      <c r="B164" s="137" t="s">
        <v>299</v>
      </c>
      <c r="C164" s="137" t="s">
        <v>299</v>
      </c>
      <c r="D164" s="137" t="s">
        <v>826</v>
      </c>
      <c r="E164" s="138" t="s">
        <v>827</v>
      </c>
      <c r="F164" s="139" t="s">
        <v>302</v>
      </c>
      <c r="G164" s="140">
        <v>1</v>
      </c>
      <c r="H164" s="139"/>
      <c r="I164" s="141"/>
      <c r="J164" s="142"/>
      <c r="K164" s="143"/>
      <c r="L164" s="144"/>
      <c r="M164" s="142"/>
      <c r="N164" s="145"/>
      <c r="O164" s="145"/>
      <c r="P164" s="145"/>
      <c r="Q164" s="146" t="s">
        <v>303</v>
      </c>
      <c r="R164" s="147" t="s">
        <v>303</v>
      </c>
      <c r="S164" s="147" t="s">
        <v>303</v>
      </c>
      <c r="T164" s="147" t="s">
        <v>303</v>
      </c>
      <c r="U164" s="147" t="s">
        <v>303</v>
      </c>
      <c r="V164" s="148" t="s">
        <v>299</v>
      </c>
      <c r="W164" s="149" t="s">
        <v>299</v>
      </c>
      <c r="X164" s="150" t="s">
        <v>299</v>
      </c>
      <c r="Y164" s="151" t="s">
        <v>299</v>
      </c>
      <c r="Z164" s="152" t="s">
        <v>304</v>
      </c>
      <c r="AA164" s="153" t="s">
        <v>299</v>
      </c>
      <c r="AB164" s="153" t="s">
        <v>299</v>
      </c>
      <c r="AC164" s="153" t="s">
        <v>299</v>
      </c>
      <c r="AD164" s="154" t="s">
        <v>299</v>
      </c>
      <c r="AE164" s="155" t="s">
        <v>299</v>
      </c>
      <c r="AF164" s="155">
        <f>AH164/1.19</f>
        <v>764858.82352941181</v>
      </c>
      <c r="AG164" s="155">
        <f>AF164*19%</f>
        <v>145323.17647058825</v>
      </c>
      <c r="AH164" s="155">
        <v>910182</v>
      </c>
      <c r="AI164" s="156" t="s">
        <v>299</v>
      </c>
      <c r="AJ164" s="157" t="s">
        <v>299</v>
      </c>
      <c r="AK164" s="158" t="s">
        <v>299</v>
      </c>
      <c r="AL164" s="159" t="s">
        <v>299</v>
      </c>
      <c r="AM164" s="160" t="s">
        <v>305</v>
      </c>
      <c r="AN164" s="161" t="s">
        <v>299</v>
      </c>
      <c r="AO164" s="161" t="s">
        <v>299</v>
      </c>
      <c r="AP164" s="162" t="s">
        <v>299</v>
      </c>
      <c r="AQ164" s="163">
        <v>753555</v>
      </c>
      <c r="AR164" s="164">
        <v>143175</v>
      </c>
      <c r="AS164" s="164">
        <v>896731</v>
      </c>
      <c r="AT164" s="164">
        <v>753555</v>
      </c>
      <c r="AU164" s="164">
        <v>896731</v>
      </c>
      <c r="AV164" s="165">
        <f t="shared" si="83"/>
        <v>830795</v>
      </c>
      <c r="AW164" s="165">
        <f t="shared" si="84"/>
        <v>830795</v>
      </c>
      <c r="AX164" s="165" t="str">
        <f t="shared" si="85"/>
        <v/>
      </c>
      <c r="AY164" s="166">
        <v>1.0500000000000001E-2</v>
      </c>
      <c r="AZ164" s="5"/>
      <c r="BA164" s="7"/>
      <c r="BB164" s="7"/>
    </row>
    <row r="165" spans="1:54" ht="81" x14ac:dyDescent="0.25">
      <c r="A165" s="137" t="s">
        <v>229</v>
      </c>
      <c r="B165" s="137" t="s">
        <v>306</v>
      </c>
      <c r="C165" s="137">
        <v>14111530</v>
      </c>
      <c r="D165" s="137" t="s">
        <v>828</v>
      </c>
      <c r="E165" s="138" t="s">
        <v>829</v>
      </c>
      <c r="F165" s="139" t="s">
        <v>233</v>
      </c>
      <c r="G165" s="140">
        <v>1</v>
      </c>
      <c r="H165" s="139" t="s">
        <v>51</v>
      </c>
      <c r="I165" s="141" t="s">
        <v>234</v>
      </c>
      <c r="J165" s="142">
        <v>46090</v>
      </c>
      <c r="K165" s="143" t="s">
        <v>830</v>
      </c>
      <c r="L165" s="144" t="s">
        <v>241</v>
      </c>
      <c r="M165" s="142" t="s">
        <v>831</v>
      </c>
      <c r="N165" s="145">
        <v>3200</v>
      </c>
      <c r="O165" s="145" t="s">
        <v>238</v>
      </c>
      <c r="P165" s="145" t="s">
        <v>239</v>
      </c>
      <c r="Q165" s="146">
        <f>IF(O165="IVA Incluido",(N165/1.19),N165)</f>
        <v>2689.0756302521008</v>
      </c>
      <c r="R165" s="147">
        <f>IF(P165="Si tiene IVA",Q165*19%,0)</f>
        <v>510.92436974789916</v>
      </c>
      <c r="S165" s="147">
        <f>Q165+R165</f>
        <v>3200</v>
      </c>
      <c r="T165" s="147">
        <f>IF(B165="","",(N165*G165))</f>
        <v>3200</v>
      </c>
      <c r="U165" s="147">
        <f>IF(B165="","",(S165*G165))</f>
        <v>3200</v>
      </c>
      <c r="V165" s="148" t="s">
        <v>234</v>
      </c>
      <c r="W165" s="149">
        <v>46090</v>
      </c>
      <c r="X165" s="150" t="s">
        <v>313</v>
      </c>
      <c r="Y165" s="151" t="s">
        <v>241</v>
      </c>
      <c r="Z165" s="152" t="s">
        <v>832</v>
      </c>
      <c r="AA165" s="153">
        <v>3200</v>
      </c>
      <c r="AB165" s="153" t="s">
        <v>238</v>
      </c>
      <c r="AC165" s="153" t="s">
        <v>239</v>
      </c>
      <c r="AD165" s="154">
        <f>IF(AB165="IVA Incluido",(AA165/1.19),AA165)</f>
        <v>2689.0756302521008</v>
      </c>
      <c r="AE165" s="155">
        <f>IF(AC165="Si tiene IVA",AD165*19%,0)</f>
        <v>510.92436974789916</v>
      </c>
      <c r="AF165" s="155">
        <f>AD165+AE165</f>
        <v>3200</v>
      </c>
      <c r="AG165" s="155">
        <f>IF(O165="","",(AA165*G165))</f>
        <v>3200</v>
      </c>
      <c r="AH165" s="155">
        <f>IF(O165="","",(AF165*G165))</f>
        <v>3200</v>
      </c>
      <c r="AI165" s="156" t="s">
        <v>234</v>
      </c>
      <c r="AJ165" s="157">
        <v>46090</v>
      </c>
      <c r="AK165" s="158" t="s">
        <v>833</v>
      </c>
      <c r="AL165" s="159" t="s">
        <v>241</v>
      </c>
      <c r="AM165" s="160" t="s">
        <v>777</v>
      </c>
      <c r="AN165" s="161">
        <v>2500</v>
      </c>
      <c r="AO165" s="161" t="s">
        <v>238</v>
      </c>
      <c r="AP165" s="162" t="s">
        <v>239</v>
      </c>
      <c r="AQ165" s="163">
        <f>IF(AO165="IVA Incluido",(AN165/1.19),AN165)</f>
        <v>2100.840336134454</v>
      </c>
      <c r="AR165" s="164">
        <f>IF(AP165="Si tiene IVA",AQ165*19%,0)</f>
        <v>399.15966386554624</v>
      </c>
      <c r="AS165" s="164">
        <f>AQ165+AR165</f>
        <v>2500</v>
      </c>
      <c r="AT165" s="164">
        <f>IF(AB165="","",(AN165*G165))</f>
        <v>2500</v>
      </c>
      <c r="AU165" s="164">
        <f>IF(AB165="","",(AS165*G165))</f>
        <v>2500</v>
      </c>
      <c r="AV165" s="165">
        <f t="shared" si="83"/>
        <v>2967</v>
      </c>
      <c r="AW165" s="165">
        <f t="shared" si="84"/>
        <v>2967</v>
      </c>
      <c r="AX165" s="165">
        <f t="shared" si="85"/>
        <v>404</v>
      </c>
      <c r="AY165" s="166">
        <f>IF(N165="","",(AX165/AW165))</f>
        <v>0.13616447590158409</v>
      </c>
      <c r="AZ165" s="5"/>
      <c r="BA165" s="7">
        <f>COUNTA(M165,Z165,AM165)</f>
        <v>3</v>
      </c>
      <c r="BB165" s="7"/>
    </row>
    <row r="166" spans="1:54" ht="94.5" x14ac:dyDescent="0.25">
      <c r="A166" s="137" t="s">
        <v>229</v>
      </c>
      <c r="B166" s="137" t="s">
        <v>306</v>
      </c>
      <c r="C166" s="137">
        <v>14111530</v>
      </c>
      <c r="D166" s="137" t="s">
        <v>834</v>
      </c>
      <c r="E166" s="138" t="s">
        <v>835</v>
      </c>
      <c r="F166" s="139" t="s">
        <v>233</v>
      </c>
      <c r="G166" s="140">
        <v>1</v>
      </c>
      <c r="H166" s="139" t="s">
        <v>51</v>
      </c>
      <c r="I166" s="141" t="s">
        <v>234</v>
      </c>
      <c r="J166" s="142">
        <v>46090</v>
      </c>
      <c r="K166" s="143" t="s">
        <v>836</v>
      </c>
      <c r="L166" s="144" t="s">
        <v>241</v>
      </c>
      <c r="M166" s="142" t="s">
        <v>837</v>
      </c>
      <c r="N166" s="145">
        <v>2126</v>
      </c>
      <c r="O166" s="145" t="s">
        <v>238</v>
      </c>
      <c r="P166" s="145" t="s">
        <v>239</v>
      </c>
      <c r="Q166" s="146">
        <f>IF(O166="IVA Incluido",(N166/1.19),N166)</f>
        <v>1786.5546218487395</v>
      </c>
      <c r="R166" s="147">
        <f>IF(P166="Si tiene IVA",Q166*19%,0)</f>
        <v>339.44537815126051</v>
      </c>
      <c r="S166" s="147">
        <f>Q166+R166</f>
        <v>2126</v>
      </c>
      <c r="T166" s="147">
        <f>IF(B166="","",(N166*G166))</f>
        <v>2126</v>
      </c>
      <c r="U166" s="147">
        <f>IF(B166="","",(S166*G166))</f>
        <v>2126</v>
      </c>
      <c r="V166" s="148" t="s">
        <v>234</v>
      </c>
      <c r="W166" s="149">
        <v>46090</v>
      </c>
      <c r="X166" s="150" t="s">
        <v>838</v>
      </c>
      <c r="Y166" s="151" t="s">
        <v>241</v>
      </c>
      <c r="Z166" s="152" t="s">
        <v>839</v>
      </c>
      <c r="AA166" s="153">
        <v>2500</v>
      </c>
      <c r="AB166" s="153" t="s">
        <v>238</v>
      </c>
      <c r="AC166" s="153" t="s">
        <v>239</v>
      </c>
      <c r="AD166" s="154">
        <f>IF(AB166="IVA Incluido",(AA166/1.19),AA166)</f>
        <v>2100.840336134454</v>
      </c>
      <c r="AE166" s="155">
        <f>IF(AC166="Si tiene IVA",AD166*19%,0)</f>
        <v>399.15966386554624</v>
      </c>
      <c r="AF166" s="155">
        <f>AD166+AE166</f>
        <v>2500</v>
      </c>
      <c r="AG166" s="155">
        <f>AD166</f>
        <v>2100.840336134454</v>
      </c>
      <c r="AH166" s="155">
        <f>IF(O166="","",(AF166*G166))</f>
        <v>2500</v>
      </c>
      <c r="AI166" s="156" t="s">
        <v>234</v>
      </c>
      <c r="AJ166" s="157">
        <v>46090</v>
      </c>
      <c r="AK166" s="158" t="s">
        <v>840</v>
      </c>
      <c r="AL166" s="159" t="s">
        <v>236</v>
      </c>
      <c r="AM166" s="160" t="s">
        <v>841</v>
      </c>
      <c r="AN166" s="161">
        <v>1785</v>
      </c>
      <c r="AO166" s="161" t="s">
        <v>238</v>
      </c>
      <c r="AP166" s="162" t="s">
        <v>239</v>
      </c>
      <c r="AQ166" s="163">
        <f>IF(AO166="IVA Incluido",(AN166/1.19),AN166)</f>
        <v>1500</v>
      </c>
      <c r="AR166" s="164">
        <f>IF(AP166="Si tiene IVA",AQ166*19%,0)</f>
        <v>285</v>
      </c>
      <c r="AS166" s="164">
        <f>AQ166+AR166</f>
        <v>1785</v>
      </c>
      <c r="AT166" s="164">
        <f>IF(AB166="","",(AN166*G166))</f>
        <v>1785</v>
      </c>
      <c r="AU166" s="164">
        <f>IF(AB166="","",(AS166*G166))</f>
        <v>1785</v>
      </c>
      <c r="AV166" s="165">
        <f t="shared" si="83"/>
        <v>2137</v>
      </c>
      <c r="AW166" s="165">
        <f t="shared" si="84"/>
        <v>2137</v>
      </c>
      <c r="AX166" s="165">
        <f t="shared" si="85"/>
        <v>358</v>
      </c>
      <c r="AY166" s="166">
        <f>IF(N166="","",(AX166/AW166))</f>
        <v>0.16752456715021058</v>
      </c>
      <c r="AZ166" s="5"/>
      <c r="BA166" s="7">
        <f>COUNTA(M166,Z166,AM166)</f>
        <v>3</v>
      </c>
      <c r="BB166" s="7"/>
    </row>
    <row r="167" spans="1:54" ht="67.5" x14ac:dyDescent="0.25">
      <c r="A167" s="137" t="s">
        <v>229</v>
      </c>
      <c r="B167" s="137" t="s">
        <v>306</v>
      </c>
      <c r="C167" s="137">
        <v>14111519</v>
      </c>
      <c r="D167" s="137" t="s">
        <v>842</v>
      </c>
      <c r="E167" s="138" t="s">
        <v>843</v>
      </c>
      <c r="F167" s="139" t="s">
        <v>233</v>
      </c>
      <c r="G167" s="140">
        <v>1</v>
      </c>
      <c r="H167" s="139" t="s">
        <v>51</v>
      </c>
      <c r="I167" s="141" t="s">
        <v>247</v>
      </c>
      <c r="J167" s="142">
        <v>46090</v>
      </c>
      <c r="K167" s="143" t="s">
        <v>655</v>
      </c>
      <c r="L167" s="144" t="s">
        <v>236</v>
      </c>
      <c r="M167" s="142" t="s">
        <v>656</v>
      </c>
      <c r="N167" s="145">
        <v>6500</v>
      </c>
      <c r="O167" s="145" t="s">
        <v>238</v>
      </c>
      <c r="P167" s="145" t="s">
        <v>239</v>
      </c>
      <c r="Q167" s="146">
        <f>IF(O167="IVA Incluido",(N167/1.19),N167)</f>
        <v>5462.1848739495799</v>
      </c>
      <c r="R167" s="147">
        <f>IF(P167="Si tiene IVA",Q167*19%,0)</f>
        <v>1037.8151260504203</v>
      </c>
      <c r="S167" s="147">
        <f>Q167+R167</f>
        <v>6500</v>
      </c>
      <c r="T167" s="147">
        <f>IF(B167="","",(N167*G167))</f>
        <v>6500</v>
      </c>
      <c r="U167" s="147">
        <f>IF(B167="","",(S167*G167))</f>
        <v>6500</v>
      </c>
      <c r="V167" s="148" t="s">
        <v>247</v>
      </c>
      <c r="W167" s="149">
        <v>46090</v>
      </c>
      <c r="X167" s="150" t="s">
        <v>794</v>
      </c>
      <c r="Y167" s="151" t="s">
        <v>236</v>
      </c>
      <c r="Z167" s="152" t="s">
        <v>795</v>
      </c>
      <c r="AA167" s="153">
        <v>5800</v>
      </c>
      <c r="AB167" s="153" t="s">
        <v>238</v>
      </c>
      <c r="AC167" s="153" t="s">
        <v>239</v>
      </c>
      <c r="AD167" s="154">
        <f>IF(AB167="IVA Incluido",(AA167/1.19),AA167)</f>
        <v>4873.9495798319331</v>
      </c>
      <c r="AE167" s="155">
        <f>IF(AC167="Si tiene IVA",AD167*19%,0)</f>
        <v>926.05042016806726</v>
      </c>
      <c r="AF167" s="155">
        <f>AD167+AE167</f>
        <v>5800</v>
      </c>
      <c r="AG167" s="155">
        <f>AD167</f>
        <v>4873.9495798319331</v>
      </c>
      <c r="AH167" s="155">
        <f>IF(O167="","",(AF167*G167))</f>
        <v>5800</v>
      </c>
      <c r="AI167" s="156" t="s">
        <v>247</v>
      </c>
      <c r="AJ167" s="157">
        <v>46090</v>
      </c>
      <c r="AK167" s="158" t="s">
        <v>311</v>
      </c>
      <c r="AL167" s="159" t="s">
        <v>241</v>
      </c>
      <c r="AM167" s="160" t="s">
        <v>312</v>
      </c>
      <c r="AN167" s="161">
        <v>6050</v>
      </c>
      <c r="AO167" s="161" t="s">
        <v>245</v>
      </c>
      <c r="AP167" s="162" t="s">
        <v>239</v>
      </c>
      <c r="AQ167" s="163">
        <f>IF(AO167="IVA Incluido",(AN167/1.19),AN167)</f>
        <v>6050</v>
      </c>
      <c r="AR167" s="164">
        <f>IF(AP167="Si tiene IVA",AQ167*19%,0)</f>
        <v>1149.5</v>
      </c>
      <c r="AS167" s="164">
        <f>AQ167+AR167</f>
        <v>7199.5</v>
      </c>
      <c r="AT167" s="164">
        <f>IF(AB167="","",(AN167*G167))</f>
        <v>6050</v>
      </c>
      <c r="AU167" s="164">
        <f>IF(AB167="","",(AS167*G167))</f>
        <v>7199.5</v>
      </c>
      <c r="AV167" s="165">
        <f t="shared" si="83"/>
        <v>6500</v>
      </c>
      <c r="AW167" s="165">
        <f t="shared" si="84"/>
        <v>6500</v>
      </c>
      <c r="AX167" s="165">
        <f t="shared" si="85"/>
        <v>700</v>
      </c>
      <c r="AY167" s="166">
        <f>IF(N167="","",(AX167/AW167))</f>
        <v>0.1076923076923077</v>
      </c>
      <c r="AZ167" s="5"/>
      <c r="BA167" s="7">
        <f>COUNTA(M167,Z167,AM167)</f>
        <v>3</v>
      </c>
      <c r="BB167" s="7"/>
    </row>
    <row r="168" spans="1:54" ht="297" x14ac:dyDescent="0.25">
      <c r="A168" s="137" t="s">
        <v>299</v>
      </c>
      <c r="B168" s="137" t="s">
        <v>299</v>
      </c>
      <c r="C168" s="137" t="s">
        <v>299</v>
      </c>
      <c r="D168" s="137" t="s">
        <v>844</v>
      </c>
      <c r="E168" s="138" t="s">
        <v>845</v>
      </c>
      <c r="F168" s="139" t="s">
        <v>302</v>
      </c>
      <c r="G168" s="140">
        <v>1</v>
      </c>
      <c r="H168" s="139"/>
      <c r="I168" s="141"/>
      <c r="J168" s="142"/>
      <c r="K168" s="143"/>
      <c r="L168" s="144"/>
      <c r="M168" s="142"/>
      <c r="N168" s="145"/>
      <c r="O168" s="145"/>
      <c r="P168" s="145"/>
      <c r="Q168" s="146" t="s">
        <v>303</v>
      </c>
      <c r="R168" s="147" t="s">
        <v>303</v>
      </c>
      <c r="S168" s="147" t="s">
        <v>303</v>
      </c>
      <c r="T168" s="147" t="s">
        <v>303</v>
      </c>
      <c r="U168" s="147" t="s">
        <v>303</v>
      </c>
      <c r="V168" s="148" t="s">
        <v>299</v>
      </c>
      <c r="W168" s="149" t="s">
        <v>299</v>
      </c>
      <c r="X168" s="150" t="s">
        <v>299</v>
      </c>
      <c r="Y168" s="151" t="s">
        <v>299</v>
      </c>
      <c r="Z168" s="152" t="s">
        <v>304</v>
      </c>
      <c r="AA168" s="153" t="s">
        <v>299</v>
      </c>
      <c r="AB168" s="153" t="s">
        <v>299</v>
      </c>
      <c r="AC168" s="153" t="s">
        <v>299</v>
      </c>
      <c r="AD168" s="154" t="s">
        <v>299</v>
      </c>
      <c r="AE168" s="155" t="s">
        <v>299</v>
      </c>
      <c r="AF168" s="155">
        <f>AH168/1.19</f>
        <v>133251.26050420169</v>
      </c>
      <c r="AG168" s="155">
        <f>AF168*19%</f>
        <v>25317.739495798323</v>
      </c>
      <c r="AH168" s="155">
        <v>158569</v>
      </c>
      <c r="AI168" s="156" t="s">
        <v>299</v>
      </c>
      <c r="AJ168" s="157" t="s">
        <v>299</v>
      </c>
      <c r="AK168" s="158" t="s">
        <v>299</v>
      </c>
      <c r="AL168" s="159" t="s">
        <v>299</v>
      </c>
      <c r="AM168" s="160" t="s">
        <v>305</v>
      </c>
      <c r="AN168" s="161" t="s">
        <v>299</v>
      </c>
      <c r="AO168" s="161" t="s">
        <v>299</v>
      </c>
      <c r="AP168" s="162" t="s">
        <v>299</v>
      </c>
      <c r="AQ168" s="163">
        <v>129389</v>
      </c>
      <c r="AR168" s="164">
        <v>24584</v>
      </c>
      <c r="AS168" s="164">
        <v>153972</v>
      </c>
      <c r="AT168" s="164">
        <v>129389</v>
      </c>
      <c r="AU168" s="164">
        <v>153972</v>
      </c>
      <c r="AV168" s="165">
        <f t="shared" si="83"/>
        <v>143612</v>
      </c>
      <c r="AW168" s="165">
        <f t="shared" si="84"/>
        <v>143612</v>
      </c>
      <c r="AX168" s="165" t="str">
        <f t="shared" si="85"/>
        <v/>
      </c>
      <c r="AY168" s="166">
        <v>2.0799999999999999E-2</v>
      </c>
      <c r="AZ168" s="5"/>
      <c r="BA168" s="7"/>
      <c r="BB168" s="7"/>
    </row>
    <row r="169" spans="1:54" ht="67.5" x14ac:dyDescent="0.25">
      <c r="A169" s="137" t="s">
        <v>229</v>
      </c>
      <c r="B169" s="137" t="s">
        <v>306</v>
      </c>
      <c r="C169" s="137"/>
      <c r="D169" s="137" t="s">
        <v>846</v>
      </c>
      <c r="E169" s="138" t="s">
        <v>847</v>
      </c>
      <c r="F169" s="139" t="s">
        <v>233</v>
      </c>
      <c r="G169" s="140">
        <v>1</v>
      </c>
      <c r="H169" s="139" t="s">
        <v>51</v>
      </c>
      <c r="I169" s="141" t="s">
        <v>234</v>
      </c>
      <c r="J169" s="142">
        <v>46090</v>
      </c>
      <c r="K169" s="143" t="s">
        <v>655</v>
      </c>
      <c r="L169" s="144" t="s">
        <v>241</v>
      </c>
      <c r="M169" s="142" t="s">
        <v>656</v>
      </c>
      <c r="N169" s="145">
        <v>12500</v>
      </c>
      <c r="O169" s="145" t="s">
        <v>245</v>
      </c>
      <c r="P169" s="145" t="s">
        <v>239</v>
      </c>
      <c r="Q169" s="146">
        <f t="shared" ref="Q169:Q184" si="103">IF(O169="IVA Incluido",(N169/1.19),N169)</f>
        <v>12500</v>
      </c>
      <c r="R169" s="147">
        <f t="shared" ref="R169:R184" si="104">IF(P169="Si tiene IVA",Q169*19%,0)</f>
        <v>2375</v>
      </c>
      <c r="S169" s="147">
        <f t="shared" ref="S169:S184" si="105">Q169+R169</f>
        <v>14875</v>
      </c>
      <c r="T169" s="147">
        <f>IF(B169="","",(N169*G169))</f>
        <v>12500</v>
      </c>
      <c r="U169" s="147">
        <f t="shared" ref="U169:U184" si="106">IF(B169="","",(S169*G169))</f>
        <v>14875</v>
      </c>
      <c r="V169" s="148" t="s">
        <v>234</v>
      </c>
      <c r="W169" s="149">
        <v>46090</v>
      </c>
      <c r="X169" s="150" t="s">
        <v>848</v>
      </c>
      <c r="Y169" s="151" t="s">
        <v>241</v>
      </c>
      <c r="Z169" s="152" t="s">
        <v>849</v>
      </c>
      <c r="AA169" s="153">
        <v>12600</v>
      </c>
      <c r="AB169" s="153" t="s">
        <v>238</v>
      </c>
      <c r="AC169" s="153" t="s">
        <v>239</v>
      </c>
      <c r="AD169" s="154">
        <f t="shared" ref="AD169:AD184" si="107">IF(AB169="IVA Incluido",(AA169/1.19),AA169)</f>
        <v>10588.235294117647</v>
      </c>
      <c r="AE169" s="155">
        <f t="shared" ref="AE169:AE184" si="108">IF(AC169="Si tiene IVA",AD169*19%,0)</f>
        <v>2011.7647058823529</v>
      </c>
      <c r="AF169" s="155">
        <f t="shared" ref="AF169:AF184" si="109">AD169+AE169</f>
        <v>12600</v>
      </c>
      <c r="AG169" s="155">
        <f>IF(O169="","",(AA169*G169))</f>
        <v>12600</v>
      </c>
      <c r="AH169" s="155">
        <f t="shared" ref="AH169:AH184" si="110">IF(O169="","",(AF169*G169))</f>
        <v>12600</v>
      </c>
      <c r="AI169" s="156" t="s">
        <v>234</v>
      </c>
      <c r="AJ169" s="157">
        <v>46090</v>
      </c>
      <c r="AK169" s="158" t="s">
        <v>850</v>
      </c>
      <c r="AL169" s="159" t="s">
        <v>241</v>
      </c>
      <c r="AM169" s="160" t="s">
        <v>851</v>
      </c>
      <c r="AN169" s="161">
        <v>12000</v>
      </c>
      <c r="AO169" s="161" t="s">
        <v>238</v>
      </c>
      <c r="AP169" s="162" t="s">
        <v>239</v>
      </c>
      <c r="AQ169" s="163">
        <f t="shared" ref="AQ169:AQ184" si="111">IF(AO169="IVA Incluido",(AN169/1.19),AN169)</f>
        <v>10084.033613445379</v>
      </c>
      <c r="AR169" s="164">
        <f t="shared" ref="AR169:AR184" si="112">IF(AP169="Si tiene IVA",AQ169*19%,0)</f>
        <v>1915.966386554622</v>
      </c>
      <c r="AS169" s="164">
        <f t="shared" ref="AS169:AS184" si="113">AQ169+AR169</f>
        <v>12000.000000000002</v>
      </c>
      <c r="AT169" s="164">
        <f>IF(AB169="","",(AN169*G169))</f>
        <v>12000</v>
      </c>
      <c r="AU169" s="164">
        <f t="shared" ref="AU169:AU184" si="114">IF(AB169="","",(AS169*G169))</f>
        <v>12000.000000000002</v>
      </c>
      <c r="AV169" s="165">
        <f t="shared" si="83"/>
        <v>13158</v>
      </c>
      <c r="AW169" s="165">
        <f t="shared" si="84"/>
        <v>13158</v>
      </c>
      <c r="AX169" s="165">
        <f t="shared" si="85"/>
        <v>1517</v>
      </c>
      <c r="AY169" s="166">
        <f t="shared" ref="AY169:AY184" si="115">IF(N169="","",(AX169/AW169))</f>
        <v>0.11529107767137863</v>
      </c>
      <c r="AZ169" s="5"/>
      <c r="BA169" s="7">
        <f t="shared" ref="BA169:BA184" si="116">COUNTA(M169,Z169,AM169)</f>
        <v>3</v>
      </c>
      <c r="BB169" s="7"/>
    </row>
    <row r="170" spans="1:54" ht="67.5" x14ac:dyDescent="0.25">
      <c r="A170" s="137" t="s">
        <v>229</v>
      </c>
      <c r="B170" s="137" t="s">
        <v>306</v>
      </c>
      <c r="C170" s="137"/>
      <c r="D170" s="137" t="s">
        <v>852</v>
      </c>
      <c r="E170" s="138" t="s">
        <v>853</v>
      </c>
      <c r="F170" s="139" t="s">
        <v>233</v>
      </c>
      <c r="G170" s="140">
        <v>1</v>
      </c>
      <c r="H170" s="139" t="s">
        <v>51</v>
      </c>
      <c r="I170" s="141" t="s">
        <v>234</v>
      </c>
      <c r="J170" s="142">
        <v>46090</v>
      </c>
      <c r="K170" s="143" t="s">
        <v>655</v>
      </c>
      <c r="L170" s="144" t="s">
        <v>241</v>
      </c>
      <c r="M170" s="142" t="s">
        <v>656</v>
      </c>
      <c r="N170" s="145">
        <v>1000</v>
      </c>
      <c r="O170" s="145" t="s">
        <v>245</v>
      </c>
      <c r="P170" s="145" t="s">
        <v>239</v>
      </c>
      <c r="Q170" s="146">
        <f t="shared" si="103"/>
        <v>1000</v>
      </c>
      <c r="R170" s="147">
        <f t="shared" si="104"/>
        <v>190</v>
      </c>
      <c r="S170" s="147">
        <f t="shared" si="105"/>
        <v>1190</v>
      </c>
      <c r="T170" s="147">
        <f>IF(B170="","",(N170*G170))</f>
        <v>1000</v>
      </c>
      <c r="U170" s="147">
        <f t="shared" si="106"/>
        <v>1190</v>
      </c>
      <c r="V170" s="148" t="s">
        <v>234</v>
      </c>
      <c r="W170" s="149">
        <v>46090</v>
      </c>
      <c r="X170" s="150" t="s">
        <v>854</v>
      </c>
      <c r="Y170" s="151" t="s">
        <v>241</v>
      </c>
      <c r="Z170" s="152" t="s">
        <v>855</v>
      </c>
      <c r="AA170" s="153">
        <v>1671</v>
      </c>
      <c r="AB170" s="153" t="s">
        <v>238</v>
      </c>
      <c r="AC170" s="153" t="s">
        <v>239</v>
      </c>
      <c r="AD170" s="154">
        <f t="shared" si="107"/>
        <v>1404.201680672269</v>
      </c>
      <c r="AE170" s="155">
        <f t="shared" si="108"/>
        <v>266.79831932773112</v>
      </c>
      <c r="AF170" s="155">
        <f t="shared" si="109"/>
        <v>1671.0000000000002</v>
      </c>
      <c r="AG170" s="155">
        <f>IF(O170="","",(AA170*G170))</f>
        <v>1671</v>
      </c>
      <c r="AH170" s="155">
        <f t="shared" si="110"/>
        <v>1671.0000000000002</v>
      </c>
      <c r="AI170" s="156" t="s">
        <v>234</v>
      </c>
      <c r="AJ170" s="157">
        <v>46090</v>
      </c>
      <c r="AK170" s="158" t="s">
        <v>856</v>
      </c>
      <c r="AL170" s="159" t="s">
        <v>241</v>
      </c>
      <c r="AM170" s="160" t="s">
        <v>831</v>
      </c>
      <c r="AN170" s="161">
        <v>1400</v>
      </c>
      <c r="AO170" s="161" t="s">
        <v>238</v>
      </c>
      <c r="AP170" s="162" t="s">
        <v>239</v>
      </c>
      <c r="AQ170" s="163">
        <f t="shared" si="111"/>
        <v>1176.4705882352941</v>
      </c>
      <c r="AR170" s="164">
        <f t="shared" si="112"/>
        <v>223.52941176470588</v>
      </c>
      <c r="AS170" s="164">
        <f t="shared" si="113"/>
        <v>1400</v>
      </c>
      <c r="AT170" s="164">
        <f>IF(AB170="","",(AN170*G170))</f>
        <v>1400</v>
      </c>
      <c r="AU170" s="164">
        <f t="shared" si="114"/>
        <v>1400</v>
      </c>
      <c r="AV170" s="165">
        <f t="shared" si="83"/>
        <v>1420</v>
      </c>
      <c r="AW170" s="165">
        <f t="shared" si="84"/>
        <v>1420</v>
      </c>
      <c r="AX170" s="165">
        <f t="shared" si="85"/>
        <v>241</v>
      </c>
      <c r="AY170" s="166">
        <f t="shared" si="115"/>
        <v>0.16971830985915493</v>
      </c>
      <c r="AZ170" s="5"/>
      <c r="BA170" s="7">
        <f t="shared" si="116"/>
        <v>3</v>
      </c>
      <c r="BB170" s="7"/>
    </row>
    <row r="171" spans="1:54" ht="67.5" x14ac:dyDescent="0.25">
      <c r="A171" s="137" t="s">
        <v>229</v>
      </c>
      <c r="B171" s="137" t="s">
        <v>306</v>
      </c>
      <c r="C171" s="137"/>
      <c r="D171" s="137" t="s">
        <v>857</v>
      </c>
      <c r="E171" s="138" t="s">
        <v>858</v>
      </c>
      <c r="F171" s="139" t="s">
        <v>233</v>
      </c>
      <c r="G171" s="140">
        <v>1</v>
      </c>
      <c r="H171" s="139" t="s">
        <v>51</v>
      </c>
      <c r="I171" s="141" t="s">
        <v>234</v>
      </c>
      <c r="J171" s="142">
        <v>46090</v>
      </c>
      <c r="K171" s="143" t="s">
        <v>655</v>
      </c>
      <c r="L171" s="144" t="s">
        <v>241</v>
      </c>
      <c r="M171" s="142" t="s">
        <v>656</v>
      </c>
      <c r="N171" s="145">
        <v>3600</v>
      </c>
      <c r="O171" s="145" t="s">
        <v>245</v>
      </c>
      <c r="P171" s="145" t="s">
        <v>239</v>
      </c>
      <c r="Q171" s="146">
        <f t="shared" si="103"/>
        <v>3600</v>
      </c>
      <c r="R171" s="147">
        <f t="shared" si="104"/>
        <v>684</v>
      </c>
      <c r="S171" s="147">
        <f t="shared" si="105"/>
        <v>4284</v>
      </c>
      <c r="T171" s="147">
        <f>IF(B171="","",(N171*G171))</f>
        <v>3600</v>
      </c>
      <c r="U171" s="147">
        <f t="shared" si="106"/>
        <v>4284</v>
      </c>
      <c r="V171" s="148" t="s">
        <v>234</v>
      </c>
      <c r="W171" s="149">
        <v>46090</v>
      </c>
      <c r="X171" s="150" t="s">
        <v>859</v>
      </c>
      <c r="Y171" s="151" t="s">
        <v>241</v>
      </c>
      <c r="Z171" s="152" t="s">
        <v>860</v>
      </c>
      <c r="AA171" s="153">
        <v>3000</v>
      </c>
      <c r="AB171" s="153" t="s">
        <v>238</v>
      </c>
      <c r="AC171" s="153" t="s">
        <v>239</v>
      </c>
      <c r="AD171" s="154">
        <f t="shared" si="107"/>
        <v>2521.0084033613448</v>
      </c>
      <c r="AE171" s="155">
        <f t="shared" si="108"/>
        <v>478.99159663865549</v>
      </c>
      <c r="AF171" s="155">
        <f t="shared" si="109"/>
        <v>3000.0000000000005</v>
      </c>
      <c r="AG171" s="155">
        <f>IF(O171="","",(AA171*G171))</f>
        <v>3000</v>
      </c>
      <c r="AH171" s="155">
        <f t="shared" si="110"/>
        <v>3000.0000000000005</v>
      </c>
      <c r="AI171" s="156" t="s">
        <v>234</v>
      </c>
      <c r="AJ171" s="157">
        <v>46090</v>
      </c>
      <c r="AK171" s="158" t="s">
        <v>313</v>
      </c>
      <c r="AL171" s="159" t="s">
        <v>241</v>
      </c>
      <c r="AM171" s="160" t="s">
        <v>861</v>
      </c>
      <c r="AN171" s="161">
        <v>3500</v>
      </c>
      <c r="AO171" s="161" t="s">
        <v>238</v>
      </c>
      <c r="AP171" s="162" t="s">
        <v>239</v>
      </c>
      <c r="AQ171" s="163">
        <f t="shared" si="111"/>
        <v>2941.1764705882356</v>
      </c>
      <c r="AR171" s="164">
        <f t="shared" si="112"/>
        <v>558.82352941176475</v>
      </c>
      <c r="AS171" s="164">
        <f t="shared" si="113"/>
        <v>3500.0000000000005</v>
      </c>
      <c r="AT171" s="164">
        <f>IF(AB171="","",(AN171*G171))</f>
        <v>3500</v>
      </c>
      <c r="AU171" s="164">
        <f t="shared" si="114"/>
        <v>3500.0000000000005</v>
      </c>
      <c r="AV171" s="165">
        <f t="shared" si="83"/>
        <v>3595</v>
      </c>
      <c r="AW171" s="165">
        <f t="shared" si="84"/>
        <v>3595</v>
      </c>
      <c r="AX171" s="165">
        <f t="shared" si="85"/>
        <v>647</v>
      </c>
      <c r="AY171" s="166">
        <f t="shared" si="115"/>
        <v>0.1799721835883171</v>
      </c>
      <c r="AZ171" s="5"/>
      <c r="BA171" s="7">
        <f t="shared" si="116"/>
        <v>3</v>
      </c>
      <c r="BB171" s="7"/>
    </row>
    <row r="172" spans="1:54" ht="67.5" x14ac:dyDescent="0.25">
      <c r="A172" s="137" t="s">
        <v>229</v>
      </c>
      <c r="B172" s="137" t="s">
        <v>306</v>
      </c>
      <c r="C172" s="137"/>
      <c r="D172" s="137" t="s">
        <v>862</v>
      </c>
      <c r="E172" s="138" t="s">
        <v>863</v>
      </c>
      <c r="F172" s="139" t="s">
        <v>233</v>
      </c>
      <c r="G172" s="140">
        <v>1</v>
      </c>
      <c r="H172" s="139" t="s">
        <v>51</v>
      </c>
      <c r="I172" s="141" t="s">
        <v>234</v>
      </c>
      <c r="J172" s="142">
        <v>46090</v>
      </c>
      <c r="K172" s="143" t="s">
        <v>655</v>
      </c>
      <c r="L172" s="144" t="s">
        <v>241</v>
      </c>
      <c r="M172" s="142" t="s">
        <v>656</v>
      </c>
      <c r="N172" s="145">
        <v>3699</v>
      </c>
      <c r="O172" s="145" t="s">
        <v>245</v>
      </c>
      <c r="P172" s="145" t="s">
        <v>239</v>
      </c>
      <c r="Q172" s="146">
        <f t="shared" si="103"/>
        <v>3699</v>
      </c>
      <c r="R172" s="147">
        <f t="shared" si="104"/>
        <v>702.81000000000006</v>
      </c>
      <c r="S172" s="147">
        <f t="shared" si="105"/>
        <v>4401.8100000000004</v>
      </c>
      <c r="T172" s="147">
        <f>IF(B172="","",(N172*G172))</f>
        <v>3699</v>
      </c>
      <c r="U172" s="147">
        <f t="shared" si="106"/>
        <v>4401.8100000000004</v>
      </c>
      <c r="V172" s="148" t="s">
        <v>234</v>
      </c>
      <c r="W172" s="149">
        <v>46090</v>
      </c>
      <c r="X172" s="150" t="s">
        <v>794</v>
      </c>
      <c r="Y172" s="151" t="s">
        <v>241</v>
      </c>
      <c r="Z172" s="152" t="s">
        <v>795</v>
      </c>
      <c r="AA172" s="153">
        <v>3900</v>
      </c>
      <c r="AB172" s="153" t="s">
        <v>238</v>
      </c>
      <c r="AC172" s="153" t="s">
        <v>239</v>
      </c>
      <c r="AD172" s="154">
        <f t="shared" si="107"/>
        <v>3277.3109243697481</v>
      </c>
      <c r="AE172" s="155">
        <f t="shared" si="108"/>
        <v>622.6890756302522</v>
      </c>
      <c r="AF172" s="155">
        <f t="shared" si="109"/>
        <v>3900.0000000000005</v>
      </c>
      <c r="AG172" s="155">
        <f>IF(O172="","",(AA172*G172))</f>
        <v>3900</v>
      </c>
      <c r="AH172" s="155">
        <f t="shared" si="110"/>
        <v>3900.0000000000005</v>
      </c>
      <c r="AI172" s="156" t="s">
        <v>234</v>
      </c>
      <c r="AJ172" s="157">
        <v>46090</v>
      </c>
      <c r="AK172" s="158" t="s">
        <v>313</v>
      </c>
      <c r="AL172" s="159" t="s">
        <v>241</v>
      </c>
      <c r="AM172" s="160" t="s">
        <v>861</v>
      </c>
      <c r="AN172" s="161">
        <v>4500</v>
      </c>
      <c r="AO172" s="161" t="s">
        <v>238</v>
      </c>
      <c r="AP172" s="162" t="s">
        <v>239</v>
      </c>
      <c r="AQ172" s="163">
        <f t="shared" si="111"/>
        <v>3781.5126050420172</v>
      </c>
      <c r="AR172" s="164">
        <f t="shared" si="112"/>
        <v>718.48739495798327</v>
      </c>
      <c r="AS172" s="164">
        <f t="shared" si="113"/>
        <v>4500</v>
      </c>
      <c r="AT172" s="164">
        <f>IF(AB172="","",(AN172*G172))</f>
        <v>4500</v>
      </c>
      <c r="AU172" s="164">
        <f t="shared" si="114"/>
        <v>4500</v>
      </c>
      <c r="AV172" s="165">
        <f t="shared" si="83"/>
        <v>4267</v>
      </c>
      <c r="AW172" s="165">
        <f t="shared" si="84"/>
        <v>4267</v>
      </c>
      <c r="AX172" s="165">
        <f t="shared" si="85"/>
        <v>322</v>
      </c>
      <c r="AY172" s="166">
        <f t="shared" si="115"/>
        <v>7.5462854464494966E-2</v>
      </c>
      <c r="AZ172" s="5"/>
      <c r="BA172" s="7">
        <f t="shared" si="116"/>
        <v>3</v>
      </c>
      <c r="BB172" s="7"/>
    </row>
    <row r="173" spans="1:54" ht="94.5" x14ac:dyDescent="0.25">
      <c r="A173" s="137" t="s">
        <v>229</v>
      </c>
      <c r="B173" s="137" t="s">
        <v>306</v>
      </c>
      <c r="C173" s="137"/>
      <c r="D173" s="137" t="s">
        <v>864</v>
      </c>
      <c r="E173" s="138" t="s">
        <v>865</v>
      </c>
      <c r="F173" s="139" t="s">
        <v>233</v>
      </c>
      <c r="G173" s="140">
        <v>1</v>
      </c>
      <c r="H173" s="139" t="s">
        <v>51</v>
      </c>
      <c r="I173" s="141" t="s">
        <v>234</v>
      </c>
      <c r="J173" s="142">
        <v>46090</v>
      </c>
      <c r="K173" s="143" t="s">
        <v>866</v>
      </c>
      <c r="L173" s="144" t="s">
        <v>241</v>
      </c>
      <c r="M173" s="142" t="s">
        <v>867</v>
      </c>
      <c r="N173" s="145">
        <v>40000</v>
      </c>
      <c r="O173" s="145" t="s">
        <v>238</v>
      </c>
      <c r="P173" s="145" t="s">
        <v>239</v>
      </c>
      <c r="Q173" s="146">
        <f t="shared" si="103"/>
        <v>33613.445378151264</v>
      </c>
      <c r="R173" s="147">
        <f t="shared" si="104"/>
        <v>6386.5546218487398</v>
      </c>
      <c r="S173" s="147">
        <f t="shared" si="105"/>
        <v>40000</v>
      </c>
      <c r="T173" s="147">
        <f>IF(R173="IVA Incluido",(Q173/1.19),Q173)</f>
        <v>33613.445378151264</v>
      </c>
      <c r="U173" s="147">
        <f t="shared" si="106"/>
        <v>40000</v>
      </c>
      <c r="V173" s="148" t="s">
        <v>234</v>
      </c>
      <c r="W173" s="149">
        <v>46090</v>
      </c>
      <c r="X173" s="150" t="s">
        <v>868</v>
      </c>
      <c r="Y173" s="151" t="s">
        <v>241</v>
      </c>
      <c r="Z173" s="152" t="s">
        <v>869</v>
      </c>
      <c r="AA173" s="153">
        <v>32000</v>
      </c>
      <c r="AB173" s="153" t="s">
        <v>238</v>
      </c>
      <c r="AC173" s="153" t="s">
        <v>239</v>
      </c>
      <c r="AD173" s="154">
        <f t="shared" si="107"/>
        <v>26890.756302521011</v>
      </c>
      <c r="AE173" s="155">
        <f t="shared" si="108"/>
        <v>5109.2436974789925</v>
      </c>
      <c r="AF173" s="155">
        <f t="shared" si="109"/>
        <v>32000.000000000004</v>
      </c>
      <c r="AG173" s="155">
        <f>IF(R173="IVA Incluido",(Q173/1.19),Q173)</f>
        <v>33613.445378151264</v>
      </c>
      <c r="AH173" s="155">
        <f t="shared" si="110"/>
        <v>32000.000000000004</v>
      </c>
      <c r="AI173" s="156" t="s">
        <v>234</v>
      </c>
      <c r="AJ173" s="157">
        <v>46090</v>
      </c>
      <c r="AK173" s="158" t="s">
        <v>870</v>
      </c>
      <c r="AL173" s="159" t="s">
        <v>241</v>
      </c>
      <c r="AM173" s="160" t="s">
        <v>871</v>
      </c>
      <c r="AN173" s="161">
        <v>45000</v>
      </c>
      <c r="AO173" s="161" t="s">
        <v>238</v>
      </c>
      <c r="AP173" s="162" t="s">
        <v>239</v>
      </c>
      <c r="AQ173" s="163">
        <f t="shared" si="111"/>
        <v>37815.126050420171</v>
      </c>
      <c r="AR173" s="164">
        <f t="shared" si="112"/>
        <v>7184.8739495798327</v>
      </c>
      <c r="AS173" s="164">
        <f t="shared" si="113"/>
        <v>45000</v>
      </c>
      <c r="AT173" s="164">
        <f>AQ173</f>
        <v>37815.126050420171</v>
      </c>
      <c r="AU173" s="164">
        <f t="shared" si="114"/>
        <v>45000</v>
      </c>
      <c r="AV173" s="165">
        <f t="shared" si="83"/>
        <v>39000</v>
      </c>
      <c r="AW173" s="165">
        <f t="shared" si="84"/>
        <v>39000</v>
      </c>
      <c r="AX173" s="165">
        <f t="shared" si="85"/>
        <v>6557</v>
      </c>
      <c r="AY173" s="166">
        <f t="shared" si="115"/>
        <v>0.16812820512820512</v>
      </c>
      <c r="AZ173" s="5"/>
      <c r="BA173" s="7">
        <f t="shared" si="116"/>
        <v>3</v>
      </c>
      <c r="BB173" s="7"/>
    </row>
    <row r="174" spans="1:54" ht="40.5" x14ac:dyDescent="0.25">
      <c r="A174" s="137" t="s">
        <v>229</v>
      </c>
      <c r="B174" s="137" t="s">
        <v>306</v>
      </c>
      <c r="C174" s="137">
        <v>60121116</v>
      </c>
      <c r="D174" s="137" t="s">
        <v>872</v>
      </c>
      <c r="E174" s="138" t="s">
        <v>873</v>
      </c>
      <c r="F174" s="139" t="s">
        <v>233</v>
      </c>
      <c r="G174" s="140">
        <v>1</v>
      </c>
      <c r="H174" s="139" t="s">
        <v>51</v>
      </c>
      <c r="I174" s="141" t="s">
        <v>234</v>
      </c>
      <c r="J174" s="142">
        <v>46090</v>
      </c>
      <c r="K174" s="143" t="s">
        <v>874</v>
      </c>
      <c r="L174" s="144" t="s">
        <v>241</v>
      </c>
      <c r="M174" s="142" t="s">
        <v>777</v>
      </c>
      <c r="N174" s="145">
        <v>900</v>
      </c>
      <c r="O174" s="145" t="s">
        <v>238</v>
      </c>
      <c r="P174" s="145" t="s">
        <v>239</v>
      </c>
      <c r="Q174" s="146">
        <f t="shared" si="103"/>
        <v>756.30252100840335</v>
      </c>
      <c r="R174" s="147">
        <f t="shared" si="104"/>
        <v>143.69747899159663</v>
      </c>
      <c r="S174" s="147">
        <f t="shared" si="105"/>
        <v>900</v>
      </c>
      <c r="T174" s="147">
        <f t="shared" ref="T174:T184" si="117">IF(B174="","",(N174*G174))</f>
        <v>900</v>
      </c>
      <c r="U174" s="147">
        <f t="shared" si="106"/>
        <v>900</v>
      </c>
      <c r="V174" s="148" t="s">
        <v>234</v>
      </c>
      <c r="W174" s="149">
        <v>46090</v>
      </c>
      <c r="X174" s="150" t="s">
        <v>875</v>
      </c>
      <c r="Y174" s="151" t="s">
        <v>241</v>
      </c>
      <c r="Z174" s="152" t="s">
        <v>839</v>
      </c>
      <c r="AA174" s="153">
        <v>900</v>
      </c>
      <c r="AB174" s="153" t="s">
        <v>238</v>
      </c>
      <c r="AC174" s="153" t="s">
        <v>239</v>
      </c>
      <c r="AD174" s="154">
        <f t="shared" si="107"/>
        <v>756.30252100840335</v>
      </c>
      <c r="AE174" s="155">
        <f t="shared" si="108"/>
        <v>143.69747899159663</v>
      </c>
      <c r="AF174" s="155">
        <f t="shared" si="109"/>
        <v>900</v>
      </c>
      <c r="AG174" s="155">
        <f t="shared" ref="AG174:AG184" si="118">IF(O174="","",(AA174*G174))</f>
        <v>900</v>
      </c>
      <c r="AH174" s="155">
        <f t="shared" si="110"/>
        <v>900</v>
      </c>
      <c r="AI174" s="156" t="s">
        <v>234</v>
      </c>
      <c r="AJ174" s="157">
        <v>46090</v>
      </c>
      <c r="AK174" s="158" t="s">
        <v>313</v>
      </c>
      <c r="AL174" s="159" t="s">
        <v>241</v>
      </c>
      <c r="AM174" s="160" t="s">
        <v>832</v>
      </c>
      <c r="AN174" s="161">
        <v>900</v>
      </c>
      <c r="AO174" s="161" t="s">
        <v>238</v>
      </c>
      <c r="AP174" s="162" t="s">
        <v>239</v>
      </c>
      <c r="AQ174" s="163">
        <f t="shared" si="111"/>
        <v>756.30252100840335</v>
      </c>
      <c r="AR174" s="164">
        <f t="shared" si="112"/>
        <v>143.69747899159663</v>
      </c>
      <c r="AS174" s="164">
        <f t="shared" si="113"/>
        <v>900</v>
      </c>
      <c r="AT174" s="164">
        <f t="shared" ref="AT174:AT184" si="119">IF(AB174="","",(AN174*G174))</f>
        <v>900</v>
      </c>
      <c r="AU174" s="164">
        <f t="shared" si="114"/>
        <v>900</v>
      </c>
      <c r="AV174" s="165">
        <f t="shared" si="83"/>
        <v>900</v>
      </c>
      <c r="AW174" s="165">
        <f t="shared" si="84"/>
        <v>900</v>
      </c>
      <c r="AX174" s="165">
        <f t="shared" si="85"/>
        <v>0</v>
      </c>
      <c r="AY174" s="166">
        <f t="shared" si="115"/>
        <v>0</v>
      </c>
      <c r="AZ174" s="5"/>
      <c r="BA174" s="7">
        <f t="shared" si="116"/>
        <v>3</v>
      </c>
      <c r="BB174" s="7"/>
    </row>
    <row r="175" spans="1:54" ht="67.5" x14ac:dyDescent="0.25">
      <c r="A175" s="137" t="s">
        <v>229</v>
      </c>
      <c r="B175" s="137" t="s">
        <v>306</v>
      </c>
      <c r="C175" s="137">
        <v>60121124</v>
      </c>
      <c r="D175" s="137" t="s">
        <v>876</v>
      </c>
      <c r="E175" s="138" t="s">
        <v>877</v>
      </c>
      <c r="F175" s="139" t="s">
        <v>233</v>
      </c>
      <c r="G175" s="140">
        <v>1</v>
      </c>
      <c r="H175" s="139" t="s">
        <v>51</v>
      </c>
      <c r="I175" s="141" t="s">
        <v>234</v>
      </c>
      <c r="J175" s="142">
        <v>46090</v>
      </c>
      <c r="K175" s="143" t="s">
        <v>313</v>
      </c>
      <c r="L175" s="144" t="s">
        <v>236</v>
      </c>
      <c r="M175" s="142" t="s">
        <v>832</v>
      </c>
      <c r="N175" s="145">
        <v>392</v>
      </c>
      <c r="O175" s="145" t="s">
        <v>238</v>
      </c>
      <c r="P175" s="145" t="s">
        <v>239</v>
      </c>
      <c r="Q175" s="146">
        <f t="shared" si="103"/>
        <v>329.41176470588238</v>
      </c>
      <c r="R175" s="147">
        <f t="shared" si="104"/>
        <v>62.588235294117652</v>
      </c>
      <c r="S175" s="147">
        <f t="shared" si="105"/>
        <v>392</v>
      </c>
      <c r="T175" s="147">
        <f t="shared" si="117"/>
        <v>392</v>
      </c>
      <c r="U175" s="147">
        <f t="shared" si="106"/>
        <v>392</v>
      </c>
      <c r="V175" s="148" t="s">
        <v>234</v>
      </c>
      <c r="W175" s="149">
        <v>46090</v>
      </c>
      <c r="X175" s="150" t="s">
        <v>878</v>
      </c>
      <c r="Y175" s="151" t="s">
        <v>241</v>
      </c>
      <c r="Z175" s="152" t="s">
        <v>879</v>
      </c>
      <c r="AA175" s="153">
        <v>500</v>
      </c>
      <c r="AB175" s="153" t="s">
        <v>238</v>
      </c>
      <c r="AC175" s="153" t="s">
        <v>239</v>
      </c>
      <c r="AD175" s="154">
        <f t="shared" si="107"/>
        <v>420.1680672268908</v>
      </c>
      <c r="AE175" s="155">
        <f t="shared" si="108"/>
        <v>79.831932773109259</v>
      </c>
      <c r="AF175" s="155">
        <f t="shared" si="109"/>
        <v>500.00000000000006</v>
      </c>
      <c r="AG175" s="155">
        <f t="shared" si="118"/>
        <v>500</v>
      </c>
      <c r="AH175" s="155">
        <f t="shared" si="110"/>
        <v>500.00000000000006</v>
      </c>
      <c r="AI175" s="156" t="s">
        <v>234</v>
      </c>
      <c r="AJ175" s="157">
        <v>46090</v>
      </c>
      <c r="AK175" s="158" t="s">
        <v>880</v>
      </c>
      <c r="AL175" s="159" t="s">
        <v>241</v>
      </c>
      <c r="AM175" s="160" t="s">
        <v>881</v>
      </c>
      <c r="AN175" s="161">
        <v>590</v>
      </c>
      <c r="AO175" s="161" t="s">
        <v>238</v>
      </c>
      <c r="AP175" s="162" t="s">
        <v>239</v>
      </c>
      <c r="AQ175" s="163">
        <f t="shared" si="111"/>
        <v>495.79831932773112</v>
      </c>
      <c r="AR175" s="164">
        <f t="shared" si="112"/>
        <v>94.201680672268921</v>
      </c>
      <c r="AS175" s="164">
        <f t="shared" si="113"/>
        <v>590</v>
      </c>
      <c r="AT175" s="164">
        <f t="shared" si="119"/>
        <v>590</v>
      </c>
      <c r="AU175" s="164">
        <f t="shared" si="114"/>
        <v>590</v>
      </c>
      <c r="AV175" s="165">
        <f t="shared" si="83"/>
        <v>494</v>
      </c>
      <c r="AW175" s="165">
        <f t="shared" si="84"/>
        <v>494</v>
      </c>
      <c r="AX175" s="165">
        <f t="shared" si="85"/>
        <v>99</v>
      </c>
      <c r="AY175" s="166">
        <f t="shared" si="115"/>
        <v>0.20040485829959515</v>
      </c>
      <c r="AZ175" s="5"/>
      <c r="BA175" s="7">
        <f t="shared" si="116"/>
        <v>3</v>
      </c>
      <c r="BB175" s="7"/>
    </row>
    <row r="176" spans="1:54" ht="67.5" x14ac:dyDescent="0.25">
      <c r="A176" s="137" t="s">
        <v>229</v>
      </c>
      <c r="B176" s="137" t="s">
        <v>306</v>
      </c>
      <c r="C176" s="137">
        <v>60121124</v>
      </c>
      <c r="D176" s="137" t="s">
        <v>882</v>
      </c>
      <c r="E176" s="138" t="s">
        <v>883</v>
      </c>
      <c r="F176" s="139" t="s">
        <v>233</v>
      </c>
      <c r="G176" s="140">
        <v>1</v>
      </c>
      <c r="H176" s="139" t="s">
        <v>51</v>
      </c>
      <c r="I176" s="141" t="s">
        <v>234</v>
      </c>
      <c r="J176" s="142">
        <v>46090</v>
      </c>
      <c r="K176" s="143" t="s">
        <v>655</v>
      </c>
      <c r="L176" s="144" t="s">
        <v>241</v>
      </c>
      <c r="M176" s="142" t="s">
        <v>656</v>
      </c>
      <c r="N176" s="145">
        <v>6620</v>
      </c>
      <c r="O176" s="145" t="s">
        <v>245</v>
      </c>
      <c r="P176" s="145" t="s">
        <v>239</v>
      </c>
      <c r="Q176" s="146">
        <f t="shared" si="103"/>
        <v>6620</v>
      </c>
      <c r="R176" s="147">
        <f t="shared" si="104"/>
        <v>1257.8</v>
      </c>
      <c r="S176" s="147">
        <f t="shared" si="105"/>
        <v>7877.8</v>
      </c>
      <c r="T176" s="147">
        <f t="shared" si="117"/>
        <v>6620</v>
      </c>
      <c r="U176" s="147">
        <f t="shared" si="106"/>
        <v>7877.8</v>
      </c>
      <c r="V176" s="148" t="s">
        <v>234</v>
      </c>
      <c r="W176" s="149">
        <v>46090</v>
      </c>
      <c r="X176" s="150" t="s">
        <v>794</v>
      </c>
      <c r="Y176" s="151" t="s">
        <v>241</v>
      </c>
      <c r="Z176" s="152" t="s">
        <v>795</v>
      </c>
      <c r="AA176" s="153">
        <v>6500</v>
      </c>
      <c r="AB176" s="153" t="s">
        <v>238</v>
      </c>
      <c r="AC176" s="153" t="s">
        <v>239</v>
      </c>
      <c r="AD176" s="154">
        <f t="shared" si="107"/>
        <v>5462.1848739495799</v>
      </c>
      <c r="AE176" s="155">
        <f t="shared" si="108"/>
        <v>1037.8151260504203</v>
      </c>
      <c r="AF176" s="155">
        <f t="shared" si="109"/>
        <v>6500</v>
      </c>
      <c r="AG176" s="155">
        <f t="shared" si="118"/>
        <v>6500</v>
      </c>
      <c r="AH176" s="155">
        <f t="shared" si="110"/>
        <v>6500</v>
      </c>
      <c r="AI176" s="156" t="s">
        <v>234</v>
      </c>
      <c r="AJ176" s="157">
        <v>46090</v>
      </c>
      <c r="AK176" s="158" t="s">
        <v>884</v>
      </c>
      <c r="AL176" s="159" t="s">
        <v>241</v>
      </c>
      <c r="AM176" s="160" t="s">
        <v>885</v>
      </c>
      <c r="AN176" s="161">
        <v>8385</v>
      </c>
      <c r="AO176" s="161" t="s">
        <v>238</v>
      </c>
      <c r="AP176" s="162" t="s">
        <v>239</v>
      </c>
      <c r="AQ176" s="163">
        <f t="shared" si="111"/>
        <v>7046.2184873949582</v>
      </c>
      <c r="AR176" s="164">
        <f t="shared" si="112"/>
        <v>1338.7815126050421</v>
      </c>
      <c r="AS176" s="164">
        <f t="shared" si="113"/>
        <v>8385</v>
      </c>
      <c r="AT176" s="164">
        <f t="shared" si="119"/>
        <v>8385</v>
      </c>
      <c r="AU176" s="164">
        <f t="shared" si="114"/>
        <v>8385</v>
      </c>
      <c r="AV176" s="165">
        <f t="shared" si="83"/>
        <v>7588</v>
      </c>
      <c r="AW176" s="165">
        <f t="shared" si="84"/>
        <v>7588</v>
      </c>
      <c r="AX176" s="165">
        <f t="shared" si="85"/>
        <v>975</v>
      </c>
      <c r="AY176" s="166">
        <f t="shared" si="115"/>
        <v>0.12849235635213496</v>
      </c>
      <c r="AZ176" s="5"/>
      <c r="BA176" s="7">
        <f t="shared" si="116"/>
        <v>3</v>
      </c>
      <c r="BB176" s="7"/>
    </row>
    <row r="177" spans="1:54" ht="67.5" x14ac:dyDescent="0.25">
      <c r="A177" s="137" t="s">
        <v>229</v>
      </c>
      <c r="B177" s="137" t="s">
        <v>306</v>
      </c>
      <c r="C177" s="137">
        <v>60121124</v>
      </c>
      <c r="D177" s="137" t="s">
        <v>886</v>
      </c>
      <c r="E177" s="138" t="s">
        <v>887</v>
      </c>
      <c r="F177" s="139" t="s">
        <v>233</v>
      </c>
      <c r="G177" s="140">
        <v>1</v>
      </c>
      <c r="H177" s="139" t="s">
        <v>51</v>
      </c>
      <c r="I177" s="141" t="s">
        <v>234</v>
      </c>
      <c r="J177" s="142">
        <v>46090</v>
      </c>
      <c r="K177" s="143" t="s">
        <v>313</v>
      </c>
      <c r="L177" s="144" t="s">
        <v>241</v>
      </c>
      <c r="M177" s="142" t="s">
        <v>832</v>
      </c>
      <c r="N177" s="145">
        <v>600</v>
      </c>
      <c r="O177" s="145" t="s">
        <v>238</v>
      </c>
      <c r="P177" s="145" t="s">
        <v>239</v>
      </c>
      <c r="Q177" s="146">
        <f t="shared" si="103"/>
        <v>504.20168067226894</v>
      </c>
      <c r="R177" s="147">
        <f t="shared" si="104"/>
        <v>95.798319327731093</v>
      </c>
      <c r="S177" s="147">
        <f t="shared" si="105"/>
        <v>600</v>
      </c>
      <c r="T177" s="147">
        <f t="shared" si="117"/>
        <v>600</v>
      </c>
      <c r="U177" s="147">
        <f t="shared" si="106"/>
        <v>600</v>
      </c>
      <c r="V177" s="148" t="s">
        <v>234</v>
      </c>
      <c r="W177" s="149">
        <v>46090</v>
      </c>
      <c r="X177" s="150" t="s">
        <v>878</v>
      </c>
      <c r="Y177" s="151" t="s">
        <v>241</v>
      </c>
      <c r="Z177" s="152" t="s">
        <v>879</v>
      </c>
      <c r="AA177" s="153">
        <v>500</v>
      </c>
      <c r="AB177" s="153" t="s">
        <v>238</v>
      </c>
      <c r="AC177" s="153" t="s">
        <v>239</v>
      </c>
      <c r="AD177" s="154">
        <f t="shared" si="107"/>
        <v>420.1680672268908</v>
      </c>
      <c r="AE177" s="155">
        <f t="shared" si="108"/>
        <v>79.831932773109259</v>
      </c>
      <c r="AF177" s="155">
        <f t="shared" si="109"/>
        <v>500.00000000000006</v>
      </c>
      <c r="AG177" s="155">
        <f t="shared" si="118"/>
        <v>500</v>
      </c>
      <c r="AH177" s="155">
        <f t="shared" si="110"/>
        <v>500.00000000000006</v>
      </c>
      <c r="AI177" s="156" t="s">
        <v>234</v>
      </c>
      <c r="AJ177" s="157">
        <v>46090</v>
      </c>
      <c r="AK177" s="158" t="s">
        <v>880</v>
      </c>
      <c r="AL177" s="159" t="s">
        <v>241</v>
      </c>
      <c r="AM177" s="160" t="s">
        <v>881</v>
      </c>
      <c r="AN177" s="161">
        <v>590</v>
      </c>
      <c r="AO177" s="161" t="s">
        <v>238</v>
      </c>
      <c r="AP177" s="162" t="s">
        <v>239</v>
      </c>
      <c r="AQ177" s="163">
        <f t="shared" si="111"/>
        <v>495.79831932773112</v>
      </c>
      <c r="AR177" s="164">
        <f t="shared" si="112"/>
        <v>94.201680672268921</v>
      </c>
      <c r="AS177" s="164">
        <f t="shared" si="113"/>
        <v>590</v>
      </c>
      <c r="AT177" s="164">
        <f t="shared" si="119"/>
        <v>590</v>
      </c>
      <c r="AU177" s="164">
        <f t="shared" si="114"/>
        <v>590</v>
      </c>
      <c r="AV177" s="165">
        <f t="shared" si="83"/>
        <v>563</v>
      </c>
      <c r="AW177" s="165">
        <f t="shared" si="84"/>
        <v>563</v>
      </c>
      <c r="AX177" s="165">
        <f t="shared" si="85"/>
        <v>55</v>
      </c>
      <c r="AY177" s="166">
        <f t="shared" si="115"/>
        <v>9.7690941385435173E-2</v>
      </c>
      <c r="AZ177" s="5"/>
      <c r="BA177" s="7">
        <f t="shared" si="116"/>
        <v>3</v>
      </c>
      <c r="BB177" s="7"/>
    </row>
    <row r="178" spans="1:54" ht="67.5" x14ac:dyDescent="0.25">
      <c r="A178" s="137" t="s">
        <v>229</v>
      </c>
      <c r="B178" s="137" t="s">
        <v>306</v>
      </c>
      <c r="C178" s="137">
        <v>14121901</v>
      </c>
      <c r="D178" s="137" t="s">
        <v>888</v>
      </c>
      <c r="E178" s="138" t="s">
        <v>889</v>
      </c>
      <c r="F178" s="139" t="s">
        <v>233</v>
      </c>
      <c r="G178" s="140">
        <v>1</v>
      </c>
      <c r="H178" s="139" t="s">
        <v>51</v>
      </c>
      <c r="I178" s="141" t="s">
        <v>234</v>
      </c>
      <c r="J178" s="142">
        <v>46090</v>
      </c>
      <c r="K178" s="143" t="s">
        <v>890</v>
      </c>
      <c r="L178" s="144" t="s">
        <v>241</v>
      </c>
      <c r="M178" s="142" t="s">
        <v>891</v>
      </c>
      <c r="N178" s="145">
        <v>500</v>
      </c>
      <c r="O178" s="145" t="s">
        <v>238</v>
      </c>
      <c r="P178" s="145" t="s">
        <v>239</v>
      </c>
      <c r="Q178" s="146">
        <f t="shared" si="103"/>
        <v>420.1680672268908</v>
      </c>
      <c r="R178" s="147">
        <f t="shared" si="104"/>
        <v>79.831932773109259</v>
      </c>
      <c r="S178" s="147">
        <f t="shared" si="105"/>
        <v>500.00000000000006</v>
      </c>
      <c r="T178" s="147">
        <f t="shared" si="117"/>
        <v>500</v>
      </c>
      <c r="U178" s="147">
        <f t="shared" si="106"/>
        <v>500.00000000000006</v>
      </c>
      <c r="V178" s="148" t="s">
        <v>234</v>
      </c>
      <c r="W178" s="149">
        <v>46090</v>
      </c>
      <c r="X178" s="150" t="s">
        <v>892</v>
      </c>
      <c r="Y178" s="151" t="s">
        <v>241</v>
      </c>
      <c r="Z178" s="152" t="s">
        <v>893</v>
      </c>
      <c r="AA178" s="153">
        <v>410</v>
      </c>
      <c r="AB178" s="153" t="s">
        <v>238</v>
      </c>
      <c r="AC178" s="153" t="s">
        <v>239</v>
      </c>
      <c r="AD178" s="154">
        <f t="shared" si="107"/>
        <v>344.53781512605042</v>
      </c>
      <c r="AE178" s="155">
        <f t="shared" si="108"/>
        <v>65.462184873949582</v>
      </c>
      <c r="AF178" s="155">
        <f t="shared" si="109"/>
        <v>410</v>
      </c>
      <c r="AG178" s="155">
        <f t="shared" si="118"/>
        <v>410</v>
      </c>
      <c r="AH178" s="155">
        <f t="shared" si="110"/>
        <v>410</v>
      </c>
      <c r="AI178" s="156" t="s">
        <v>234</v>
      </c>
      <c r="AJ178" s="157">
        <v>46090</v>
      </c>
      <c r="AK178" s="158" t="s">
        <v>313</v>
      </c>
      <c r="AL178" s="159" t="s">
        <v>241</v>
      </c>
      <c r="AM178" s="160" t="s">
        <v>832</v>
      </c>
      <c r="AN178" s="161">
        <v>500</v>
      </c>
      <c r="AO178" s="161" t="s">
        <v>238</v>
      </c>
      <c r="AP178" s="162" t="s">
        <v>239</v>
      </c>
      <c r="AQ178" s="163">
        <f t="shared" si="111"/>
        <v>420.1680672268908</v>
      </c>
      <c r="AR178" s="164">
        <f t="shared" si="112"/>
        <v>79.831932773109259</v>
      </c>
      <c r="AS178" s="164">
        <f t="shared" si="113"/>
        <v>500.00000000000006</v>
      </c>
      <c r="AT178" s="164">
        <f t="shared" si="119"/>
        <v>500</v>
      </c>
      <c r="AU178" s="164">
        <f t="shared" si="114"/>
        <v>500.00000000000006</v>
      </c>
      <c r="AV178" s="165">
        <f t="shared" si="83"/>
        <v>470</v>
      </c>
      <c r="AW178" s="165">
        <f t="shared" si="84"/>
        <v>470</v>
      </c>
      <c r="AX178" s="165">
        <f t="shared" si="85"/>
        <v>52</v>
      </c>
      <c r="AY178" s="166">
        <f t="shared" si="115"/>
        <v>0.11063829787234042</v>
      </c>
      <c r="AZ178" s="5"/>
      <c r="BA178" s="7">
        <f t="shared" si="116"/>
        <v>3</v>
      </c>
      <c r="BB178" s="7"/>
    </row>
    <row r="179" spans="1:54" ht="67.5" x14ac:dyDescent="0.25">
      <c r="A179" s="137" t="s">
        <v>229</v>
      </c>
      <c r="B179" s="137" t="s">
        <v>306</v>
      </c>
      <c r="C179" s="137">
        <v>31201610</v>
      </c>
      <c r="D179" s="137" t="s">
        <v>894</v>
      </c>
      <c r="E179" s="138" t="s">
        <v>895</v>
      </c>
      <c r="F179" s="139" t="s">
        <v>233</v>
      </c>
      <c r="G179" s="140">
        <v>1</v>
      </c>
      <c r="H179" s="139" t="s">
        <v>51</v>
      </c>
      <c r="I179" s="141" t="s">
        <v>234</v>
      </c>
      <c r="J179" s="142">
        <v>46090</v>
      </c>
      <c r="K179" s="143" t="s">
        <v>655</v>
      </c>
      <c r="L179" s="144" t="s">
        <v>241</v>
      </c>
      <c r="M179" s="142" t="s">
        <v>656</v>
      </c>
      <c r="N179" s="145">
        <v>2700</v>
      </c>
      <c r="O179" s="145" t="s">
        <v>245</v>
      </c>
      <c r="P179" s="145" t="s">
        <v>239</v>
      </c>
      <c r="Q179" s="146">
        <f t="shared" si="103"/>
        <v>2700</v>
      </c>
      <c r="R179" s="147">
        <f t="shared" si="104"/>
        <v>513</v>
      </c>
      <c r="S179" s="147">
        <f t="shared" si="105"/>
        <v>3213</v>
      </c>
      <c r="T179" s="147">
        <f t="shared" si="117"/>
        <v>2700</v>
      </c>
      <c r="U179" s="147">
        <f t="shared" si="106"/>
        <v>3213</v>
      </c>
      <c r="V179" s="148" t="s">
        <v>234</v>
      </c>
      <c r="W179" s="149">
        <v>46090</v>
      </c>
      <c r="X179" s="150" t="s">
        <v>896</v>
      </c>
      <c r="Y179" s="151" t="s">
        <v>241</v>
      </c>
      <c r="Z179" s="152" t="s">
        <v>893</v>
      </c>
      <c r="AA179" s="153">
        <v>3500</v>
      </c>
      <c r="AB179" s="153" t="s">
        <v>238</v>
      </c>
      <c r="AC179" s="153" t="s">
        <v>239</v>
      </c>
      <c r="AD179" s="154">
        <f t="shared" si="107"/>
        <v>2941.1764705882356</v>
      </c>
      <c r="AE179" s="155">
        <f t="shared" si="108"/>
        <v>558.82352941176475</v>
      </c>
      <c r="AF179" s="155">
        <f t="shared" si="109"/>
        <v>3500.0000000000005</v>
      </c>
      <c r="AG179" s="155">
        <f t="shared" si="118"/>
        <v>3500</v>
      </c>
      <c r="AH179" s="155">
        <f t="shared" si="110"/>
        <v>3500.0000000000005</v>
      </c>
      <c r="AI179" s="156" t="s">
        <v>234</v>
      </c>
      <c r="AJ179" s="157">
        <v>46090</v>
      </c>
      <c r="AK179" s="158" t="s">
        <v>897</v>
      </c>
      <c r="AL179" s="159" t="s">
        <v>241</v>
      </c>
      <c r="AM179" s="160" t="s">
        <v>898</v>
      </c>
      <c r="AN179" s="161">
        <v>2618</v>
      </c>
      <c r="AO179" s="161" t="s">
        <v>238</v>
      </c>
      <c r="AP179" s="162" t="s">
        <v>239</v>
      </c>
      <c r="AQ179" s="163">
        <f t="shared" si="111"/>
        <v>2200</v>
      </c>
      <c r="AR179" s="164">
        <f t="shared" si="112"/>
        <v>418</v>
      </c>
      <c r="AS179" s="164">
        <f t="shared" si="113"/>
        <v>2618</v>
      </c>
      <c r="AT179" s="164">
        <f t="shared" si="119"/>
        <v>2618</v>
      </c>
      <c r="AU179" s="164">
        <f t="shared" si="114"/>
        <v>2618</v>
      </c>
      <c r="AV179" s="165">
        <f t="shared" si="83"/>
        <v>3110</v>
      </c>
      <c r="AW179" s="165">
        <f t="shared" si="84"/>
        <v>3110</v>
      </c>
      <c r="AX179" s="165">
        <f t="shared" si="85"/>
        <v>450</v>
      </c>
      <c r="AY179" s="166">
        <f t="shared" si="115"/>
        <v>0.14469453376205788</v>
      </c>
      <c r="AZ179" s="5"/>
      <c r="BA179" s="7">
        <f t="shared" si="116"/>
        <v>3</v>
      </c>
      <c r="BB179" s="7"/>
    </row>
    <row r="180" spans="1:54" ht="81" x14ac:dyDescent="0.25">
      <c r="A180" s="137" t="s">
        <v>229</v>
      </c>
      <c r="B180" s="137" t="s">
        <v>306</v>
      </c>
      <c r="C180" s="137">
        <v>31201610</v>
      </c>
      <c r="D180" s="137" t="s">
        <v>899</v>
      </c>
      <c r="E180" s="138" t="s">
        <v>900</v>
      </c>
      <c r="F180" s="139" t="s">
        <v>233</v>
      </c>
      <c r="G180" s="140">
        <v>1</v>
      </c>
      <c r="H180" s="139" t="s">
        <v>51</v>
      </c>
      <c r="I180" s="141" t="s">
        <v>234</v>
      </c>
      <c r="J180" s="142">
        <v>46090</v>
      </c>
      <c r="K180" s="143" t="s">
        <v>655</v>
      </c>
      <c r="L180" s="144" t="s">
        <v>241</v>
      </c>
      <c r="M180" s="142" t="s">
        <v>656</v>
      </c>
      <c r="N180" s="145">
        <v>13000</v>
      </c>
      <c r="O180" s="145" t="s">
        <v>245</v>
      </c>
      <c r="P180" s="145" t="s">
        <v>239</v>
      </c>
      <c r="Q180" s="146">
        <f t="shared" si="103"/>
        <v>13000</v>
      </c>
      <c r="R180" s="147">
        <f t="shared" si="104"/>
        <v>2470</v>
      </c>
      <c r="S180" s="147">
        <f t="shared" si="105"/>
        <v>15470</v>
      </c>
      <c r="T180" s="147">
        <f t="shared" si="117"/>
        <v>13000</v>
      </c>
      <c r="U180" s="147">
        <f t="shared" si="106"/>
        <v>15470</v>
      </c>
      <c r="V180" s="148" t="s">
        <v>234</v>
      </c>
      <c r="W180" s="149">
        <v>46090</v>
      </c>
      <c r="X180" s="150" t="s">
        <v>313</v>
      </c>
      <c r="Y180" s="151" t="s">
        <v>241</v>
      </c>
      <c r="Z180" s="152" t="s">
        <v>832</v>
      </c>
      <c r="AA180" s="153">
        <v>16200</v>
      </c>
      <c r="AB180" s="153" t="s">
        <v>238</v>
      </c>
      <c r="AC180" s="153" t="s">
        <v>239</v>
      </c>
      <c r="AD180" s="154">
        <f t="shared" si="107"/>
        <v>13613.44537815126</v>
      </c>
      <c r="AE180" s="155">
        <f t="shared" si="108"/>
        <v>2586.5546218487393</v>
      </c>
      <c r="AF180" s="155">
        <f t="shared" si="109"/>
        <v>16200</v>
      </c>
      <c r="AG180" s="155">
        <f t="shared" si="118"/>
        <v>16200</v>
      </c>
      <c r="AH180" s="155">
        <f t="shared" si="110"/>
        <v>16200</v>
      </c>
      <c r="AI180" s="156" t="s">
        <v>234</v>
      </c>
      <c r="AJ180" s="157">
        <v>46090</v>
      </c>
      <c r="AK180" s="158" t="s">
        <v>901</v>
      </c>
      <c r="AL180" s="159" t="s">
        <v>241</v>
      </c>
      <c r="AM180" s="160" t="s">
        <v>902</v>
      </c>
      <c r="AN180" s="161">
        <v>16800</v>
      </c>
      <c r="AO180" s="161" t="s">
        <v>238</v>
      </c>
      <c r="AP180" s="162" t="s">
        <v>239</v>
      </c>
      <c r="AQ180" s="163">
        <f t="shared" si="111"/>
        <v>14117.64705882353</v>
      </c>
      <c r="AR180" s="164">
        <f t="shared" si="112"/>
        <v>2682.3529411764707</v>
      </c>
      <c r="AS180" s="164">
        <f t="shared" si="113"/>
        <v>16800</v>
      </c>
      <c r="AT180" s="164">
        <f t="shared" si="119"/>
        <v>16800</v>
      </c>
      <c r="AU180" s="164">
        <f t="shared" si="114"/>
        <v>16800</v>
      </c>
      <c r="AV180" s="165">
        <f t="shared" si="83"/>
        <v>16157</v>
      </c>
      <c r="AW180" s="165">
        <f t="shared" si="84"/>
        <v>16157</v>
      </c>
      <c r="AX180" s="165">
        <f t="shared" si="85"/>
        <v>666</v>
      </c>
      <c r="AY180" s="166">
        <f t="shared" si="115"/>
        <v>4.1220523612056692E-2</v>
      </c>
      <c r="AZ180" s="5"/>
      <c r="BA180" s="7">
        <f t="shared" si="116"/>
        <v>3</v>
      </c>
      <c r="BB180" s="7"/>
    </row>
    <row r="181" spans="1:54" ht="67.5" x14ac:dyDescent="0.25">
      <c r="A181" s="137" t="s">
        <v>229</v>
      </c>
      <c r="B181" s="137" t="s">
        <v>306</v>
      </c>
      <c r="C181" s="137">
        <v>31201610</v>
      </c>
      <c r="D181" s="137" t="s">
        <v>903</v>
      </c>
      <c r="E181" s="138" t="s">
        <v>904</v>
      </c>
      <c r="F181" s="139" t="s">
        <v>233</v>
      </c>
      <c r="G181" s="140">
        <v>1</v>
      </c>
      <c r="H181" s="139" t="s">
        <v>51</v>
      </c>
      <c r="I181" s="141" t="s">
        <v>234</v>
      </c>
      <c r="J181" s="142">
        <v>46090</v>
      </c>
      <c r="K181" s="143" t="s">
        <v>905</v>
      </c>
      <c r="L181" s="144" t="s">
        <v>241</v>
      </c>
      <c r="M181" s="142" t="s">
        <v>906</v>
      </c>
      <c r="N181" s="145">
        <v>6600</v>
      </c>
      <c r="O181" s="145" t="s">
        <v>245</v>
      </c>
      <c r="P181" s="145" t="s">
        <v>239</v>
      </c>
      <c r="Q181" s="146">
        <f t="shared" si="103"/>
        <v>6600</v>
      </c>
      <c r="R181" s="147">
        <f t="shared" si="104"/>
        <v>1254</v>
      </c>
      <c r="S181" s="147">
        <f t="shared" si="105"/>
        <v>7854</v>
      </c>
      <c r="T181" s="147">
        <f t="shared" si="117"/>
        <v>6600</v>
      </c>
      <c r="U181" s="147">
        <f t="shared" si="106"/>
        <v>7854</v>
      </c>
      <c r="V181" s="148" t="s">
        <v>234</v>
      </c>
      <c r="W181" s="149">
        <v>46090</v>
      </c>
      <c r="X181" s="150" t="s">
        <v>794</v>
      </c>
      <c r="Y181" s="151" t="s">
        <v>241</v>
      </c>
      <c r="Z181" s="152" t="s">
        <v>795</v>
      </c>
      <c r="AA181" s="153">
        <v>7900</v>
      </c>
      <c r="AB181" s="153" t="s">
        <v>238</v>
      </c>
      <c r="AC181" s="153" t="s">
        <v>239</v>
      </c>
      <c r="AD181" s="154">
        <f t="shared" si="107"/>
        <v>6638.6554621848745</v>
      </c>
      <c r="AE181" s="155">
        <f t="shared" si="108"/>
        <v>1261.3445378151262</v>
      </c>
      <c r="AF181" s="155">
        <f t="shared" si="109"/>
        <v>7900.0000000000009</v>
      </c>
      <c r="AG181" s="155">
        <f t="shared" si="118"/>
        <v>7900</v>
      </c>
      <c r="AH181" s="155">
        <f t="shared" si="110"/>
        <v>7900.0000000000009</v>
      </c>
      <c r="AI181" s="156" t="s">
        <v>234</v>
      </c>
      <c r="AJ181" s="157">
        <v>46090</v>
      </c>
      <c r="AK181" s="158" t="s">
        <v>907</v>
      </c>
      <c r="AL181" s="159" t="s">
        <v>241</v>
      </c>
      <c r="AM181" s="160" t="s">
        <v>908</v>
      </c>
      <c r="AN181" s="161">
        <v>6500</v>
      </c>
      <c r="AO181" s="161" t="s">
        <v>238</v>
      </c>
      <c r="AP181" s="162" t="s">
        <v>239</v>
      </c>
      <c r="AQ181" s="163">
        <f t="shared" si="111"/>
        <v>5462.1848739495799</v>
      </c>
      <c r="AR181" s="164">
        <f t="shared" si="112"/>
        <v>1037.8151260504203</v>
      </c>
      <c r="AS181" s="164">
        <f t="shared" si="113"/>
        <v>6500</v>
      </c>
      <c r="AT181" s="164">
        <f t="shared" si="119"/>
        <v>6500</v>
      </c>
      <c r="AU181" s="164">
        <f t="shared" si="114"/>
        <v>6500</v>
      </c>
      <c r="AV181" s="165">
        <f t="shared" si="83"/>
        <v>7418</v>
      </c>
      <c r="AW181" s="165">
        <f t="shared" si="84"/>
        <v>7418</v>
      </c>
      <c r="AX181" s="165">
        <f t="shared" si="85"/>
        <v>795</v>
      </c>
      <c r="AY181" s="166">
        <f t="shared" si="115"/>
        <v>0.10717174440550013</v>
      </c>
      <c r="AZ181" s="5"/>
      <c r="BA181" s="7">
        <f t="shared" si="116"/>
        <v>3</v>
      </c>
      <c r="BB181" s="7"/>
    </row>
    <row r="182" spans="1:54" ht="75" x14ac:dyDescent="0.25">
      <c r="A182" s="137" t="s">
        <v>229</v>
      </c>
      <c r="B182" s="137" t="s">
        <v>230</v>
      </c>
      <c r="C182" s="137">
        <v>55121714</v>
      </c>
      <c r="D182" s="137" t="s">
        <v>909</v>
      </c>
      <c r="E182" s="138" t="s">
        <v>910</v>
      </c>
      <c r="F182" s="139" t="s">
        <v>233</v>
      </c>
      <c r="G182" s="140">
        <v>1</v>
      </c>
      <c r="H182" s="139" t="s">
        <v>51</v>
      </c>
      <c r="I182" s="141" t="s">
        <v>281</v>
      </c>
      <c r="J182" s="142">
        <v>46070</v>
      </c>
      <c r="K182" s="143" t="s">
        <v>248</v>
      </c>
      <c r="L182" s="144" t="s">
        <v>241</v>
      </c>
      <c r="M182" s="142" t="s">
        <v>244</v>
      </c>
      <c r="N182" s="145">
        <v>240000</v>
      </c>
      <c r="O182" s="145" t="s">
        <v>245</v>
      </c>
      <c r="P182" s="145" t="s">
        <v>239</v>
      </c>
      <c r="Q182" s="146">
        <f t="shared" si="103"/>
        <v>240000</v>
      </c>
      <c r="R182" s="147">
        <f t="shared" si="104"/>
        <v>45600</v>
      </c>
      <c r="S182" s="147">
        <f t="shared" si="105"/>
        <v>285600</v>
      </c>
      <c r="T182" s="147">
        <f t="shared" si="117"/>
        <v>240000</v>
      </c>
      <c r="U182" s="147">
        <f t="shared" si="106"/>
        <v>285600</v>
      </c>
      <c r="V182" s="148" t="s">
        <v>281</v>
      </c>
      <c r="W182" s="149">
        <v>46070</v>
      </c>
      <c r="X182" s="150" t="s">
        <v>282</v>
      </c>
      <c r="Y182" s="151" t="s">
        <v>241</v>
      </c>
      <c r="Z182" s="152" t="s">
        <v>259</v>
      </c>
      <c r="AA182" s="153">
        <v>220000</v>
      </c>
      <c r="AB182" s="153" t="s">
        <v>245</v>
      </c>
      <c r="AC182" s="153" t="s">
        <v>239</v>
      </c>
      <c r="AD182" s="154">
        <f t="shared" si="107"/>
        <v>220000</v>
      </c>
      <c r="AE182" s="155">
        <f t="shared" si="108"/>
        <v>41800</v>
      </c>
      <c r="AF182" s="155">
        <f t="shared" si="109"/>
        <v>261800</v>
      </c>
      <c r="AG182" s="155">
        <f t="shared" si="118"/>
        <v>220000</v>
      </c>
      <c r="AH182" s="155">
        <f t="shared" si="110"/>
        <v>261800</v>
      </c>
      <c r="AI182" s="156" t="s">
        <v>281</v>
      </c>
      <c r="AJ182" s="157">
        <v>46071</v>
      </c>
      <c r="AK182" s="158" t="s">
        <v>240</v>
      </c>
      <c r="AL182" s="159" t="s">
        <v>236</v>
      </c>
      <c r="AM182" s="160" t="s">
        <v>252</v>
      </c>
      <c r="AN182" s="161">
        <v>290000</v>
      </c>
      <c r="AO182" s="161" t="s">
        <v>238</v>
      </c>
      <c r="AP182" s="162" t="s">
        <v>239</v>
      </c>
      <c r="AQ182" s="163">
        <f t="shared" si="111"/>
        <v>243697.47899159664</v>
      </c>
      <c r="AR182" s="164">
        <f t="shared" si="112"/>
        <v>46302.521008403361</v>
      </c>
      <c r="AS182" s="164">
        <f t="shared" si="113"/>
        <v>290000</v>
      </c>
      <c r="AT182" s="164">
        <f t="shared" si="119"/>
        <v>290000</v>
      </c>
      <c r="AU182" s="164">
        <f t="shared" si="114"/>
        <v>290000</v>
      </c>
      <c r="AV182" s="165">
        <f t="shared" si="83"/>
        <v>279133</v>
      </c>
      <c r="AW182" s="165">
        <f t="shared" si="84"/>
        <v>279133</v>
      </c>
      <c r="AX182" s="165">
        <f t="shared" si="85"/>
        <v>15171</v>
      </c>
      <c r="AY182" s="166">
        <f t="shared" si="115"/>
        <v>5.4350435097247546E-2</v>
      </c>
      <c r="AZ182" s="5" t="s">
        <v>911</v>
      </c>
      <c r="BA182" s="7">
        <f t="shared" si="116"/>
        <v>3</v>
      </c>
      <c r="BB182" s="7"/>
    </row>
    <row r="183" spans="1:54" ht="54" x14ac:dyDescent="0.25">
      <c r="A183" s="137" t="s">
        <v>229</v>
      </c>
      <c r="B183" s="137" t="s">
        <v>230</v>
      </c>
      <c r="C183" s="137">
        <v>55121714</v>
      </c>
      <c r="D183" s="137" t="s">
        <v>912</v>
      </c>
      <c r="E183" s="138" t="s">
        <v>913</v>
      </c>
      <c r="F183" s="139" t="s">
        <v>233</v>
      </c>
      <c r="G183" s="140">
        <v>1</v>
      </c>
      <c r="H183" s="139" t="s">
        <v>51</v>
      </c>
      <c r="I183" s="141" t="s">
        <v>281</v>
      </c>
      <c r="J183" s="142">
        <v>46070</v>
      </c>
      <c r="K183" s="143" t="s">
        <v>248</v>
      </c>
      <c r="L183" s="144" t="s">
        <v>241</v>
      </c>
      <c r="M183" s="142" t="s">
        <v>244</v>
      </c>
      <c r="N183" s="145">
        <v>80000</v>
      </c>
      <c r="O183" s="145" t="s">
        <v>245</v>
      </c>
      <c r="P183" s="145" t="s">
        <v>239</v>
      </c>
      <c r="Q183" s="146">
        <f t="shared" si="103"/>
        <v>80000</v>
      </c>
      <c r="R183" s="147">
        <f t="shared" si="104"/>
        <v>15200</v>
      </c>
      <c r="S183" s="147">
        <f t="shared" si="105"/>
        <v>95200</v>
      </c>
      <c r="T183" s="147">
        <f t="shared" si="117"/>
        <v>80000</v>
      </c>
      <c r="U183" s="147">
        <f t="shared" si="106"/>
        <v>95200</v>
      </c>
      <c r="V183" s="148" t="s">
        <v>281</v>
      </c>
      <c r="W183" s="149">
        <v>46070</v>
      </c>
      <c r="X183" s="150" t="s">
        <v>270</v>
      </c>
      <c r="Y183" s="151" t="s">
        <v>241</v>
      </c>
      <c r="Z183" s="152" t="s">
        <v>595</v>
      </c>
      <c r="AA183" s="153">
        <v>75000</v>
      </c>
      <c r="AB183" s="153" t="s">
        <v>245</v>
      </c>
      <c r="AC183" s="153" t="s">
        <v>239</v>
      </c>
      <c r="AD183" s="154">
        <f t="shared" si="107"/>
        <v>75000</v>
      </c>
      <c r="AE183" s="155">
        <f t="shared" si="108"/>
        <v>14250</v>
      </c>
      <c r="AF183" s="155">
        <f t="shared" si="109"/>
        <v>89250</v>
      </c>
      <c r="AG183" s="155">
        <f t="shared" si="118"/>
        <v>75000</v>
      </c>
      <c r="AH183" s="155">
        <f t="shared" si="110"/>
        <v>89250</v>
      </c>
      <c r="AI183" s="156" t="s">
        <v>281</v>
      </c>
      <c r="AJ183" s="157">
        <v>46070</v>
      </c>
      <c r="AK183" s="158" t="s">
        <v>282</v>
      </c>
      <c r="AL183" s="159" t="s">
        <v>241</v>
      </c>
      <c r="AM183" s="160" t="s">
        <v>259</v>
      </c>
      <c r="AN183" s="161">
        <v>90000</v>
      </c>
      <c r="AO183" s="161" t="s">
        <v>245</v>
      </c>
      <c r="AP183" s="162" t="s">
        <v>239</v>
      </c>
      <c r="AQ183" s="163">
        <f t="shared" si="111"/>
        <v>90000</v>
      </c>
      <c r="AR183" s="164">
        <f t="shared" si="112"/>
        <v>17100</v>
      </c>
      <c r="AS183" s="164">
        <f t="shared" si="113"/>
        <v>107100</v>
      </c>
      <c r="AT183" s="164">
        <f t="shared" si="119"/>
        <v>90000</v>
      </c>
      <c r="AU183" s="164">
        <f t="shared" si="114"/>
        <v>107100</v>
      </c>
      <c r="AV183" s="165">
        <f t="shared" si="83"/>
        <v>97183</v>
      </c>
      <c r="AW183" s="165">
        <f t="shared" si="84"/>
        <v>97183</v>
      </c>
      <c r="AX183" s="165">
        <f t="shared" si="85"/>
        <v>9089</v>
      </c>
      <c r="AY183" s="166">
        <f t="shared" si="115"/>
        <v>9.3524587633639633E-2</v>
      </c>
      <c r="AZ183" s="5"/>
      <c r="BA183" s="7">
        <f t="shared" si="116"/>
        <v>3</v>
      </c>
      <c r="BB183" s="7"/>
    </row>
    <row r="184" spans="1:54" ht="54" x14ac:dyDescent="0.25">
      <c r="A184" s="137" t="s">
        <v>229</v>
      </c>
      <c r="B184" s="137" t="s">
        <v>230</v>
      </c>
      <c r="C184" s="137">
        <v>55121714</v>
      </c>
      <c r="D184" s="137" t="s">
        <v>914</v>
      </c>
      <c r="E184" s="138" t="s">
        <v>915</v>
      </c>
      <c r="F184" s="139" t="s">
        <v>233</v>
      </c>
      <c r="G184" s="140">
        <v>1</v>
      </c>
      <c r="H184" s="139" t="s">
        <v>51</v>
      </c>
      <c r="I184" s="141" t="s">
        <v>281</v>
      </c>
      <c r="J184" s="142">
        <v>46070</v>
      </c>
      <c r="K184" s="143" t="s">
        <v>248</v>
      </c>
      <c r="L184" s="144" t="s">
        <v>241</v>
      </c>
      <c r="M184" s="142" t="s">
        <v>244</v>
      </c>
      <c r="N184" s="145">
        <v>240000</v>
      </c>
      <c r="O184" s="145" t="s">
        <v>245</v>
      </c>
      <c r="P184" s="145" t="s">
        <v>239</v>
      </c>
      <c r="Q184" s="146">
        <f t="shared" si="103"/>
        <v>240000</v>
      </c>
      <c r="R184" s="147">
        <f t="shared" si="104"/>
        <v>45600</v>
      </c>
      <c r="S184" s="147">
        <f t="shared" si="105"/>
        <v>285600</v>
      </c>
      <c r="T184" s="147">
        <f t="shared" si="117"/>
        <v>240000</v>
      </c>
      <c r="U184" s="147">
        <f t="shared" si="106"/>
        <v>285600</v>
      </c>
      <c r="V184" s="148" t="s">
        <v>281</v>
      </c>
      <c r="W184" s="149">
        <v>46070</v>
      </c>
      <c r="X184" s="150" t="s">
        <v>270</v>
      </c>
      <c r="Y184" s="151" t="s">
        <v>241</v>
      </c>
      <c r="Z184" s="152" t="s">
        <v>595</v>
      </c>
      <c r="AA184" s="153">
        <v>200000</v>
      </c>
      <c r="AB184" s="153" t="s">
        <v>245</v>
      </c>
      <c r="AC184" s="153" t="s">
        <v>239</v>
      </c>
      <c r="AD184" s="154">
        <f t="shared" si="107"/>
        <v>200000</v>
      </c>
      <c r="AE184" s="155">
        <f t="shared" si="108"/>
        <v>38000</v>
      </c>
      <c r="AF184" s="155">
        <f t="shared" si="109"/>
        <v>238000</v>
      </c>
      <c r="AG184" s="155">
        <f t="shared" si="118"/>
        <v>200000</v>
      </c>
      <c r="AH184" s="155">
        <f t="shared" si="110"/>
        <v>238000</v>
      </c>
      <c r="AI184" s="156" t="s">
        <v>281</v>
      </c>
      <c r="AJ184" s="157">
        <v>46071</v>
      </c>
      <c r="AK184" s="158" t="s">
        <v>263</v>
      </c>
      <c r="AL184" s="159" t="s">
        <v>241</v>
      </c>
      <c r="AM184" s="160" t="s">
        <v>264</v>
      </c>
      <c r="AN184" s="161">
        <v>245000</v>
      </c>
      <c r="AO184" s="161" t="s">
        <v>245</v>
      </c>
      <c r="AP184" s="162" t="s">
        <v>265</v>
      </c>
      <c r="AQ184" s="163">
        <f t="shared" si="111"/>
        <v>245000</v>
      </c>
      <c r="AR184" s="164">
        <f t="shared" si="112"/>
        <v>0</v>
      </c>
      <c r="AS184" s="164">
        <f t="shared" si="113"/>
        <v>245000</v>
      </c>
      <c r="AT184" s="164">
        <f t="shared" si="119"/>
        <v>245000</v>
      </c>
      <c r="AU184" s="164">
        <f t="shared" si="114"/>
        <v>245000</v>
      </c>
      <c r="AV184" s="165">
        <f t="shared" si="83"/>
        <v>256200</v>
      </c>
      <c r="AW184" s="165">
        <f t="shared" si="84"/>
        <v>256200</v>
      </c>
      <c r="AX184" s="165">
        <f t="shared" si="85"/>
        <v>25701</v>
      </c>
      <c r="AY184" s="166">
        <f t="shared" si="115"/>
        <v>0.10031615925058548</v>
      </c>
      <c r="AZ184" s="5"/>
      <c r="BA184" s="7">
        <f t="shared" si="116"/>
        <v>3</v>
      </c>
      <c r="BB184" s="7" t="s">
        <v>277</v>
      </c>
    </row>
    <row r="185" spans="1:54" ht="297" x14ac:dyDescent="0.25">
      <c r="A185" s="137" t="s">
        <v>299</v>
      </c>
      <c r="B185" s="137" t="s">
        <v>299</v>
      </c>
      <c r="C185" s="137" t="s">
        <v>299</v>
      </c>
      <c r="D185" s="137" t="s">
        <v>916</v>
      </c>
      <c r="E185" s="138" t="s">
        <v>917</v>
      </c>
      <c r="F185" s="139" t="s">
        <v>302</v>
      </c>
      <c r="G185" s="140">
        <v>1</v>
      </c>
      <c r="H185" s="139"/>
      <c r="I185" s="141"/>
      <c r="J185" s="142"/>
      <c r="K185" s="143"/>
      <c r="L185" s="144"/>
      <c r="M185" s="142"/>
      <c r="N185" s="145"/>
      <c r="O185" s="145"/>
      <c r="P185" s="145"/>
      <c r="Q185" s="146" t="s">
        <v>303</v>
      </c>
      <c r="R185" s="147" t="s">
        <v>303</v>
      </c>
      <c r="S185" s="147" t="s">
        <v>303</v>
      </c>
      <c r="T185" s="147" t="s">
        <v>303</v>
      </c>
      <c r="U185" s="147" t="s">
        <v>303</v>
      </c>
      <c r="V185" s="148" t="s">
        <v>299</v>
      </c>
      <c r="W185" s="149" t="s">
        <v>299</v>
      </c>
      <c r="X185" s="150" t="s">
        <v>299</v>
      </c>
      <c r="Y185" s="151" t="s">
        <v>299</v>
      </c>
      <c r="Z185" s="152" t="s">
        <v>304</v>
      </c>
      <c r="AA185" s="153" t="s">
        <v>299</v>
      </c>
      <c r="AB185" s="153" t="s">
        <v>299</v>
      </c>
      <c r="AC185" s="153" t="s">
        <v>299</v>
      </c>
      <c r="AD185" s="154" t="s">
        <v>299</v>
      </c>
      <c r="AE185" s="155" t="s">
        <v>299</v>
      </c>
      <c r="AF185" s="155">
        <f>AH185/1.19</f>
        <v>241626.05042016809</v>
      </c>
      <c r="AG185" s="155">
        <f>AF185*19%</f>
        <v>45908.94957983194</v>
      </c>
      <c r="AH185" s="155">
        <v>287535</v>
      </c>
      <c r="AI185" s="156" t="s">
        <v>299</v>
      </c>
      <c r="AJ185" s="157" t="s">
        <v>299</v>
      </c>
      <c r="AK185" s="158" t="s">
        <v>299</v>
      </c>
      <c r="AL185" s="159" t="s">
        <v>299</v>
      </c>
      <c r="AM185" s="160" t="s">
        <v>305</v>
      </c>
      <c r="AN185" s="161" t="s">
        <v>299</v>
      </c>
      <c r="AO185" s="161" t="s">
        <v>299</v>
      </c>
      <c r="AP185" s="162" t="s">
        <v>299</v>
      </c>
      <c r="AQ185" s="163">
        <v>234622</v>
      </c>
      <c r="AR185" s="164">
        <v>44578</v>
      </c>
      <c r="AS185" s="164">
        <v>279200</v>
      </c>
      <c r="AT185" s="164">
        <v>234622</v>
      </c>
      <c r="AU185" s="164">
        <v>279200</v>
      </c>
      <c r="AV185" s="165">
        <f t="shared" si="83"/>
        <v>260413</v>
      </c>
      <c r="AW185" s="165">
        <f t="shared" si="84"/>
        <v>260413</v>
      </c>
      <c r="AX185" s="165" t="str">
        <f t="shared" si="85"/>
        <v/>
      </c>
      <c r="AY185" s="166">
        <v>2.0799999999999999E-2</v>
      </c>
      <c r="AZ185" s="5"/>
      <c r="BA185" s="7"/>
      <c r="BB185" s="7"/>
    </row>
    <row r="186" spans="1:54" ht="54" x14ac:dyDescent="0.25">
      <c r="A186" s="137" t="s">
        <v>229</v>
      </c>
      <c r="B186" s="137" t="s">
        <v>230</v>
      </c>
      <c r="C186" s="137">
        <v>55121720</v>
      </c>
      <c r="D186" s="137" t="s">
        <v>918</v>
      </c>
      <c r="E186" s="138" t="s">
        <v>919</v>
      </c>
      <c r="F186" s="139" t="s">
        <v>233</v>
      </c>
      <c r="G186" s="140">
        <v>1</v>
      </c>
      <c r="H186" s="139" t="s">
        <v>51</v>
      </c>
      <c r="I186" s="141" t="s">
        <v>281</v>
      </c>
      <c r="J186" s="142">
        <v>46070</v>
      </c>
      <c r="K186" s="143" t="s">
        <v>248</v>
      </c>
      <c r="L186" s="144" t="s">
        <v>236</v>
      </c>
      <c r="M186" s="142" t="s">
        <v>244</v>
      </c>
      <c r="N186" s="145">
        <v>18000</v>
      </c>
      <c r="O186" s="145" t="s">
        <v>245</v>
      </c>
      <c r="P186" s="145" t="s">
        <v>239</v>
      </c>
      <c r="Q186" s="146">
        <f>IF(O186="IVA Incluido",(N186/1.19),N186)</f>
        <v>18000</v>
      </c>
      <c r="R186" s="147">
        <f t="shared" ref="R186:R191" si="120">IF(P186="Si tiene IVA",Q186*19%,0)</f>
        <v>3420</v>
      </c>
      <c r="S186" s="147">
        <f t="shared" ref="S186:S191" si="121">Q186+R186</f>
        <v>21420</v>
      </c>
      <c r="T186" s="147">
        <f t="shared" ref="T186:T191" si="122">IF(B186="","",(N186*G186))</f>
        <v>18000</v>
      </c>
      <c r="U186" s="147">
        <f t="shared" ref="U186:U191" si="123">IF(B186="","",(S186*G186))</f>
        <v>21420</v>
      </c>
      <c r="V186" s="148" t="s">
        <v>234</v>
      </c>
      <c r="W186" s="149">
        <v>46078</v>
      </c>
      <c r="X186" s="150" t="s">
        <v>250</v>
      </c>
      <c r="Y186" s="151" t="s">
        <v>241</v>
      </c>
      <c r="Z186" s="152" t="s">
        <v>920</v>
      </c>
      <c r="AA186" s="153">
        <v>12500</v>
      </c>
      <c r="AB186" s="153" t="s">
        <v>245</v>
      </c>
      <c r="AC186" s="153" t="s">
        <v>239</v>
      </c>
      <c r="AD186" s="154">
        <f>IF(AB186="IVA Incluido",(AA186/1.19),AA186)</f>
        <v>12500</v>
      </c>
      <c r="AE186" s="155">
        <f t="shared" ref="AE186:AE191" si="124">IF(AC186="Si tiene IVA",AD186*19%,0)</f>
        <v>2375</v>
      </c>
      <c r="AF186" s="155">
        <f t="shared" ref="AF186:AF191" si="125">AD186+AE186</f>
        <v>14875</v>
      </c>
      <c r="AG186" s="155">
        <f t="shared" ref="AG186:AG191" si="126">IF(O186="","",(AA186*G186))</f>
        <v>12500</v>
      </c>
      <c r="AH186" s="155">
        <f t="shared" ref="AH186:AH191" si="127">IF(O186="","",(AF186*G186))</f>
        <v>14875</v>
      </c>
      <c r="AI186" s="156" t="s">
        <v>234</v>
      </c>
      <c r="AJ186" s="157">
        <v>46078</v>
      </c>
      <c r="AK186" s="158" t="s">
        <v>240</v>
      </c>
      <c r="AL186" s="159" t="s">
        <v>236</v>
      </c>
      <c r="AM186" s="160" t="s">
        <v>252</v>
      </c>
      <c r="AN186" s="161">
        <v>18000</v>
      </c>
      <c r="AO186" s="161" t="s">
        <v>238</v>
      </c>
      <c r="AP186" s="162" t="s">
        <v>239</v>
      </c>
      <c r="AQ186" s="163">
        <f t="shared" ref="AQ186:AQ191" si="128">IF(AO186="IVA Incluido",(AN186/1.19),AN186)</f>
        <v>15126.050420168069</v>
      </c>
      <c r="AR186" s="164">
        <f t="shared" ref="AR186:AR191" si="129">IF(AP186="Si tiene IVA",AQ186*19%,0)</f>
        <v>2873.9495798319331</v>
      </c>
      <c r="AS186" s="164">
        <f t="shared" ref="AS186:AS191" si="130">AQ186+AR186</f>
        <v>18000</v>
      </c>
      <c r="AT186" s="164">
        <f t="shared" ref="AT186:AT191" si="131">IF(AB186="","",(AN186*G186))</f>
        <v>18000</v>
      </c>
      <c r="AU186" s="164">
        <f t="shared" ref="AU186:AU191" si="132">IF(AB186="","",(AS186*G186))</f>
        <v>18000</v>
      </c>
      <c r="AV186" s="165">
        <f t="shared" si="83"/>
        <v>18098</v>
      </c>
      <c r="AW186" s="165">
        <f t="shared" si="84"/>
        <v>18098</v>
      </c>
      <c r="AX186" s="165">
        <f t="shared" si="85"/>
        <v>3274</v>
      </c>
      <c r="AY186" s="166">
        <f t="shared" ref="AY186:AY191" si="133">IF(N186="","",(AX186/AW186))</f>
        <v>0.18090396728920322</v>
      </c>
      <c r="AZ186" s="5"/>
      <c r="BA186" s="7">
        <f t="shared" ref="BA186:BA191" si="134">COUNTA(M186,Z186,AM186)</f>
        <v>3</v>
      </c>
      <c r="BB186" s="7"/>
    </row>
    <row r="187" spans="1:54" ht="54" x14ac:dyDescent="0.25">
      <c r="A187" s="137" t="s">
        <v>229</v>
      </c>
      <c r="B187" s="137" t="s">
        <v>230</v>
      </c>
      <c r="C187" s="137">
        <v>55121720</v>
      </c>
      <c r="D187" s="137" t="s">
        <v>921</v>
      </c>
      <c r="E187" s="138" t="s">
        <v>922</v>
      </c>
      <c r="F187" s="139" t="s">
        <v>233</v>
      </c>
      <c r="G187" s="140">
        <v>1</v>
      </c>
      <c r="H187" s="139" t="s">
        <v>51</v>
      </c>
      <c r="I187" s="141" t="s">
        <v>234</v>
      </c>
      <c r="J187" s="142">
        <v>46078</v>
      </c>
      <c r="K187" s="143" t="s">
        <v>248</v>
      </c>
      <c r="L187" s="144" t="s">
        <v>236</v>
      </c>
      <c r="M187" s="142" t="s">
        <v>244</v>
      </c>
      <c r="N187" s="145">
        <v>18000</v>
      </c>
      <c r="O187" s="145" t="s">
        <v>245</v>
      </c>
      <c r="P187" s="145" t="s">
        <v>239</v>
      </c>
      <c r="Q187" s="146">
        <v>18000</v>
      </c>
      <c r="R187" s="147">
        <f t="shared" si="120"/>
        <v>3420</v>
      </c>
      <c r="S187" s="147">
        <f t="shared" si="121"/>
        <v>21420</v>
      </c>
      <c r="T187" s="147">
        <f t="shared" si="122"/>
        <v>18000</v>
      </c>
      <c r="U187" s="147">
        <f t="shared" si="123"/>
        <v>21420</v>
      </c>
      <c r="V187" s="148" t="s">
        <v>234</v>
      </c>
      <c r="W187" s="149">
        <v>46078</v>
      </c>
      <c r="X187" s="150" t="s">
        <v>250</v>
      </c>
      <c r="Y187" s="151" t="s">
        <v>241</v>
      </c>
      <c r="Z187" s="152" t="s">
        <v>250</v>
      </c>
      <c r="AA187" s="153">
        <v>12500</v>
      </c>
      <c r="AB187" s="153" t="s">
        <v>245</v>
      </c>
      <c r="AC187" s="153" t="s">
        <v>239</v>
      </c>
      <c r="AD187" s="154">
        <v>12500</v>
      </c>
      <c r="AE187" s="155">
        <f t="shared" si="124"/>
        <v>2375</v>
      </c>
      <c r="AF187" s="155">
        <f t="shared" si="125"/>
        <v>14875</v>
      </c>
      <c r="AG187" s="155">
        <f t="shared" si="126"/>
        <v>12500</v>
      </c>
      <c r="AH187" s="155">
        <f t="shared" si="127"/>
        <v>14875</v>
      </c>
      <c r="AI187" s="156" t="s">
        <v>234</v>
      </c>
      <c r="AJ187" s="157">
        <v>46078</v>
      </c>
      <c r="AK187" s="158" t="s">
        <v>240</v>
      </c>
      <c r="AL187" s="159" t="s">
        <v>236</v>
      </c>
      <c r="AM187" s="160" t="s">
        <v>252</v>
      </c>
      <c r="AN187" s="161">
        <v>18000</v>
      </c>
      <c r="AO187" s="161" t="s">
        <v>238</v>
      </c>
      <c r="AP187" s="162" t="s">
        <v>239</v>
      </c>
      <c r="AQ187" s="163">
        <f t="shared" si="128"/>
        <v>15126.050420168069</v>
      </c>
      <c r="AR187" s="164">
        <f t="shared" si="129"/>
        <v>2873.9495798319331</v>
      </c>
      <c r="AS187" s="164">
        <f t="shared" si="130"/>
        <v>18000</v>
      </c>
      <c r="AT187" s="164">
        <f t="shared" si="131"/>
        <v>18000</v>
      </c>
      <c r="AU187" s="164">
        <f t="shared" si="132"/>
        <v>18000</v>
      </c>
      <c r="AV187" s="165">
        <f t="shared" si="83"/>
        <v>18098</v>
      </c>
      <c r="AW187" s="165">
        <f t="shared" si="84"/>
        <v>18098</v>
      </c>
      <c r="AX187" s="165">
        <f t="shared" si="85"/>
        <v>3274</v>
      </c>
      <c r="AY187" s="166">
        <f t="shared" si="133"/>
        <v>0.18090396728920322</v>
      </c>
      <c r="AZ187" s="5"/>
      <c r="BA187" s="7">
        <f t="shared" si="134"/>
        <v>3</v>
      </c>
      <c r="BB187" s="7"/>
    </row>
    <row r="188" spans="1:54" ht="54" x14ac:dyDescent="0.25">
      <c r="A188" s="137" t="s">
        <v>229</v>
      </c>
      <c r="B188" s="137" t="s">
        <v>230</v>
      </c>
      <c r="C188" s="137">
        <v>55121720</v>
      </c>
      <c r="D188" s="137" t="s">
        <v>923</v>
      </c>
      <c r="E188" s="138" t="s">
        <v>924</v>
      </c>
      <c r="F188" s="139" t="s">
        <v>233</v>
      </c>
      <c r="G188" s="140">
        <v>1</v>
      </c>
      <c r="H188" s="139" t="s">
        <v>51</v>
      </c>
      <c r="I188" s="141" t="s">
        <v>234</v>
      </c>
      <c r="J188" s="142">
        <v>46078</v>
      </c>
      <c r="K188" s="143" t="s">
        <v>248</v>
      </c>
      <c r="L188" s="144" t="s">
        <v>236</v>
      </c>
      <c r="M188" s="142" t="s">
        <v>244</v>
      </c>
      <c r="N188" s="145">
        <v>18000</v>
      </c>
      <c r="O188" s="145" t="s">
        <v>245</v>
      </c>
      <c r="P188" s="145" t="s">
        <v>239</v>
      </c>
      <c r="Q188" s="146">
        <v>18000</v>
      </c>
      <c r="R188" s="147">
        <f t="shared" si="120"/>
        <v>3420</v>
      </c>
      <c r="S188" s="147">
        <f t="shared" si="121"/>
        <v>21420</v>
      </c>
      <c r="T188" s="147">
        <f t="shared" si="122"/>
        <v>18000</v>
      </c>
      <c r="U188" s="147">
        <f t="shared" si="123"/>
        <v>21420</v>
      </c>
      <c r="V188" s="148" t="s">
        <v>234</v>
      </c>
      <c r="W188" s="149">
        <v>46078</v>
      </c>
      <c r="X188" s="150" t="s">
        <v>250</v>
      </c>
      <c r="Y188" s="151" t="s">
        <v>241</v>
      </c>
      <c r="Z188" s="152" t="s">
        <v>250</v>
      </c>
      <c r="AA188" s="153">
        <v>12500</v>
      </c>
      <c r="AB188" s="153" t="s">
        <v>245</v>
      </c>
      <c r="AC188" s="153" t="s">
        <v>239</v>
      </c>
      <c r="AD188" s="154">
        <v>12500</v>
      </c>
      <c r="AE188" s="155">
        <f t="shared" si="124"/>
        <v>2375</v>
      </c>
      <c r="AF188" s="155">
        <f t="shared" si="125"/>
        <v>14875</v>
      </c>
      <c r="AG188" s="155">
        <f t="shared" si="126"/>
        <v>12500</v>
      </c>
      <c r="AH188" s="155">
        <f t="shared" si="127"/>
        <v>14875</v>
      </c>
      <c r="AI188" s="156" t="s">
        <v>234</v>
      </c>
      <c r="AJ188" s="157">
        <v>46078</v>
      </c>
      <c r="AK188" s="158" t="s">
        <v>240</v>
      </c>
      <c r="AL188" s="159" t="s">
        <v>236</v>
      </c>
      <c r="AM188" s="160" t="s">
        <v>252</v>
      </c>
      <c r="AN188" s="161">
        <v>18000</v>
      </c>
      <c r="AO188" s="161" t="s">
        <v>238</v>
      </c>
      <c r="AP188" s="162" t="s">
        <v>239</v>
      </c>
      <c r="AQ188" s="163">
        <f t="shared" si="128"/>
        <v>15126.050420168069</v>
      </c>
      <c r="AR188" s="164">
        <f t="shared" si="129"/>
        <v>2873.9495798319331</v>
      </c>
      <c r="AS188" s="164">
        <f t="shared" si="130"/>
        <v>18000</v>
      </c>
      <c r="AT188" s="164">
        <f t="shared" si="131"/>
        <v>18000</v>
      </c>
      <c r="AU188" s="164">
        <f t="shared" si="132"/>
        <v>18000</v>
      </c>
      <c r="AV188" s="165">
        <f t="shared" si="83"/>
        <v>18098</v>
      </c>
      <c r="AW188" s="165">
        <f t="shared" si="84"/>
        <v>18098</v>
      </c>
      <c r="AX188" s="165">
        <f t="shared" si="85"/>
        <v>3274</v>
      </c>
      <c r="AY188" s="166">
        <f t="shared" si="133"/>
        <v>0.18090396728920322</v>
      </c>
      <c r="AZ188" s="5"/>
      <c r="BA188" s="7">
        <f t="shared" si="134"/>
        <v>3</v>
      </c>
      <c r="BB188" s="7"/>
    </row>
    <row r="189" spans="1:54" ht="94.5" x14ac:dyDescent="0.25">
      <c r="A189" s="137" t="s">
        <v>229</v>
      </c>
      <c r="B189" s="137" t="s">
        <v>306</v>
      </c>
      <c r="C189" s="137"/>
      <c r="D189" s="137" t="s">
        <v>925</v>
      </c>
      <c r="E189" s="138" t="s">
        <v>926</v>
      </c>
      <c r="F189" s="139" t="s">
        <v>233</v>
      </c>
      <c r="G189" s="140">
        <v>1</v>
      </c>
      <c r="H189" s="139" t="s">
        <v>51</v>
      </c>
      <c r="I189" s="141" t="s">
        <v>247</v>
      </c>
      <c r="J189" s="142">
        <v>46092</v>
      </c>
      <c r="K189" s="143" t="s">
        <v>655</v>
      </c>
      <c r="L189" s="144" t="s">
        <v>236</v>
      </c>
      <c r="M189" s="142" t="s">
        <v>656</v>
      </c>
      <c r="N189" s="145">
        <v>11000</v>
      </c>
      <c r="O189" s="145" t="s">
        <v>245</v>
      </c>
      <c r="P189" s="145" t="s">
        <v>239</v>
      </c>
      <c r="Q189" s="146">
        <f>IF(O189="IVA Incluido",(N189/1.19),N189)</f>
        <v>11000</v>
      </c>
      <c r="R189" s="147">
        <f t="shared" si="120"/>
        <v>2090</v>
      </c>
      <c r="S189" s="147">
        <f t="shared" si="121"/>
        <v>13090</v>
      </c>
      <c r="T189" s="147">
        <f t="shared" si="122"/>
        <v>11000</v>
      </c>
      <c r="U189" s="147">
        <f t="shared" si="123"/>
        <v>13090</v>
      </c>
      <c r="V189" s="148" t="s">
        <v>247</v>
      </c>
      <c r="W189" s="149">
        <v>46092</v>
      </c>
      <c r="X189" s="150" t="s">
        <v>927</v>
      </c>
      <c r="Y189" s="151" t="s">
        <v>241</v>
      </c>
      <c r="Z189" s="152" t="s">
        <v>928</v>
      </c>
      <c r="AA189" s="153">
        <v>14900</v>
      </c>
      <c r="AB189" s="153" t="s">
        <v>238</v>
      </c>
      <c r="AC189" s="153" t="s">
        <v>239</v>
      </c>
      <c r="AD189" s="154">
        <f>IF(AB189="IVA Incluido",(AA189/1.19),AA189)</f>
        <v>12521.008403361346</v>
      </c>
      <c r="AE189" s="155">
        <f t="shared" si="124"/>
        <v>2378.9915966386557</v>
      </c>
      <c r="AF189" s="155">
        <f t="shared" si="125"/>
        <v>14900.000000000002</v>
      </c>
      <c r="AG189" s="155">
        <f t="shared" si="126"/>
        <v>14900</v>
      </c>
      <c r="AH189" s="155">
        <f t="shared" si="127"/>
        <v>14900.000000000002</v>
      </c>
      <c r="AI189" s="156" t="s">
        <v>247</v>
      </c>
      <c r="AJ189" s="157">
        <v>46092</v>
      </c>
      <c r="AK189" s="158" t="s">
        <v>929</v>
      </c>
      <c r="AL189" s="159" t="s">
        <v>241</v>
      </c>
      <c r="AM189" s="160" t="s">
        <v>930</v>
      </c>
      <c r="AN189" s="161">
        <v>19900</v>
      </c>
      <c r="AO189" s="161" t="s">
        <v>238</v>
      </c>
      <c r="AP189" s="162" t="s">
        <v>239</v>
      </c>
      <c r="AQ189" s="163">
        <f t="shared" si="128"/>
        <v>16722.689075630253</v>
      </c>
      <c r="AR189" s="164">
        <f t="shared" si="129"/>
        <v>3177.3109243697481</v>
      </c>
      <c r="AS189" s="164">
        <f t="shared" si="130"/>
        <v>19900</v>
      </c>
      <c r="AT189" s="164">
        <f t="shared" si="131"/>
        <v>19900</v>
      </c>
      <c r="AU189" s="164">
        <f t="shared" si="132"/>
        <v>19900</v>
      </c>
      <c r="AV189" s="165">
        <f t="shared" si="83"/>
        <v>15963</v>
      </c>
      <c r="AW189" s="165">
        <f t="shared" si="84"/>
        <v>15963</v>
      </c>
      <c r="AX189" s="165">
        <f t="shared" si="85"/>
        <v>3527</v>
      </c>
      <c r="AY189" s="166">
        <f t="shared" si="133"/>
        <v>0.2209484432750736</v>
      </c>
      <c r="AZ189" s="5"/>
      <c r="BA189" s="7">
        <f t="shared" si="134"/>
        <v>3</v>
      </c>
      <c r="BB189" s="7"/>
    </row>
    <row r="190" spans="1:54" ht="67.5" x14ac:dyDescent="0.25">
      <c r="A190" s="137" t="s">
        <v>229</v>
      </c>
      <c r="B190" s="137" t="s">
        <v>306</v>
      </c>
      <c r="C190" s="137">
        <v>60121211</v>
      </c>
      <c r="D190" s="137" t="s">
        <v>931</v>
      </c>
      <c r="E190" s="138" t="s">
        <v>932</v>
      </c>
      <c r="F190" s="139" t="s">
        <v>233</v>
      </c>
      <c r="G190" s="140">
        <v>1</v>
      </c>
      <c r="H190" s="139" t="s">
        <v>51</v>
      </c>
      <c r="I190" s="141" t="s">
        <v>234</v>
      </c>
      <c r="J190" s="142">
        <v>46091</v>
      </c>
      <c r="K190" s="143" t="s">
        <v>933</v>
      </c>
      <c r="L190" s="144" t="s">
        <v>241</v>
      </c>
      <c r="M190" s="142" t="s">
        <v>934</v>
      </c>
      <c r="N190" s="145">
        <v>42900</v>
      </c>
      <c r="O190" s="145" t="s">
        <v>238</v>
      </c>
      <c r="P190" s="145" t="s">
        <v>239</v>
      </c>
      <c r="Q190" s="146">
        <f>IF(O190="IVA Incluido",(N190/1.19),N190)</f>
        <v>36050.420168067227</v>
      </c>
      <c r="R190" s="147">
        <f t="shared" si="120"/>
        <v>6849.5798319327732</v>
      </c>
      <c r="S190" s="147">
        <f t="shared" si="121"/>
        <v>42900</v>
      </c>
      <c r="T190" s="147">
        <f t="shared" si="122"/>
        <v>42900</v>
      </c>
      <c r="U190" s="147">
        <f t="shared" si="123"/>
        <v>42900</v>
      </c>
      <c r="V190" s="148" t="s">
        <v>234</v>
      </c>
      <c r="W190" s="149">
        <v>46091</v>
      </c>
      <c r="X190" s="150" t="s">
        <v>935</v>
      </c>
      <c r="Y190" s="151" t="s">
        <v>236</v>
      </c>
      <c r="Z190" s="152" t="s">
        <v>781</v>
      </c>
      <c r="AA190" s="153">
        <v>49500</v>
      </c>
      <c r="AB190" s="153" t="s">
        <v>238</v>
      </c>
      <c r="AC190" s="153" t="s">
        <v>239</v>
      </c>
      <c r="AD190" s="154">
        <f>IF(AB190="IVA Incluido",(AA190/1.19),AA190)</f>
        <v>41596.638655462186</v>
      </c>
      <c r="AE190" s="155">
        <f t="shared" si="124"/>
        <v>7903.3613445378151</v>
      </c>
      <c r="AF190" s="155">
        <f t="shared" si="125"/>
        <v>49500</v>
      </c>
      <c r="AG190" s="155">
        <f t="shared" si="126"/>
        <v>49500</v>
      </c>
      <c r="AH190" s="155">
        <f t="shared" si="127"/>
        <v>49500</v>
      </c>
      <c r="AI190" s="156" t="s">
        <v>234</v>
      </c>
      <c r="AJ190" s="157">
        <v>46091</v>
      </c>
      <c r="AK190" s="158" t="s">
        <v>936</v>
      </c>
      <c r="AL190" s="159" t="s">
        <v>241</v>
      </c>
      <c r="AM190" s="160" t="s">
        <v>937</v>
      </c>
      <c r="AN190" s="161">
        <v>41000</v>
      </c>
      <c r="AO190" s="161" t="s">
        <v>238</v>
      </c>
      <c r="AP190" s="162" t="s">
        <v>239</v>
      </c>
      <c r="AQ190" s="163">
        <f t="shared" si="128"/>
        <v>34453.781512605041</v>
      </c>
      <c r="AR190" s="164">
        <f t="shared" si="129"/>
        <v>6546.2184873949582</v>
      </c>
      <c r="AS190" s="164">
        <f t="shared" si="130"/>
        <v>41000</v>
      </c>
      <c r="AT190" s="164">
        <f t="shared" si="131"/>
        <v>41000</v>
      </c>
      <c r="AU190" s="164">
        <f t="shared" si="132"/>
        <v>41000</v>
      </c>
      <c r="AV190" s="165">
        <f t="shared" si="83"/>
        <v>44467</v>
      </c>
      <c r="AW190" s="165">
        <f t="shared" si="84"/>
        <v>44467</v>
      </c>
      <c r="AX190" s="165">
        <f t="shared" si="85"/>
        <v>4461</v>
      </c>
      <c r="AY190" s="166">
        <f t="shared" si="133"/>
        <v>0.10032158679470168</v>
      </c>
      <c r="AZ190" s="5"/>
      <c r="BA190" s="7">
        <f t="shared" si="134"/>
        <v>3</v>
      </c>
      <c r="BB190" s="7"/>
    </row>
    <row r="191" spans="1:54" ht="81" x14ac:dyDescent="0.25">
      <c r="A191" s="137" t="s">
        <v>229</v>
      </c>
      <c r="B191" s="137" t="s">
        <v>306</v>
      </c>
      <c r="C191" s="137">
        <v>60121211</v>
      </c>
      <c r="D191" s="137" t="s">
        <v>938</v>
      </c>
      <c r="E191" s="138" t="s">
        <v>939</v>
      </c>
      <c r="F191" s="139" t="s">
        <v>233</v>
      </c>
      <c r="G191" s="140">
        <v>1</v>
      </c>
      <c r="H191" s="139" t="s">
        <v>51</v>
      </c>
      <c r="I191" s="141" t="s">
        <v>247</v>
      </c>
      <c r="J191" s="142">
        <v>46100</v>
      </c>
      <c r="K191" s="143" t="s">
        <v>940</v>
      </c>
      <c r="L191" s="144" t="s">
        <v>241</v>
      </c>
      <c r="M191" s="142" t="s">
        <v>941</v>
      </c>
      <c r="N191" s="145">
        <v>34700</v>
      </c>
      <c r="O191" s="145" t="s">
        <v>238</v>
      </c>
      <c r="P191" s="145" t="s">
        <v>239</v>
      </c>
      <c r="Q191" s="146">
        <f>IF(O191="IVA Incluido",(N191/1.19),N191)</f>
        <v>29159.663865546219</v>
      </c>
      <c r="R191" s="147">
        <f t="shared" si="120"/>
        <v>5540.3361344537816</v>
      </c>
      <c r="S191" s="147">
        <f t="shared" si="121"/>
        <v>34700</v>
      </c>
      <c r="T191" s="147">
        <f t="shared" si="122"/>
        <v>34700</v>
      </c>
      <c r="U191" s="147">
        <f t="shared" si="123"/>
        <v>34700</v>
      </c>
      <c r="V191" s="148" t="s">
        <v>247</v>
      </c>
      <c r="W191" s="149">
        <v>46100</v>
      </c>
      <c r="X191" s="150" t="s">
        <v>311</v>
      </c>
      <c r="Y191" s="151" t="s">
        <v>241</v>
      </c>
      <c r="Z191" s="152" t="s">
        <v>942</v>
      </c>
      <c r="AA191" s="153">
        <v>27120</v>
      </c>
      <c r="AB191" s="153" t="s">
        <v>245</v>
      </c>
      <c r="AC191" s="153" t="s">
        <v>239</v>
      </c>
      <c r="AD191" s="154">
        <f>IF(AB191="IVA Incluido",(AA191/1.19),AA191)</f>
        <v>27120</v>
      </c>
      <c r="AE191" s="155">
        <f t="shared" si="124"/>
        <v>5152.8</v>
      </c>
      <c r="AF191" s="155">
        <f t="shared" si="125"/>
        <v>32272.799999999999</v>
      </c>
      <c r="AG191" s="155">
        <f t="shared" si="126"/>
        <v>27120</v>
      </c>
      <c r="AH191" s="155">
        <f t="shared" si="127"/>
        <v>32272.799999999999</v>
      </c>
      <c r="AI191" s="156" t="s">
        <v>247</v>
      </c>
      <c r="AJ191" s="157">
        <v>46100</v>
      </c>
      <c r="AK191" s="158" t="s">
        <v>494</v>
      </c>
      <c r="AL191" s="159" t="s">
        <v>241</v>
      </c>
      <c r="AM191" s="160" t="s">
        <v>943</v>
      </c>
      <c r="AN191" s="161">
        <v>33700</v>
      </c>
      <c r="AO191" s="161" t="s">
        <v>238</v>
      </c>
      <c r="AP191" s="162" t="s">
        <v>239</v>
      </c>
      <c r="AQ191" s="163">
        <f t="shared" si="128"/>
        <v>28319.327731092439</v>
      </c>
      <c r="AR191" s="164">
        <f t="shared" si="129"/>
        <v>5380.6722689075632</v>
      </c>
      <c r="AS191" s="164">
        <f t="shared" si="130"/>
        <v>33700</v>
      </c>
      <c r="AT191" s="164">
        <f t="shared" si="131"/>
        <v>33700</v>
      </c>
      <c r="AU191" s="164">
        <f t="shared" si="132"/>
        <v>33700</v>
      </c>
      <c r="AV191" s="165">
        <f t="shared" si="83"/>
        <v>33558</v>
      </c>
      <c r="AW191" s="165">
        <f t="shared" si="84"/>
        <v>33558</v>
      </c>
      <c r="AX191" s="165">
        <f t="shared" si="85"/>
        <v>1220</v>
      </c>
      <c r="AY191" s="166">
        <f t="shared" si="133"/>
        <v>3.6354967518922462E-2</v>
      </c>
      <c r="AZ191" s="5"/>
      <c r="BA191" s="7">
        <f t="shared" si="134"/>
        <v>3</v>
      </c>
      <c r="BB191" s="7"/>
    </row>
    <row r="192" spans="1:54" ht="297" x14ac:dyDescent="0.25">
      <c r="A192" s="137" t="s">
        <v>299</v>
      </c>
      <c r="B192" s="137" t="s">
        <v>299</v>
      </c>
      <c r="C192" s="137" t="s">
        <v>299</v>
      </c>
      <c r="D192" s="137" t="s">
        <v>944</v>
      </c>
      <c r="E192" s="138" t="s">
        <v>945</v>
      </c>
      <c r="F192" s="139" t="s">
        <v>302</v>
      </c>
      <c r="G192" s="140">
        <v>1</v>
      </c>
      <c r="H192" s="139"/>
      <c r="I192" s="141"/>
      <c r="J192" s="142"/>
      <c r="K192" s="143"/>
      <c r="L192" s="144"/>
      <c r="M192" s="142"/>
      <c r="N192" s="145"/>
      <c r="O192" s="145"/>
      <c r="P192" s="145"/>
      <c r="Q192" s="146" t="s">
        <v>303</v>
      </c>
      <c r="R192" s="147" t="s">
        <v>303</v>
      </c>
      <c r="S192" s="147" t="s">
        <v>303</v>
      </c>
      <c r="T192" s="147" t="s">
        <v>303</v>
      </c>
      <c r="U192" s="147" t="s">
        <v>303</v>
      </c>
      <c r="V192" s="148" t="s">
        <v>299</v>
      </c>
      <c r="W192" s="149" t="s">
        <v>299</v>
      </c>
      <c r="X192" s="150" t="s">
        <v>299</v>
      </c>
      <c r="Y192" s="151" t="s">
        <v>299</v>
      </c>
      <c r="Z192" s="152" t="s">
        <v>304</v>
      </c>
      <c r="AA192" s="153" t="s">
        <v>299</v>
      </c>
      <c r="AB192" s="153" t="s">
        <v>299</v>
      </c>
      <c r="AC192" s="153" t="s">
        <v>299</v>
      </c>
      <c r="AD192" s="154" t="s">
        <v>299</v>
      </c>
      <c r="AE192" s="155" t="s">
        <v>299</v>
      </c>
      <c r="AF192" s="155">
        <f>AH192/1.19</f>
        <v>2533527.7310924372</v>
      </c>
      <c r="AG192" s="155">
        <f>AF192*19%</f>
        <v>481370.26890756306</v>
      </c>
      <c r="AH192" s="155">
        <v>3014898</v>
      </c>
      <c r="AI192" s="156" t="s">
        <v>299</v>
      </c>
      <c r="AJ192" s="157" t="s">
        <v>299</v>
      </c>
      <c r="AK192" s="158" t="s">
        <v>299</v>
      </c>
      <c r="AL192" s="159" t="s">
        <v>299</v>
      </c>
      <c r="AM192" s="160" t="s">
        <v>305</v>
      </c>
      <c r="AN192" s="161" t="s">
        <v>299</v>
      </c>
      <c r="AO192" s="161" t="s">
        <v>299</v>
      </c>
      <c r="AP192" s="162" t="s">
        <v>299</v>
      </c>
      <c r="AQ192" s="163">
        <v>2448084</v>
      </c>
      <c r="AR192" s="164">
        <v>465136</v>
      </c>
      <c r="AS192" s="164">
        <v>2913220</v>
      </c>
      <c r="AT192" s="164">
        <v>2448084</v>
      </c>
      <c r="AU192" s="164">
        <v>2913220</v>
      </c>
      <c r="AV192" s="165">
        <f t="shared" si="83"/>
        <v>2723374</v>
      </c>
      <c r="AW192" s="165">
        <f t="shared" si="84"/>
        <v>2723374</v>
      </c>
      <c r="AX192" s="165" t="str">
        <f t="shared" si="85"/>
        <v/>
      </c>
      <c r="AY192" s="166">
        <v>2.4299999999999999E-2</v>
      </c>
      <c r="AZ192" s="5"/>
      <c r="BA192" s="7"/>
      <c r="BB192" s="7"/>
    </row>
    <row r="193" spans="1:54" ht="121.5" x14ac:dyDescent="0.25">
      <c r="A193" s="137" t="s">
        <v>229</v>
      </c>
      <c r="B193" s="137" t="s">
        <v>230</v>
      </c>
      <c r="C193" s="137">
        <v>53121602</v>
      </c>
      <c r="D193" s="137" t="s">
        <v>946</v>
      </c>
      <c r="E193" s="137" t="s">
        <v>947</v>
      </c>
      <c r="F193" s="139" t="s">
        <v>233</v>
      </c>
      <c r="G193" s="140">
        <v>1</v>
      </c>
      <c r="H193" s="139" t="s">
        <v>51</v>
      </c>
      <c r="I193" s="173"/>
      <c r="J193" s="174"/>
      <c r="K193" s="174"/>
      <c r="L193" s="175"/>
      <c r="M193" s="174"/>
      <c r="N193" s="176"/>
      <c r="O193" s="176"/>
      <c r="P193" s="176"/>
      <c r="Q193" s="177"/>
      <c r="R193" s="178"/>
      <c r="S193" s="178"/>
      <c r="T193" s="178"/>
      <c r="U193" s="178"/>
      <c r="V193" s="179" t="s">
        <v>281</v>
      </c>
      <c r="W193" s="180">
        <v>46087</v>
      </c>
      <c r="X193" s="181"/>
      <c r="Y193" s="182" t="s">
        <v>241</v>
      </c>
      <c r="Z193" s="182" t="s">
        <v>264</v>
      </c>
      <c r="AA193" s="183">
        <v>15000</v>
      </c>
      <c r="AB193" s="183" t="s">
        <v>245</v>
      </c>
      <c r="AC193" s="183" t="s">
        <v>245</v>
      </c>
      <c r="AD193" s="184">
        <v>15000</v>
      </c>
      <c r="AE193" s="185">
        <f>IF(AC193="Si tiene IVA",AD193*19%,0)</f>
        <v>0</v>
      </c>
      <c r="AF193" s="185">
        <f>AD193+AE193</f>
        <v>15000</v>
      </c>
      <c r="AG193" s="185">
        <f>IF(C193="","",(AA193*G193))</f>
        <v>15000</v>
      </c>
      <c r="AH193" s="185">
        <f>IF(C193="","",(AF193*G193))</f>
        <v>15000</v>
      </c>
      <c r="AI193" s="186" t="s">
        <v>281</v>
      </c>
      <c r="AJ193" s="187">
        <v>46087</v>
      </c>
      <c r="AK193" s="188" t="s">
        <v>282</v>
      </c>
      <c r="AL193" s="189" t="s">
        <v>241</v>
      </c>
      <c r="AM193" s="190" t="s">
        <v>259</v>
      </c>
      <c r="AN193" s="191">
        <v>12000</v>
      </c>
      <c r="AO193" s="162" t="s">
        <v>245</v>
      </c>
      <c r="AP193" s="162" t="s">
        <v>239</v>
      </c>
      <c r="AQ193" s="163">
        <f>IF(AO193="IVA Incluido",(AN193/1.19),AN193)</f>
        <v>12000</v>
      </c>
      <c r="AR193" s="164">
        <f>IF(AP193="Si tiene IVA",AQ193*19%,0)</f>
        <v>2280</v>
      </c>
      <c r="AS193" s="164">
        <f>AQ193+AR193</f>
        <v>14280</v>
      </c>
      <c r="AT193" s="164">
        <f>IF(AB193="","",(AN193*G193))</f>
        <v>12000</v>
      </c>
      <c r="AU193" s="164">
        <f>IF(AB193="","",(AS193*G193))</f>
        <v>14280</v>
      </c>
      <c r="AV193" s="165">
        <f t="shared" si="83"/>
        <v>14640</v>
      </c>
      <c r="AW193" s="165">
        <f t="shared" si="84"/>
        <v>14640</v>
      </c>
      <c r="AX193" s="165" t="str">
        <f t="shared" si="85"/>
        <v/>
      </c>
      <c r="AY193" s="166" t="e">
        <f>IF(C193="","",(AX193/AW193))</f>
        <v>#VALUE!</v>
      </c>
      <c r="AZ193" s="5"/>
      <c r="BA193" s="7" t="s">
        <v>760</v>
      </c>
      <c r="BB193" s="7" t="s">
        <v>267</v>
      </c>
    </row>
    <row r="194" spans="1:54" ht="81" x14ac:dyDescent="0.25">
      <c r="A194" s="137" t="s">
        <v>229</v>
      </c>
      <c r="B194" s="137" t="s">
        <v>306</v>
      </c>
      <c r="C194" s="137">
        <v>52121507</v>
      </c>
      <c r="D194" s="137" t="s">
        <v>948</v>
      </c>
      <c r="E194" s="138" t="s">
        <v>949</v>
      </c>
      <c r="F194" s="139" t="s">
        <v>233</v>
      </c>
      <c r="G194" s="140">
        <v>1</v>
      </c>
      <c r="H194" s="139" t="s">
        <v>51</v>
      </c>
      <c r="I194" s="141" t="s">
        <v>234</v>
      </c>
      <c r="J194" s="142">
        <v>46091</v>
      </c>
      <c r="K194" s="143" t="s">
        <v>794</v>
      </c>
      <c r="L194" s="144" t="s">
        <v>236</v>
      </c>
      <c r="M194" s="142" t="s">
        <v>950</v>
      </c>
      <c r="N194" s="145">
        <v>5200</v>
      </c>
      <c r="O194" s="145" t="s">
        <v>238</v>
      </c>
      <c r="P194" s="145" t="s">
        <v>239</v>
      </c>
      <c r="Q194" s="146">
        <f>IF(O194="IVA Incluido",(N194/1.19),N194)</f>
        <v>4369.7478991596645</v>
      </c>
      <c r="R194" s="147">
        <f>IF(P194="Si tiene IVA",Q194*19%,0)</f>
        <v>830.25210084033631</v>
      </c>
      <c r="S194" s="147">
        <f>Q194+R194</f>
        <v>5200.0000000000009</v>
      </c>
      <c r="T194" s="147">
        <f>IF(B194="","",(N194*G194))</f>
        <v>5200</v>
      </c>
      <c r="U194" s="147">
        <f>IF(B194="","",(S194*G194))</f>
        <v>5200.0000000000009</v>
      </c>
      <c r="V194" s="148" t="s">
        <v>234</v>
      </c>
      <c r="W194" s="149">
        <v>46091</v>
      </c>
      <c r="X194" s="150" t="s">
        <v>951</v>
      </c>
      <c r="Y194" s="151" t="s">
        <v>241</v>
      </c>
      <c r="Z194" s="152" t="s">
        <v>952</v>
      </c>
      <c r="AA194" s="153">
        <v>7500</v>
      </c>
      <c r="AB194" s="153" t="s">
        <v>238</v>
      </c>
      <c r="AC194" s="153" t="s">
        <v>239</v>
      </c>
      <c r="AD194" s="154">
        <f>IF(AB194="IVA Incluido",(AA194/1.19),AA194)</f>
        <v>6302.5210084033615</v>
      </c>
      <c r="AE194" s="155">
        <f>IF(AC194="Si tiene IVA",AD194*19%,0)</f>
        <v>1197.4789915966387</v>
      </c>
      <c r="AF194" s="155">
        <f>AD194+AE194</f>
        <v>7500</v>
      </c>
      <c r="AG194" s="155">
        <f>IF(O194="","",(AA194*G194))</f>
        <v>7500</v>
      </c>
      <c r="AH194" s="155">
        <f>IF(O194="","",(AF194*G194))</f>
        <v>7500</v>
      </c>
      <c r="AI194" s="156" t="s">
        <v>234</v>
      </c>
      <c r="AJ194" s="157">
        <v>46091</v>
      </c>
      <c r="AK194" s="158" t="s">
        <v>953</v>
      </c>
      <c r="AL194" s="159" t="s">
        <v>236</v>
      </c>
      <c r="AM194" s="160" t="s">
        <v>954</v>
      </c>
      <c r="AN194" s="161">
        <v>5900</v>
      </c>
      <c r="AO194" s="161" t="s">
        <v>238</v>
      </c>
      <c r="AP194" s="162" t="s">
        <v>239</v>
      </c>
      <c r="AQ194" s="163">
        <f>IF(AO194="IVA Incluido",(AN194/1.19),AN194)</f>
        <v>4957.9831932773113</v>
      </c>
      <c r="AR194" s="164">
        <f>IF(AP194="Si tiene IVA",AQ194*19%,0)</f>
        <v>942.01680672268913</v>
      </c>
      <c r="AS194" s="164">
        <f>AQ194+AR194</f>
        <v>5900</v>
      </c>
      <c r="AT194" s="164">
        <f>IF(AB194="","",(AN194*G194))</f>
        <v>5900</v>
      </c>
      <c r="AU194" s="164">
        <f>IF(AB194="","",(AS194*G194))</f>
        <v>5900</v>
      </c>
      <c r="AV194" s="165">
        <f t="shared" si="83"/>
        <v>6200</v>
      </c>
      <c r="AW194" s="165">
        <f t="shared" si="84"/>
        <v>6200</v>
      </c>
      <c r="AX194" s="165">
        <f t="shared" si="85"/>
        <v>1179</v>
      </c>
      <c r="AY194" s="166">
        <f>IF(N194="","",(AX194/AW194))</f>
        <v>0.19016129032258064</v>
      </c>
      <c r="AZ194" s="5"/>
      <c r="BA194" s="7">
        <f>COUNTA(M194,Z194,AM194)</f>
        <v>3</v>
      </c>
      <c r="BB194" s="7"/>
    </row>
    <row r="195" spans="1:54" ht="67.5" x14ac:dyDescent="0.25">
      <c r="A195" s="137" t="s">
        <v>229</v>
      </c>
      <c r="B195" s="137" t="s">
        <v>306</v>
      </c>
      <c r="C195" s="137"/>
      <c r="D195" s="137" t="s">
        <v>955</v>
      </c>
      <c r="E195" s="138" t="s">
        <v>956</v>
      </c>
      <c r="F195" s="139" t="s">
        <v>233</v>
      </c>
      <c r="G195" s="140">
        <v>1</v>
      </c>
      <c r="H195" s="139" t="s">
        <v>51</v>
      </c>
      <c r="I195" s="141" t="s">
        <v>234</v>
      </c>
      <c r="J195" s="142">
        <v>46091</v>
      </c>
      <c r="K195" s="143" t="s">
        <v>655</v>
      </c>
      <c r="L195" s="144" t="s">
        <v>241</v>
      </c>
      <c r="M195" s="142" t="s">
        <v>656</v>
      </c>
      <c r="N195" s="145">
        <v>7000</v>
      </c>
      <c r="O195" s="145" t="s">
        <v>245</v>
      </c>
      <c r="P195" s="145" t="s">
        <v>239</v>
      </c>
      <c r="Q195" s="146">
        <f>IF(O195="IVA Incluido",(N195/1.19),N195)</f>
        <v>7000</v>
      </c>
      <c r="R195" s="147">
        <f>IF(P195="Si tiene IVA",Q195*19%,0)</f>
        <v>1330</v>
      </c>
      <c r="S195" s="147">
        <f>Q195+R195</f>
        <v>8330</v>
      </c>
      <c r="T195" s="147">
        <f>IF(B195="","",(N195*G195))</f>
        <v>7000</v>
      </c>
      <c r="U195" s="147">
        <f>IF(B195="","",(S195*G195))</f>
        <v>8330</v>
      </c>
      <c r="V195" s="148" t="s">
        <v>234</v>
      </c>
      <c r="W195" s="149">
        <v>46091</v>
      </c>
      <c r="X195" s="150" t="s">
        <v>794</v>
      </c>
      <c r="Y195" s="151" t="s">
        <v>241</v>
      </c>
      <c r="Z195" s="152" t="s">
        <v>950</v>
      </c>
      <c r="AA195" s="153">
        <v>6150</v>
      </c>
      <c r="AB195" s="153" t="s">
        <v>238</v>
      </c>
      <c r="AC195" s="153" t="s">
        <v>239</v>
      </c>
      <c r="AD195" s="154">
        <f>IF(AB195="IVA Incluido",(AA195/1.19),AA195)</f>
        <v>5168.0672268907565</v>
      </c>
      <c r="AE195" s="155">
        <f>IF(AC195="Si tiene IVA",AD195*19%,0)</f>
        <v>981.93277310924373</v>
      </c>
      <c r="AF195" s="155">
        <f>AD195+AE195</f>
        <v>6150</v>
      </c>
      <c r="AG195" s="155">
        <f>IF(O195="","",(AA195*G195))</f>
        <v>6150</v>
      </c>
      <c r="AH195" s="155">
        <f>IF(O195="","",(AF195*G195))</f>
        <v>6150</v>
      </c>
      <c r="AI195" s="156" t="s">
        <v>234</v>
      </c>
      <c r="AJ195" s="157">
        <v>46091</v>
      </c>
      <c r="AK195" s="158" t="s">
        <v>313</v>
      </c>
      <c r="AL195" s="159" t="s">
        <v>236</v>
      </c>
      <c r="AM195" s="160" t="s">
        <v>832</v>
      </c>
      <c r="AN195" s="161">
        <v>8500</v>
      </c>
      <c r="AO195" s="161" t="s">
        <v>238</v>
      </c>
      <c r="AP195" s="162" t="s">
        <v>239</v>
      </c>
      <c r="AQ195" s="163">
        <f>IF(AO195="IVA Incluido",(AN195/1.19),AN195)</f>
        <v>7142.8571428571431</v>
      </c>
      <c r="AR195" s="164">
        <f>IF(AP195="Si tiene IVA",AQ195*19%,0)</f>
        <v>1357.1428571428571</v>
      </c>
      <c r="AS195" s="164">
        <f>AQ195+AR195</f>
        <v>8500</v>
      </c>
      <c r="AT195" s="164">
        <f>IF(AB195="","",(AN195*G195))</f>
        <v>8500</v>
      </c>
      <c r="AU195" s="164">
        <f>IF(AB195="","",(AS195*G195))</f>
        <v>8500</v>
      </c>
      <c r="AV195" s="165">
        <f t="shared" si="83"/>
        <v>7660</v>
      </c>
      <c r="AW195" s="165">
        <f t="shared" si="84"/>
        <v>7660</v>
      </c>
      <c r="AX195" s="165">
        <f t="shared" si="85"/>
        <v>1310</v>
      </c>
      <c r="AY195" s="166">
        <f>IF(N195="","",(AX195/AW195))</f>
        <v>0.17101827676240208</v>
      </c>
      <c r="AZ195" s="5"/>
      <c r="BA195" s="7">
        <f>COUNTA(M195,Z195,AM195)</f>
        <v>3</v>
      </c>
      <c r="BB195" s="7"/>
    </row>
    <row r="196" spans="1:54" ht="297" x14ac:dyDescent="0.25">
      <c r="A196" s="137" t="s">
        <v>299</v>
      </c>
      <c r="B196" s="137" t="s">
        <v>299</v>
      </c>
      <c r="C196" s="137" t="s">
        <v>299</v>
      </c>
      <c r="D196" s="137" t="s">
        <v>957</v>
      </c>
      <c r="E196" s="138" t="s">
        <v>958</v>
      </c>
      <c r="F196" s="139" t="s">
        <v>302</v>
      </c>
      <c r="G196" s="140">
        <v>1</v>
      </c>
      <c r="H196" s="139"/>
      <c r="I196" s="141"/>
      <c r="J196" s="142"/>
      <c r="K196" s="143"/>
      <c r="L196" s="144"/>
      <c r="M196" s="142"/>
      <c r="N196" s="145"/>
      <c r="O196" s="145"/>
      <c r="P196" s="145"/>
      <c r="Q196" s="146" t="s">
        <v>303</v>
      </c>
      <c r="R196" s="147" t="s">
        <v>303</v>
      </c>
      <c r="S196" s="147" t="s">
        <v>303</v>
      </c>
      <c r="T196" s="147" t="s">
        <v>303</v>
      </c>
      <c r="U196" s="147" t="s">
        <v>303</v>
      </c>
      <c r="V196" s="148" t="s">
        <v>299</v>
      </c>
      <c r="W196" s="149" t="s">
        <v>299</v>
      </c>
      <c r="X196" s="150" t="s">
        <v>299</v>
      </c>
      <c r="Y196" s="151" t="s">
        <v>299</v>
      </c>
      <c r="Z196" s="152" t="s">
        <v>304</v>
      </c>
      <c r="AA196" s="153" t="s">
        <v>299</v>
      </c>
      <c r="AB196" s="153" t="s">
        <v>299</v>
      </c>
      <c r="AC196" s="153" t="s">
        <v>299</v>
      </c>
      <c r="AD196" s="154" t="s">
        <v>299</v>
      </c>
      <c r="AE196" s="155" t="s">
        <v>299</v>
      </c>
      <c r="AF196" s="155">
        <f>AH196/1.19</f>
        <v>393815.12605042016</v>
      </c>
      <c r="AG196" s="155">
        <f>AF196*19%</f>
        <v>74824.873949579836</v>
      </c>
      <c r="AH196" s="155">
        <v>468640</v>
      </c>
      <c r="AI196" s="156" t="s">
        <v>299</v>
      </c>
      <c r="AJ196" s="157" t="s">
        <v>299</v>
      </c>
      <c r="AK196" s="158" t="s">
        <v>299</v>
      </c>
      <c r="AL196" s="159" t="s">
        <v>299</v>
      </c>
      <c r="AM196" s="160" t="s">
        <v>305</v>
      </c>
      <c r="AN196" s="161" t="s">
        <v>299</v>
      </c>
      <c r="AO196" s="161" t="s">
        <v>299</v>
      </c>
      <c r="AP196" s="162" t="s">
        <v>299</v>
      </c>
      <c r="AQ196" s="163">
        <v>382399</v>
      </c>
      <c r="AR196" s="164">
        <v>72656</v>
      </c>
      <c r="AS196" s="164">
        <v>455055</v>
      </c>
      <c r="AT196" s="164">
        <v>382399</v>
      </c>
      <c r="AU196" s="164">
        <v>455055</v>
      </c>
      <c r="AV196" s="165">
        <f t="shared" ref="AV196:AV259" si="135">IF(A196="","",ROUND(AVERAGE(S196,AF196,AS196),0))</f>
        <v>424435</v>
      </c>
      <c r="AW196" s="165">
        <f t="shared" ref="AW196:AW259" si="136">IF(A196="","",AV196*G196)</f>
        <v>424435</v>
      </c>
      <c r="AX196" s="165" t="str">
        <f t="shared" ref="AX196:AX259" si="137">IF(N196="","",ROUND(STDEV(U196,AH196,AU196),0))</f>
        <v/>
      </c>
      <c r="AY196" s="166">
        <v>2.0799999999999999E-2</v>
      </c>
      <c r="AZ196" s="5"/>
      <c r="BA196" s="7"/>
      <c r="BB196" s="7"/>
    </row>
    <row r="197" spans="1:54" ht="297" x14ac:dyDescent="0.25">
      <c r="A197" s="137" t="s">
        <v>299</v>
      </c>
      <c r="B197" s="137" t="s">
        <v>299</v>
      </c>
      <c r="C197" s="137" t="s">
        <v>299</v>
      </c>
      <c r="D197" s="137" t="s">
        <v>959</v>
      </c>
      <c r="E197" s="138" t="s">
        <v>960</v>
      </c>
      <c r="F197" s="139" t="s">
        <v>302</v>
      </c>
      <c r="G197" s="140">
        <v>1</v>
      </c>
      <c r="H197" s="139"/>
      <c r="I197" s="141"/>
      <c r="J197" s="142"/>
      <c r="K197" s="143"/>
      <c r="L197" s="144"/>
      <c r="M197" s="142"/>
      <c r="N197" s="145"/>
      <c r="O197" s="145"/>
      <c r="P197" s="145"/>
      <c r="Q197" s="146" t="s">
        <v>303</v>
      </c>
      <c r="R197" s="147" t="s">
        <v>303</v>
      </c>
      <c r="S197" s="147" t="s">
        <v>303</v>
      </c>
      <c r="T197" s="147" t="s">
        <v>303</v>
      </c>
      <c r="U197" s="147" t="s">
        <v>303</v>
      </c>
      <c r="V197" s="148" t="s">
        <v>299</v>
      </c>
      <c r="W197" s="149" t="s">
        <v>299</v>
      </c>
      <c r="X197" s="150" t="s">
        <v>299</v>
      </c>
      <c r="Y197" s="151" t="s">
        <v>299</v>
      </c>
      <c r="Z197" s="152" t="s">
        <v>304</v>
      </c>
      <c r="AA197" s="153" t="s">
        <v>299</v>
      </c>
      <c r="AB197" s="153" t="s">
        <v>299</v>
      </c>
      <c r="AC197" s="153" t="s">
        <v>299</v>
      </c>
      <c r="AD197" s="154" t="s">
        <v>299</v>
      </c>
      <c r="AE197" s="155" t="s">
        <v>299</v>
      </c>
      <c r="AF197" s="155">
        <f>AH197/1.19</f>
        <v>1143285.7142857143</v>
      </c>
      <c r="AG197" s="155">
        <f>AF197*19%</f>
        <v>217224.28571428571</v>
      </c>
      <c r="AH197" s="155">
        <v>1360510</v>
      </c>
      <c r="AI197" s="156" t="s">
        <v>299</v>
      </c>
      <c r="AJ197" s="157" t="s">
        <v>299</v>
      </c>
      <c r="AK197" s="158" t="s">
        <v>299</v>
      </c>
      <c r="AL197" s="159" t="s">
        <v>299</v>
      </c>
      <c r="AM197" s="160" t="s">
        <v>305</v>
      </c>
      <c r="AN197" s="161" t="s">
        <v>299</v>
      </c>
      <c r="AO197" s="161" t="s">
        <v>299</v>
      </c>
      <c r="AP197" s="162" t="s">
        <v>299</v>
      </c>
      <c r="AQ197" s="163">
        <v>1137221</v>
      </c>
      <c r="AR197" s="164">
        <v>216072</v>
      </c>
      <c r="AS197" s="164">
        <v>1353293</v>
      </c>
      <c r="AT197" s="164">
        <v>1137221</v>
      </c>
      <c r="AU197" s="164">
        <v>1353293</v>
      </c>
      <c r="AV197" s="165">
        <f t="shared" si="135"/>
        <v>1248289</v>
      </c>
      <c r="AW197" s="165">
        <f t="shared" si="136"/>
        <v>1248289</v>
      </c>
      <c r="AX197" s="165" t="str">
        <f t="shared" si="137"/>
        <v/>
      </c>
      <c r="AY197" s="166">
        <v>3.8E-3</v>
      </c>
      <c r="AZ197" s="5"/>
      <c r="BA197" s="7"/>
      <c r="BB197" s="7"/>
    </row>
    <row r="198" spans="1:54" ht="229.5" x14ac:dyDescent="0.25">
      <c r="A198" s="137" t="s">
        <v>229</v>
      </c>
      <c r="B198" s="137" t="s">
        <v>288</v>
      </c>
      <c r="C198" s="137">
        <v>90101603</v>
      </c>
      <c r="D198" s="137" t="s">
        <v>961</v>
      </c>
      <c r="E198" s="138" t="s">
        <v>962</v>
      </c>
      <c r="F198" s="139" t="s">
        <v>233</v>
      </c>
      <c r="G198" s="140">
        <v>1</v>
      </c>
      <c r="H198" s="139" t="s">
        <v>51</v>
      </c>
      <c r="I198" s="141" t="s">
        <v>234</v>
      </c>
      <c r="J198" s="142">
        <v>46153</v>
      </c>
      <c r="K198" s="143" t="s">
        <v>963</v>
      </c>
      <c r="L198" s="144" t="s">
        <v>236</v>
      </c>
      <c r="M198" s="142" t="s">
        <v>964</v>
      </c>
      <c r="N198" s="145">
        <v>21600</v>
      </c>
      <c r="O198" s="145" t="s">
        <v>320</v>
      </c>
      <c r="P198" s="145" t="s">
        <v>321</v>
      </c>
      <c r="Q198" s="146">
        <f>IF(O198="IVA Incluido",(N198/1.19),IF(O198="Ipoconsumo Incluido",(N198/1.08),N198))</f>
        <v>21600</v>
      </c>
      <c r="R198" s="147">
        <f>IF(P198="Si tiene IVA",Q198*19%,IF(P198="Si tiene IPOCONSUMO",Q198*8%,0))</f>
        <v>1728</v>
      </c>
      <c r="S198" s="147">
        <f t="shared" ref="S198:S211" si="138">Q198+R198</f>
        <v>23328</v>
      </c>
      <c r="T198" s="147">
        <f>IF(R198="IVA Incluido",(Q198/1.19),IF(R198="Ipoconsumo Incluido",(Q198/1.08),Q198))</f>
        <v>21600</v>
      </c>
      <c r="U198" s="147">
        <f>Q198+R198</f>
        <v>23328</v>
      </c>
      <c r="V198" s="148" t="s">
        <v>234</v>
      </c>
      <c r="W198" s="149">
        <v>46077</v>
      </c>
      <c r="X198" s="150" t="s">
        <v>322</v>
      </c>
      <c r="Y198" s="151" t="s">
        <v>241</v>
      </c>
      <c r="Z198" s="152" t="s">
        <v>323</v>
      </c>
      <c r="AA198" s="153">
        <v>25000</v>
      </c>
      <c r="AB198" s="153" t="s">
        <v>320</v>
      </c>
      <c r="AC198" s="153" t="s">
        <v>321</v>
      </c>
      <c r="AD198" s="154">
        <f>IF(AB198="IVA Incluido",(AA198/1.19),IF(AB198="Ipoconsumo Incluido",(AA198/1.08),AA198))</f>
        <v>25000</v>
      </c>
      <c r="AE198" s="155">
        <f>IF(AC198="Si tiene IVA",AD198*19%,IF(AC198="Si tiene IPOCONSUMO",AD198*8%,0))</f>
        <v>2000</v>
      </c>
      <c r="AF198" s="155">
        <f t="shared" ref="AF198:AF211" si="139">AD198+AE198</f>
        <v>27000</v>
      </c>
      <c r="AG198" s="155">
        <f>IF(AE198="IVA Incluido",(AD198/1.19),IF(AE198="Ipoconsumo Incluido",(AD198/1.08),AD198))</f>
        <v>25000</v>
      </c>
      <c r="AH198" s="155">
        <f>AD198+AE198</f>
        <v>27000</v>
      </c>
      <c r="AI198" s="156" t="s">
        <v>234</v>
      </c>
      <c r="AJ198" s="157">
        <v>46094</v>
      </c>
      <c r="AK198" s="158" t="s">
        <v>324</v>
      </c>
      <c r="AL198" s="159" t="s">
        <v>241</v>
      </c>
      <c r="AM198" s="160" t="s">
        <v>325</v>
      </c>
      <c r="AN198" s="161">
        <v>26824</v>
      </c>
      <c r="AO198" s="161" t="s">
        <v>320</v>
      </c>
      <c r="AP198" s="162" t="s">
        <v>321</v>
      </c>
      <c r="AQ198" s="163">
        <f>IF(AO198="IVA Incluido",(AN198/1.19),IF(AO198="Ipoconsumo Incluido",(AN198/1.08),AN198))</f>
        <v>26824</v>
      </c>
      <c r="AR198" s="164">
        <f>IF(AP198="Si tiene IVA",AQ198*19%,IF(AP198="Si tiene IPOCONSUMO",AQ198*8%,0))</f>
        <v>2145.92</v>
      </c>
      <c r="AS198" s="164">
        <f t="shared" ref="AS198:AS203" si="140">AQ198+AR198</f>
        <v>28969.919999999998</v>
      </c>
      <c r="AT198" s="164">
        <f>IF(AR198="IVA Incluido",(AQ198/1.19),IF(AR198="Ipoconsumo Incluido",(AQ198/1.08),AQ198))</f>
        <v>26824</v>
      </c>
      <c r="AU198" s="164">
        <f>AQ198+AR198</f>
        <v>28969.919999999998</v>
      </c>
      <c r="AV198" s="165">
        <f t="shared" si="135"/>
        <v>26433</v>
      </c>
      <c r="AW198" s="165">
        <f t="shared" si="136"/>
        <v>26433</v>
      </c>
      <c r="AX198" s="165">
        <f t="shared" si="137"/>
        <v>2863</v>
      </c>
      <c r="AY198" s="166">
        <f t="shared" ref="AY198:AY211" si="141">IF(N198="","",(AX198/AW198))</f>
        <v>0.10831158022169259</v>
      </c>
      <c r="AZ198" s="5"/>
      <c r="BA198" s="7">
        <f t="shared" ref="BA198:BA211" si="142">COUNTA(M198,Z198,AM198)</f>
        <v>3</v>
      </c>
      <c r="BB198" s="7"/>
    </row>
    <row r="199" spans="1:54" ht="108" x14ac:dyDescent="0.25">
      <c r="A199" s="137" t="s">
        <v>229</v>
      </c>
      <c r="B199" s="137" t="s">
        <v>288</v>
      </c>
      <c r="C199" s="137">
        <v>90101603</v>
      </c>
      <c r="D199" s="137" t="s">
        <v>965</v>
      </c>
      <c r="E199" s="138" t="s">
        <v>966</v>
      </c>
      <c r="F199" s="139" t="s">
        <v>233</v>
      </c>
      <c r="G199" s="140">
        <v>1</v>
      </c>
      <c r="H199" s="139" t="s">
        <v>51</v>
      </c>
      <c r="I199" s="141" t="s">
        <v>234</v>
      </c>
      <c r="J199" s="142">
        <v>46153</v>
      </c>
      <c r="K199" s="143" t="s">
        <v>324</v>
      </c>
      <c r="L199" s="144" t="s">
        <v>241</v>
      </c>
      <c r="M199" s="142" t="s">
        <v>325</v>
      </c>
      <c r="N199" s="145">
        <v>14500</v>
      </c>
      <c r="O199" s="145" t="s">
        <v>320</v>
      </c>
      <c r="P199" s="145" t="s">
        <v>321</v>
      </c>
      <c r="Q199" s="146">
        <f>IF(O199="IVA Incluido",(N199/1.19),IF(O199="Ipoconsumo Incluido",(N199/1.08),N199))</f>
        <v>14500</v>
      </c>
      <c r="R199" s="147">
        <f>IF(P199="Si tiene IVA",Q199*19%,IF(P199="Si tiene IPOCONSUMO",Q199*8%,0))</f>
        <v>1160</v>
      </c>
      <c r="S199" s="147">
        <f t="shared" si="138"/>
        <v>15660</v>
      </c>
      <c r="T199" s="147">
        <f>IF(R199="IVA Incluido",(Q199/1.19),IF(R199="Ipoconsumo Incluido",(Q199/1.08),Q199))</f>
        <v>14500</v>
      </c>
      <c r="U199" s="147">
        <f>Q199+R199</f>
        <v>15660</v>
      </c>
      <c r="V199" s="148" t="s">
        <v>234</v>
      </c>
      <c r="W199" s="149">
        <v>46153</v>
      </c>
      <c r="X199" s="150" t="s">
        <v>436</v>
      </c>
      <c r="Y199" s="151" t="s">
        <v>241</v>
      </c>
      <c r="Z199" s="152" t="s">
        <v>347</v>
      </c>
      <c r="AA199" s="153">
        <v>16300</v>
      </c>
      <c r="AB199" s="153" t="s">
        <v>320</v>
      </c>
      <c r="AC199" s="153" t="s">
        <v>321</v>
      </c>
      <c r="AD199" s="154">
        <f>IF(AB199="IVA Incluido",(AA199/1.19),IF(AB199="Ipoconsumo Incluido",(AA199/1.08),AA199))</f>
        <v>16300</v>
      </c>
      <c r="AE199" s="155">
        <f>IF(AC199="Si tiene IVA",AD199*19%,IF(AC199="Si tiene IPOCONSUMO",AD199*8%,0))</f>
        <v>1304</v>
      </c>
      <c r="AF199" s="155">
        <f t="shared" si="139"/>
        <v>17604</v>
      </c>
      <c r="AG199" s="155">
        <f>IF(AE199="IVA Incluido",(AD199/1.19),IF(AE199="Ipoconsumo Incluido",(AD199/1.08),AD199))</f>
        <v>16300</v>
      </c>
      <c r="AH199" s="155">
        <f>AD199+AE199</f>
        <v>17604</v>
      </c>
      <c r="AI199" s="156" t="s">
        <v>234</v>
      </c>
      <c r="AJ199" s="157">
        <v>46153</v>
      </c>
      <c r="AK199" s="158" t="s">
        <v>967</v>
      </c>
      <c r="AL199" s="159" t="s">
        <v>241</v>
      </c>
      <c r="AM199" s="160" t="s">
        <v>968</v>
      </c>
      <c r="AN199" s="161">
        <v>15000</v>
      </c>
      <c r="AO199" s="161" t="s">
        <v>320</v>
      </c>
      <c r="AP199" s="162" t="s">
        <v>321</v>
      </c>
      <c r="AQ199" s="163">
        <f>IF(AO199="IVA Incluido",(AN199/1.19),IF(AO199="Ipoconsumo Incluido",(AN199/1.08),AN199))</f>
        <v>15000</v>
      </c>
      <c r="AR199" s="164">
        <f>IF(AP199="Si tiene IVA",AQ199*19%,IF(AP199="Si tiene IPOCONSUMO",AQ199*8%,0))</f>
        <v>1200</v>
      </c>
      <c r="AS199" s="164">
        <f t="shared" si="140"/>
        <v>16200</v>
      </c>
      <c r="AT199" s="164">
        <f>IF(AR199="IVA Incluido",(AQ199/1.19),IF(AR199="Ipoconsumo Incluido",(AQ199/1.08),AQ199))</f>
        <v>15000</v>
      </c>
      <c r="AU199" s="164">
        <f>AQ199+AR199</f>
        <v>16200</v>
      </c>
      <c r="AV199" s="165">
        <f t="shared" si="135"/>
        <v>16488</v>
      </c>
      <c r="AW199" s="165">
        <f t="shared" si="136"/>
        <v>16488</v>
      </c>
      <c r="AX199" s="165">
        <f t="shared" si="137"/>
        <v>1003</v>
      </c>
      <c r="AY199" s="166">
        <f t="shared" si="141"/>
        <v>6.0832120329936921E-2</v>
      </c>
      <c r="AZ199" s="5"/>
      <c r="BA199" s="7">
        <f t="shared" si="142"/>
        <v>3</v>
      </c>
      <c r="BB199" s="7"/>
    </row>
    <row r="200" spans="1:54" ht="297" x14ac:dyDescent="0.25">
      <c r="A200" s="137" t="s">
        <v>229</v>
      </c>
      <c r="B200" s="137" t="s">
        <v>288</v>
      </c>
      <c r="C200" s="137">
        <v>90101603</v>
      </c>
      <c r="D200" s="137" t="s">
        <v>969</v>
      </c>
      <c r="E200" s="138" t="s">
        <v>970</v>
      </c>
      <c r="F200" s="139" t="s">
        <v>233</v>
      </c>
      <c r="G200" s="140">
        <v>1</v>
      </c>
      <c r="H200" s="139" t="s">
        <v>51</v>
      </c>
      <c r="I200" s="141" t="s">
        <v>234</v>
      </c>
      <c r="J200" s="142">
        <v>46062</v>
      </c>
      <c r="K200" s="143" t="s">
        <v>318</v>
      </c>
      <c r="L200" s="144" t="s">
        <v>241</v>
      </c>
      <c r="M200" s="142" t="s">
        <v>319</v>
      </c>
      <c r="N200" s="145">
        <v>11700</v>
      </c>
      <c r="O200" s="145" t="s">
        <v>320</v>
      </c>
      <c r="P200" s="145" t="s">
        <v>321</v>
      </c>
      <c r="Q200" s="146">
        <f>IF(O200="IVA Incluido",(N200/1.19),IF(O200="Ipoconsumo Incluido",(N200/1.08),N200))</f>
        <v>11700</v>
      </c>
      <c r="R200" s="147">
        <f>IF(P200="Si tiene IVA",Q200*19%,IF(P200="Si tiene IPOCONSUMO",Q200*8%,0))</f>
        <v>936</v>
      </c>
      <c r="S200" s="147">
        <f t="shared" si="138"/>
        <v>12636</v>
      </c>
      <c r="T200" s="147">
        <f>IF(R200="IVA Incluido",(Q200/1.19),IF(R200="Ipoconsumo Incluido",(Q200/1.08),Q200))</f>
        <v>11700</v>
      </c>
      <c r="U200" s="147">
        <f>Q200+R200</f>
        <v>12636</v>
      </c>
      <c r="V200" s="148" t="s">
        <v>234</v>
      </c>
      <c r="W200" s="149">
        <v>46129</v>
      </c>
      <c r="X200" s="150" t="s">
        <v>971</v>
      </c>
      <c r="Y200" s="151" t="s">
        <v>236</v>
      </c>
      <c r="Z200" s="152" t="s">
        <v>972</v>
      </c>
      <c r="AA200" s="153">
        <v>8570</v>
      </c>
      <c r="AB200" s="153" t="s">
        <v>320</v>
      </c>
      <c r="AC200" s="153" t="s">
        <v>321</v>
      </c>
      <c r="AD200" s="154">
        <f>IF(AB200="IVA Incluido",(AA200/1.19),IF(AB200="Ipoconsumo Incluido",(AA200/1.08),AA200))</f>
        <v>8570</v>
      </c>
      <c r="AE200" s="155">
        <f>IF(AC200="Si tiene IVA",AD200*19%,IF(AC200="Si tiene IPOCONSUMO",AD200*8%,0))</f>
        <v>685.6</v>
      </c>
      <c r="AF200" s="155">
        <f t="shared" si="139"/>
        <v>9255.6</v>
      </c>
      <c r="AG200" s="155">
        <f>IF(AE200="IVA Incluido",(AD200/1.19),IF(AE200="Ipoconsumo Incluido",(AD200/1.08),AD200))</f>
        <v>8570</v>
      </c>
      <c r="AH200" s="155">
        <f>AD200+AE200</f>
        <v>9255.6</v>
      </c>
      <c r="AI200" s="156" t="s">
        <v>973</v>
      </c>
      <c r="AJ200" s="157" t="s">
        <v>299</v>
      </c>
      <c r="AK200" s="158"/>
      <c r="AL200" s="159"/>
      <c r="AM200" s="160" t="s">
        <v>304</v>
      </c>
      <c r="AN200" s="161">
        <v>13871</v>
      </c>
      <c r="AO200" s="161"/>
      <c r="AP200" s="162"/>
      <c r="AQ200" s="163">
        <f>AN200/1.08</f>
        <v>12843.518518518518</v>
      </c>
      <c r="AR200" s="164">
        <f>AQ200*8%</f>
        <v>1027.4814814814815</v>
      </c>
      <c r="AS200" s="164">
        <f t="shared" si="140"/>
        <v>13871</v>
      </c>
      <c r="AT200" s="164">
        <f>IF(AR200="IVA Incluido",(AQ200/1.19),IF(AR200="Ipoconsumo Incluido",(AQ200/1.08),AQ200))</f>
        <v>12843.518518518518</v>
      </c>
      <c r="AU200" s="164">
        <f>AQ200+AR200</f>
        <v>13871</v>
      </c>
      <c r="AV200" s="165">
        <f t="shared" si="135"/>
        <v>11921</v>
      </c>
      <c r="AW200" s="165">
        <f t="shared" si="136"/>
        <v>11921</v>
      </c>
      <c r="AX200" s="165">
        <f t="shared" si="137"/>
        <v>2389</v>
      </c>
      <c r="AY200" s="166">
        <f t="shared" si="141"/>
        <v>0.20040265078433017</v>
      </c>
      <c r="AZ200" s="5" t="s">
        <v>974</v>
      </c>
      <c r="BA200" s="7">
        <f t="shared" si="142"/>
        <v>3</v>
      </c>
      <c r="BB200" s="7"/>
    </row>
    <row r="201" spans="1:54" ht="67.5" x14ac:dyDescent="0.25">
      <c r="A201" s="137" t="s">
        <v>229</v>
      </c>
      <c r="B201" s="137" t="s">
        <v>306</v>
      </c>
      <c r="C201" s="137">
        <v>14111514</v>
      </c>
      <c r="D201" s="137" t="s">
        <v>975</v>
      </c>
      <c r="E201" s="138" t="s">
        <v>976</v>
      </c>
      <c r="F201" s="139" t="s">
        <v>233</v>
      </c>
      <c r="G201" s="140">
        <v>1</v>
      </c>
      <c r="H201" s="139" t="s">
        <v>51</v>
      </c>
      <c r="I201" s="141" t="s">
        <v>234</v>
      </c>
      <c r="J201" s="142">
        <v>46091</v>
      </c>
      <c r="K201" s="143" t="s">
        <v>794</v>
      </c>
      <c r="L201" s="144" t="s">
        <v>241</v>
      </c>
      <c r="M201" s="142" t="s">
        <v>977</v>
      </c>
      <c r="N201" s="145">
        <v>15000</v>
      </c>
      <c r="O201" s="145" t="s">
        <v>238</v>
      </c>
      <c r="P201" s="145" t="s">
        <v>239</v>
      </c>
      <c r="Q201" s="146">
        <f t="shared" ref="Q201:Q211" si="143">IF(O201="IVA Incluido",(N201/1.19),N201)</f>
        <v>12605.042016806723</v>
      </c>
      <c r="R201" s="147">
        <f t="shared" ref="R201:R211" si="144">IF(P201="Si tiene IVA",Q201*19%,0)</f>
        <v>2394.9579831932774</v>
      </c>
      <c r="S201" s="147">
        <f t="shared" si="138"/>
        <v>15000</v>
      </c>
      <c r="T201" s="147">
        <f t="shared" ref="T201:T211" si="145">IF(B201="","",(N201*G201))</f>
        <v>15000</v>
      </c>
      <c r="U201" s="147">
        <f t="shared" ref="U201:U211" si="146">IF(B201="","",(S201*G201))</f>
        <v>15000</v>
      </c>
      <c r="V201" s="148" t="s">
        <v>234</v>
      </c>
      <c r="W201" s="149">
        <v>46091</v>
      </c>
      <c r="X201" s="150" t="s">
        <v>313</v>
      </c>
      <c r="Y201" s="151" t="s">
        <v>241</v>
      </c>
      <c r="Z201" s="152" t="s">
        <v>832</v>
      </c>
      <c r="AA201" s="153">
        <v>15000</v>
      </c>
      <c r="AB201" s="153" t="s">
        <v>238</v>
      </c>
      <c r="AC201" s="153" t="s">
        <v>239</v>
      </c>
      <c r="AD201" s="154">
        <f t="shared" ref="AD201:AD211" si="147">IF(AB201="IVA Incluido",(AA201/1.19),AA201)</f>
        <v>12605.042016806723</v>
      </c>
      <c r="AE201" s="155">
        <f t="shared" ref="AE201:AE211" si="148">IF(AC201="Si tiene IVA",AD201*19%,0)</f>
        <v>2394.9579831932774</v>
      </c>
      <c r="AF201" s="155">
        <f t="shared" si="139"/>
        <v>15000</v>
      </c>
      <c r="AG201" s="155">
        <f t="shared" ref="AG201:AG211" si="149">IF(O201="","",(AA201*G201))</f>
        <v>15000</v>
      </c>
      <c r="AH201" s="155">
        <f t="shared" ref="AH201:AH211" si="150">IF(O201="","",(AF201*G201))</f>
        <v>15000</v>
      </c>
      <c r="AI201" s="156" t="s">
        <v>234</v>
      </c>
      <c r="AJ201" s="157">
        <v>46091</v>
      </c>
      <c r="AK201" s="158" t="s">
        <v>655</v>
      </c>
      <c r="AL201" s="159" t="s">
        <v>241</v>
      </c>
      <c r="AM201" s="160" t="s">
        <v>656</v>
      </c>
      <c r="AN201" s="161">
        <v>15497</v>
      </c>
      <c r="AO201" s="161" t="s">
        <v>245</v>
      </c>
      <c r="AP201" s="162" t="s">
        <v>239</v>
      </c>
      <c r="AQ201" s="163">
        <f>IF(AO201="IVA Incluido",(AN201/1.19),AN201)</f>
        <v>15497</v>
      </c>
      <c r="AR201" s="164">
        <f>IF(AP201="Si tiene IVA",AQ201*19%,0)</f>
        <v>2944.43</v>
      </c>
      <c r="AS201" s="164">
        <f t="shared" si="140"/>
        <v>18441.43</v>
      </c>
      <c r="AT201" s="164">
        <f>IF(AB201="","",(AN201*G201))</f>
        <v>15497</v>
      </c>
      <c r="AU201" s="164">
        <f>IF(AB201="","",(AS201*G201))</f>
        <v>18441.43</v>
      </c>
      <c r="AV201" s="165">
        <f t="shared" si="135"/>
        <v>16147</v>
      </c>
      <c r="AW201" s="165">
        <f t="shared" si="136"/>
        <v>16147</v>
      </c>
      <c r="AX201" s="165">
        <f t="shared" si="137"/>
        <v>1987</v>
      </c>
      <c r="AY201" s="166">
        <f t="shared" si="141"/>
        <v>0.12305691459713879</v>
      </c>
      <c r="AZ201" s="5"/>
      <c r="BA201" s="7">
        <f t="shared" si="142"/>
        <v>3</v>
      </c>
      <c r="BB201" s="7"/>
    </row>
    <row r="202" spans="1:54" ht="67.5" x14ac:dyDescent="0.25">
      <c r="A202" s="137" t="s">
        <v>229</v>
      </c>
      <c r="B202" s="137" t="s">
        <v>306</v>
      </c>
      <c r="C202" s="137">
        <v>14111514</v>
      </c>
      <c r="D202" s="137" t="s">
        <v>978</v>
      </c>
      <c r="E202" s="138" t="s">
        <v>979</v>
      </c>
      <c r="F202" s="139" t="s">
        <v>233</v>
      </c>
      <c r="G202" s="140">
        <v>1</v>
      </c>
      <c r="H202" s="139" t="s">
        <v>51</v>
      </c>
      <c r="I202" s="141" t="s">
        <v>234</v>
      </c>
      <c r="J202" s="142">
        <v>46091</v>
      </c>
      <c r="K202" s="143" t="s">
        <v>655</v>
      </c>
      <c r="L202" s="144" t="s">
        <v>241</v>
      </c>
      <c r="M202" s="142" t="s">
        <v>656</v>
      </c>
      <c r="N202" s="145">
        <v>18500</v>
      </c>
      <c r="O202" s="145" t="s">
        <v>245</v>
      </c>
      <c r="P202" s="145" t="s">
        <v>239</v>
      </c>
      <c r="Q202" s="146">
        <f t="shared" si="143"/>
        <v>18500</v>
      </c>
      <c r="R202" s="147">
        <f t="shared" si="144"/>
        <v>3515</v>
      </c>
      <c r="S202" s="147">
        <f t="shared" si="138"/>
        <v>22015</v>
      </c>
      <c r="T202" s="147">
        <f t="shared" si="145"/>
        <v>18500</v>
      </c>
      <c r="U202" s="147">
        <f t="shared" si="146"/>
        <v>22015</v>
      </c>
      <c r="V202" s="148" t="s">
        <v>234</v>
      </c>
      <c r="W202" s="149">
        <v>46091</v>
      </c>
      <c r="X202" s="150" t="s">
        <v>794</v>
      </c>
      <c r="Y202" s="151" t="s">
        <v>241</v>
      </c>
      <c r="Z202" s="152" t="s">
        <v>980</v>
      </c>
      <c r="AA202" s="153">
        <v>19000</v>
      </c>
      <c r="AB202" s="153" t="s">
        <v>238</v>
      </c>
      <c r="AC202" s="153" t="s">
        <v>239</v>
      </c>
      <c r="AD202" s="154">
        <f t="shared" si="147"/>
        <v>15966.386554621849</v>
      </c>
      <c r="AE202" s="155">
        <f t="shared" si="148"/>
        <v>3033.6134453781515</v>
      </c>
      <c r="AF202" s="155">
        <f t="shared" si="139"/>
        <v>19000</v>
      </c>
      <c r="AG202" s="155">
        <f t="shared" si="149"/>
        <v>19000</v>
      </c>
      <c r="AH202" s="155">
        <f t="shared" si="150"/>
        <v>19000</v>
      </c>
      <c r="AI202" s="156" t="s">
        <v>234</v>
      </c>
      <c r="AJ202" s="157">
        <v>46091</v>
      </c>
      <c r="AK202" s="158" t="s">
        <v>313</v>
      </c>
      <c r="AL202" s="159" t="s">
        <v>241</v>
      </c>
      <c r="AM202" s="160" t="s">
        <v>832</v>
      </c>
      <c r="AN202" s="161">
        <v>22000</v>
      </c>
      <c r="AO202" s="161" t="s">
        <v>238</v>
      </c>
      <c r="AP202" s="162" t="s">
        <v>239</v>
      </c>
      <c r="AQ202" s="163">
        <f>IF(AO202="IVA Incluido",(AN202/1.19),AN202)</f>
        <v>18487.394957983193</v>
      </c>
      <c r="AR202" s="164">
        <f>IF(AP202="Si tiene IVA",AQ202*19%,0)</f>
        <v>3512.6050420168067</v>
      </c>
      <c r="AS202" s="164">
        <f t="shared" si="140"/>
        <v>22000</v>
      </c>
      <c r="AT202" s="164">
        <f>IF(AB202="","",(AN202*G202))</f>
        <v>22000</v>
      </c>
      <c r="AU202" s="164">
        <f>IF(AB202="","",(AS202*G202))</f>
        <v>22000</v>
      </c>
      <c r="AV202" s="165">
        <f t="shared" si="135"/>
        <v>21005</v>
      </c>
      <c r="AW202" s="165">
        <f t="shared" si="136"/>
        <v>21005</v>
      </c>
      <c r="AX202" s="165">
        <f t="shared" si="137"/>
        <v>1736</v>
      </c>
      <c r="AY202" s="166">
        <f t="shared" si="141"/>
        <v>8.2646988812187572E-2</v>
      </c>
      <c r="AZ202" s="5"/>
      <c r="BA202" s="7">
        <f t="shared" si="142"/>
        <v>3</v>
      </c>
      <c r="BB202" s="7"/>
    </row>
    <row r="203" spans="1:54" ht="81" x14ac:dyDescent="0.25">
      <c r="A203" s="137" t="s">
        <v>229</v>
      </c>
      <c r="B203" s="137" t="s">
        <v>306</v>
      </c>
      <c r="C203" s="137">
        <v>44121619</v>
      </c>
      <c r="D203" s="137" t="s">
        <v>981</v>
      </c>
      <c r="E203" s="138" t="s">
        <v>982</v>
      </c>
      <c r="F203" s="139" t="s">
        <v>233</v>
      </c>
      <c r="G203" s="140">
        <v>1</v>
      </c>
      <c r="H203" s="139" t="s">
        <v>51</v>
      </c>
      <c r="I203" s="141" t="s">
        <v>234</v>
      </c>
      <c r="J203" s="142">
        <v>46091</v>
      </c>
      <c r="K203" s="143" t="s">
        <v>655</v>
      </c>
      <c r="L203" s="144" t="s">
        <v>241</v>
      </c>
      <c r="M203" s="142" t="s">
        <v>656</v>
      </c>
      <c r="N203" s="145">
        <v>5461</v>
      </c>
      <c r="O203" s="145" t="s">
        <v>245</v>
      </c>
      <c r="P203" s="145" t="s">
        <v>239</v>
      </c>
      <c r="Q203" s="146">
        <f t="shared" si="143"/>
        <v>5461</v>
      </c>
      <c r="R203" s="147">
        <f t="shared" si="144"/>
        <v>1037.5899999999999</v>
      </c>
      <c r="S203" s="147">
        <f t="shared" si="138"/>
        <v>6498.59</v>
      </c>
      <c r="T203" s="147">
        <f t="shared" si="145"/>
        <v>5461</v>
      </c>
      <c r="U203" s="147">
        <f t="shared" si="146"/>
        <v>6498.59</v>
      </c>
      <c r="V203" s="148" t="s">
        <v>234</v>
      </c>
      <c r="W203" s="149">
        <v>46091</v>
      </c>
      <c r="X203" s="150" t="s">
        <v>794</v>
      </c>
      <c r="Y203" s="151" t="s">
        <v>241</v>
      </c>
      <c r="Z203" s="152" t="s">
        <v>980</v>
      </c>
      <c r="AA203" s="153">
        <v>6600</v>
      </c>
      <c r="AB203" s="153" t="s">
        <v>238</v>
      </c>
      <c r="AC203" s="153" t="s">
        <v>239</v>
      </c>
      <c r="AD203" s="154">
        <f t="shared" si="147"/>
        <v>5546.2184873949582</v>
      </c>
      <c r="AE203" s="155">
        <f t="shared" si="148"/>
        <v>1053.7815126050421</v>
      </c>
      <c r="AF203" s="155">
        <f t="shared" si="139"/>
        <v>6600</v>
      </c>
      <c r="AG203" s="155">
        <f t="shared" si="149"/>
        <v>6600</v>
      </c>
      <c r="AH203" s="155">
        <f t="shared" si="150"/>
        <v>6600</v>
      </c>
      <c r="AI203" s="156" t="s">
        <v>234</v>
      </c>
      <c r="AJ203" s="157">
        <v>46091</v>
      </c>
      <c r="AK203" s="158" t="s">
        <v>983</v>
      </c>
      <c r="AL203" s="159" t="s">
        <v>241</v>
      </c>
      <c r="AM203" s="160" t="s">
        <v>984</v>
      </c>
      <c r="AN203" s="161">
        <v>6684</v>
      </c>
      <c r="AO203" s="161" t="s">
        <v>238</v>
      </c>
      <c r="AP203" s="162" t="s">
        <v>239</v>
      </c>
      <c r="AQ203" s="163">
        <f>IF(AO203="IVA Incluido",(AN203/1.19),AN203)</f>
        <v>5616.8067226890762</v>
      </c>
      <c r="AR203" s="164">
        <f>IF(AP203="Si tiene IVA",AQ203*19%,0)</f>
        <v>1067.1932773109245</v>
      </c>
      <c r="AS203" s="164">
        <f t="shared" si="140"/>
        <v>6684.0000000000009</v>
      </c>
      <c r="AT203" s="164">
        <f>IF(AB203="","",(AN203*G203))</f>
        <v>6684</v>
      </c>
      <c r="AU203" s="164">
        <f>IF(AB203="","",(AS203*G203))</f>
        <v>6684.0000000000009</v>
      </c>
      <c r="AV203" s="165">
        <f t="shared" si="135"/>
        <v>6594</v>
      </c>
      <c r="AW203" s="165">
        <f t="shared" si="136"/>
        <v>6594</v>
      </c>
      <c r="AX203" s="165">
        <f t="shared" si="137"/>
        <v>93</v>
      </c>
      <c r="AY203" s="166">
        <f t="shared" si="141"/>
        <v>1.4103730664240218E-2</v>
      </c>
      <c r="AZ203" s="5"/>
      <c r="BA203" s="7">
        <f t="shared" si="142"/>
        <v>3</v>
      </c>
      <c r="BB203" s="7"/>
    </row>
    <row r="204" spans="1:54" ht="67.5" x14ac:dyDescent="0.25">
      <c r="A204" s="137" t="s">
        <v>229</v>
      </c>
      <c r="B204" s="137" t="s">
        <v>500</v>
      </c>
      <c r="C204" s="137" t="s">
        <v>501</v>
      </c>
      <c r="D204" s="137" t="s">
        <v>985</v>
      </c>
      <c r="E204" s="138" t="s">
        <v>986</v>
      </c>
      <c r="F204" s="139" t="s">
        <v>233</v>
      </c>
      <c r="G204" s="140">
        <v>1</v>
      </c>
      <c r="H204" s="139" t="s">
        <v>335</v>
      </c>
      <c r="I204" s="141" t="s">
        <v>247</v>
      </c>
      <c r="J204" s="142">
        <v>46142</v>
      </c>
      <c r="K204" s="143" t="s">
        <v>987</v>
      </c>
      <c r="L204" s="144" t="s">
        <v>236</v>
      </c>
      <c r="M204" s="142" t="s">
        <v>988</v>
      </c>
      <c r="N204" s="145">
        <v>470589</v>
      </c>
      <c r="O204" s="145" t="s">
        <v>245</v>
      </c>
      <c r="P204" s="145" t="s">
        <v>239</v>
      </c>
      <c r="Q204" s="146">
        <f t="shared" si="143"/>
        <v>470589</v>
      </c>
      <c r="R204" s="147">
        <f t="shared" si="144"/>
        <v>89411.91</v>
      </c>
      <c r="S204" s="147">
        <f t="shared" si="138"/>
        <v>560000.91</v>
      </c>
      <c r="T204" s="147">
        <f t="shared" si="145"/>
        <v>470589</v>
      </c>
      <c r="U204" s="147">
        <f t="shared" si="146"/>
        <v>560000.91</v>
      </c>
      <c r="V204" s="148" t="s">
        <v>247</v>
      </c>
      <c r="W204" s="149">
        <v>46142</v>
      </c>
      <c r="X204" s="150" t="s">
        <v>989</v>
      </c>
      <c r="Y204" s="151" t="s">
        <v>236</v>
      </c>
      <c r="Z204" s="152" t="s">
        <v>989</v>
      </c>
      <c r="AA204" s="153">
        <v>361345</v>
      </c>
      <c r="AB204" s="153" t="s">
        <v>245</v>
      </c>
      <c r="AC204" s="153" t="s">
        <v>239</v>
      </c>
      <c r="AD204" s="154">
        <f t="shared" si="147"/>
        <v>361345</v>
      </c>
      <c r="AE204" s="155">
        <f t="shared" si="148"/>
        <v>68655.55</v>
      </c>
      <c r="AF204" s="155">
        <f t="shared" si="139"/>
        <v>430000.55</v>
      </c>
      <c r="AG204" s="155">
        <f t="shared" si="149"/>
        <v>361345</v>
      </c>
      <c r="AH204" s="155">
        <f t="shared" si="150"/>
        <v>430000.55</v>
      </c>
      <c r="AI204" s="156"/>
      <c r="AJ204" s="157"/>
      <c r="AK204" s="158"/>
      <c r="AL204" s="159"/>
      <c r="AM204" s="160"/>
      <c r="AN204" s="161"/>
      <c r="AO204" s="161"/>
      <c r="AP204" s="162"/>
      <c r="AQ204" s="163"/>
      <c r="AR204" s="164"/>
      <c r="AS204" s="164"/>
      <c r="AT204" s="164"/>
      <c r="AU204" s="164"/>
      <c r="AV204" s="165">
        <f t="shared" si="135"/>
        <v>495001</v>
      </c>
      <c r="AW204" s="165">
        <f t="shared" si="136"/>
        <v>495001</v>
      </c>
      <c r="AX204" s="165">
        <f t="shared" si="137"/>
        <v>91924</v>
      </c>
      <c r="AY204" s="166">
        <f t="shared" si="141"/>
        <v>0.18570467534409021</v>
      </c>
      <c r="AZ204" s="5"/>
      <c r="BA204" s="7">
        <f t="shared" si="142"/>
        <v>2</v>
      </c>
      <c r="BB204" s="7"/>
    </row>
    <row r="205" spans="1:54" ht="67.5" x14ac:dyDescent="0.25">
      <c r="A205" s="137" t="s">
        <v>229</v>
      </c>
      <c r="B205" s="137" t="s">
        <v>500</v>
      </c>
      <c r="C205" s="137" t="s">
        <v>501</v>
      </c>
      <c r="D205" s="137" t="s">
        <v>990</v>
      </c>
      <c r="E205" s="138" t="s">
        <v>991</v>
      </c>
      <c r="F205" s="139" t="s">
        <v>233</v>
      </c>
      <c r="G205" s="140">
        <v>1</v>
      </c>
      <c r="H205" s="139" t="s">
        <v>335</v>
      </c>
      <c r="I205" s="141" t="s">
        <v>249</v>
      </c>
      <c r="J205" s="142">
        <v>46142</v>
      </c>
      <c r="K205" s="143" t="s">
        <v>987</v>
      </c>
      <c r="L205" s="144" t="s">
        <v>236</v>
      </c>
      <c r="M205" s="142" t="s">
        <v>988</v>
      </c>
      <c r="N205" s="145">
        <v>302522</v>
      </c>
      <c r="O205" s="145" t="s">
        <v>245</v>
      </c>
      <c r="P205" s="145" t="s">
        <v>239</v>
      </c>
      <c r="Q205" s="146">
        <f t="shared" si="143"/>
        <v>302522</v>
      </c>
      <c r="R205" s="147">
        <f t="shared" si="144"/>
        <v>57479.18</v>
      </c>
      <c r="S205" s="147">
        <f t="shared" si="138"/>
        <v>360001.18</v>
      </c>
      <c r="T205" s="147">
        <f t="shared" si="145"/>
        <v>302522</v>
      </c>
      <c r="U205" s="147">
        <f t="shared" si="146"/>
        <v>360001.18</v>
      </c>
      <c r="V205" s="148" t="s">
        <v>247</v>
      </c>
      <c r="W205" s="149">
        <v>46142</v>
      </c>
      <c r="X205" s="150" t="s">
        <v>989</v>
      </c>
      <c r="Y205" s="151" t="s">
        <v>241</v>
      </c>
      <c r="Z205" s="152" t="s">
        <v>989</v>
      </c>
      <c r="AA205" s="153">
        <v>252101</v>
      </c>
      <c r="AB205" s="153" t="s">
        <v>245</v>
      </c>
      <c r="AC205" s="153" t="s">
        <v>239</v>
      </c>
      <c r="AD205" s="154">
        <f t="shared" si="147"/>
        <v>252101</v>
      </c>
      <c r="AE205" s="155">
        <f t="shared" si="148"/>
        <v>47899.19</v>
      </c>
      <c r="AF205" s="155">
        <f t="shared" si="139"/>
        <v>300000.19</v>
      </c>
      <c r="AG205" s="155">
        <f t="shared" si="149"/>
        <v>252101</v>
      </c>
      <c r="AH205" s="155">
        <f t="shared" si="150"/>
        <v>300000.19</v>
      </c>
      <c r="AI205" s="156"/>
      <c r="AJ205" s="157"/>
      <c r="AK205" s="158"/>
      <c r="AL205" s="159"/>
      <c r="AM205" s="160"/>
      <c r="AN205" s="161"/>
      <c r="AO205" s="161"/>
      <c r="AP205" s="162"/>
      <c r="AQ205" s="163"/>
      <c r="AR205" s="164"/>
      <c r="AS205" s="164"/>
      <c r="AT205" s="164"/>
      <c r="AU205" s="164"/>
      <c r="AV205" s="165">
        <f t="shared" si="135"/>
        <v>330001</v>
      </c>
      <c r="AW205" s="165">
        <f t="shared" si="136"/>
        <v>330001</v>
      </c>
      <c r="AX205" s="165">
        <f t="shared" si="137"/>
        <v>42427</v>
      </c>
      <c r="AY205" s="166">
        <f t="shared" si="141"/>
        <v>0.12856627707188767</v>
      </c>
      <c r="AZ205" s="5"/>
      <c r="BA205" s="7">
        <f t="shared" si="142"/>
        <v>2</v>
      </c>
      <c r="BB205" s="7"/>
    </row>
    <row r="206" spans="1:54" ht="54" x14ac:dyDescent="0.25">
      <c r="A206" s="137" t="s">
        <v>229</v>
      </c>
      <c r="B206" s="137" t="s">
        <v>500</v>
      </c>
      <c r="C206" s="137" t="s">
        <v>501</v>
      </c>
      <c r="D206" s="137" t="s">
        <v>992</v>
      </c>
      <c r="E206" s="138" t="s">
        <v>993</v>
      </c>
      <c r="F206" s="139" t="s">
        <v>233</v>
      </c>
      <c r="G206" s="140">
        <v>1</v>
      </c>
      <c r="H206" s="139" t="s">
        <v>335</v>
      </c>
      <c r="I206" s="141" t="s">
        <v>247</v>
      </c>
      <c r="J206" s="142">
        <v>46142</v>
      </c>
      <c r="K206" s="143" t="s">
        <v>994</v>
      </c>
      <c r="L206" s="144" t="s">
        <v>236</v>
      </c>
      <c r="M206" s="142" t="s">
        <v>989</v>
      </c>
      <c r="N206" s="145">
        <v>361345</v>
      </c>
      <c r="O206" s="145" t="s">
        <v>245</v>
      </c>
      <c r="P206" s="145" t="s">
        <v>239</v>
      </c>
      <c r="Q206" s="146">
        <f t="shared" si="143"/>
        <v>361345</v>
      </c>
      <c r="R206" s="147">
        <f t="shared" si="144"/>
        <v>68655.55</v>
      </c>
      <c r="S206" s="147">
        <f t="shared" si="138"/>
        <v>430000.55</v>
      </c>
      <c r="T206" s="147">
        <f t="shared" si="145"/>
        <v>361345</v>
      </c>
      <c r="U206" s="147">
        <f t="shared" si="146"/>
        <v>430000.55</v>
      </c>
      <c r="V206" s="148" t="s">
        <v>247</v>
      </c>
      <c r="W206" s="149">
        <v>46142</v>
      </c>
      <c r="X206" s="150" t="s">
        <v>987</v>
      </c>
      <c r="Y206" s="151" t="s">
        <v>236</v>
      </c>
      <c r="Z206" s="152" t="s">
        <v>988</v>
      </c>
      <c r="AA206" s="153">
        <v>470589</v>
      </c>
      <c r="AB206" s="153" t="s">
        <v>245</v>
      </c>
      <c r="AC206" s="153" t="s">
        <v>239</v>
      </c>
      <c r="AD206" s="154">
        <f t="shared" si="147"/>
        <v>470589</v>
      </c>
      <c r="AE206" s="155">
        <f t="shared" si="148"/>
        <v>89411.91</v>
      </c>
      <c r="AF206" s="155">
        <f t="shared" si="139"/>
        <v>560000.91</v>
      </c>
      <c r="AG206" s="155">
        <f t="shared" si="149"/>
        <v>470589</v>
      </c>
      <c r="AH206" s="155">
        <f t="shared" si="150"/>
        <v>560000.91</v>
      </c>
      <c r="AI206" s="156"/>
      <c r="AJ206" s="157"/>
      <c r="AK206" s="158"/>
      <c r="AL206" s="159"/>
      <c r="AM206" s="160"/>
      <c r="AN206" s="161"/>
      <c r="AO206" s="161"/>
      <c r="AP206" s="162"/>
      <c r="AQ206" s="163"/>
      <c r="AR206" s="164"/>
      <c r="AS206" s="164"/>
      <c r="AT206" s="164"/>
      <c r="AU206" s="164"/>
      <c r="AV206" s="165">
        <f t="shared" si="135"/>
        <v>495001</v>
      </c>
      <c r="AW206" s="165">
        <f t="shared" si="136"/>
        <v>495001</v>
      </c>
      <c r="AX206" s="165">
        <f t="shared" si="137"/>
        <v>91924</v>
      </c>
      <c r="AY206" s="166">
        <f t="shared" si="141"/>
        <v>0.18570467534409021</v>
      </c>
      <c r="AZ206" s="5"/>
      <c r="BA206" s="7">
        <f t="shared" si="142"/>
        <v>2</v>
      </c>
      <c r="BB206" s="7"/>
    </row>
    <row r="207" spans="1:54" ht="54" x14ac:dyDescent="0.25">
      <c r="A207" s="137" t="s">
        <v>229</v>
      </c>
      <c r="B207" s="137" t="s">
        <v>500</v>
      </c>
      <c r="C207" s="137" t="s">
        <v>501</v>
      </c>
      <c r="D207" s="137" t="s">
        <v>995</v>
      </c>
      <c r="E207" s="138" t="s">
        <v>996</v>
      </c>
      <c r="F207" s="139" t="s">
        <v>233</v>
      </c>
      <c r="G207" s="140">
        <v>1</v>
      </c>
      <c r="H207" s="139" t="s">
        <v>335</v>
      </c>
      <c r="I207" s="141" t="s">
        <v>249</v>
      </c>
      <c r="J207" s="142">
        <v>46147</v>
      </c>
      <c r="K207" s="143" t="s">
        <v>987</v>
      </c>
      <c r="L207" s="144" t="s">
        <v>236</v>
      </c>
      <c r="M207" s="142" t="s">
        <v>988</v>
      </c>
      <c r="N207" s="145">
        <v>302522</v>
      </c>
      <c r="O207" s="145" t="s">
        <v>245</v>
      </c>
      <c r="P207" s="145" t="s">
        <v>239</v>
      </c>
      <c r="Q207" s="146">
        <f t="shared" si="143"/>
        <v>302522</v>
      </c>
      <c r="R207" s="147">
        <f t="shared" si="144"/>
        <v>57479.18</v>
      </c>
      <c r="S207" s="147">
        <f t="shared" si="138"/>
        <v>360001.18</v>
      </c>
      <c r="T207" s="147">
        <f t="shared" si="145"/>
        <v>302522</v>
      </c>
      <c r="U207" s="147">
        <f t="shared" si="146"/>
        <v>360001.18</v>
      </c>
      <c r="V207" s="148" t="s">
        <v>247</v>
      </c>
      <c r="W207" s="149">
        <v>46143</v>
      </c>
      <c r="X207" s="150" t="s">
        <v>989</v>
      </c>
      <c r="Y207" s="151" t="s">
        <v>236</v>
      </c>
      <c r="Z207" s="152" t="s">
        <v>989</v>
      </c>
      <c r="AA207" s="153">
        <v>252101</v>
      </c>
      <c r="AB207" s="153" t="s">
        <v>245</v>
      </c>
      <c r="AC207" s="153" t="s">
        <v>239</v>
      </c>
      <c r="AD207" s="154">
        <f t="shared" si="147"/>
        <v>252101</v>
      </c>
      <c r="AE207" s="155">
        <f t="shared" si="148"/>
        <v>47899.19</v>
      </c>
      <c r="AF207" s="155">
        <f t="shared" si="139"/>
        <v>300000.19</v>
      </c>
      <c r="AG207" s="155">
        <f t="shared" si="149"/>
        <v>252101</v>
      </c>
      <c r="AH207" s="155">
        <f t="shared" si="150"/>
        <v>300000.19</v>
      </c>
      <c r="AI207" s="156"/>
      <c r="AJ207" s="157"/>
      <c r="AK207" s="158"/>
      <c r="AL207" s="159"/>
      <c r="AM207" s="160"/>
      <c r="AN207" s="161"/>
      <c r="AO207" s="161"/>
      <c r="AP207" s="162"/>
      <c r="AQ207" s="163"/>
      <c r="AR207" s="164"/>
      <c r="AS207" s="164"/>
      <c r="AT207" s="164"/>
      <c r="AU207" s="164"/>
      <c r="AV207" s="165">
        <f t="shared" si="135"/>
        <v>330001</v>
      </c>
      <c r="AW207" s="165">
        <f t="shared" si="136"/>
        <v>330001</v>
      </c>
      <c r="AX207" s="165">
        <f t="shared" si="137"/>
        <v>42427</v>
      </c>
      <c r="AY207" s="166">
        <f t="shared" si="141"/>
        <v>0.12856627707188767</v>
      </c>
      <c r="AZ207" s="5"/>
      <c r="BA207" s="7">
        <f t="shared" si="142"/>
        <v>2</v>
      </c>
      <c r="BB207" s="7"/>
    </row>
    <row r="208" spans="1:54" ht="67.5" x14ac:dyDescent="0.25">
      <c r="A208" s="137" t="s">
        <v>229</v>
      </c>
      <c r="B208" s="137" t="s">
        <v>500</v>
      </c>
      <c r="C208" s="137" t="s">
        <v>501</v>
      </c>
      <c r="D208" s="137" t="s">
        <v>997</v>
      </c>
      <c r="E208" s="138" t="s">
        <v>998</v>
      </c>
      <c r="F208" s="139" t="s">
        <v>233</v>
      </c>
      <c r="G208" s="140">
        <v>1</v>
      </c>
      <c r="H208" s="139" t="s">
        <v>335</v>
      </c>
      <c r="I208" s="141" t="s">
        <v>249</v>
      </c>
      <c r="J208" s="142">
        <v>46100</v>
      </c>
      <c r="K208" s="143" t="s">
        <v>987</v>
      </c>
      <c r="L208" s="144" t="s">
        <v>241</v>
      </c>
      <c r="M208" s="142" t="s">
        <v>988</v>
      </c>
      <c r="N208" s="145">
        <v>302522</v>
      </c>
      <c r="O208" s="145" t="s">
        <v>245</v>
      </c>
      <c r="P208" s="145" t="s">
        <v>239</v>
      </c>
      <c r="Q208" s="146">
        <f t="shared" si="143"/>
        <v>302522</v>
      </c>
      <c r="R208" s="147">
        <f t="shared" si="144"/>
        <v>57479.18</v>
      </c>
      <c r="S208" s="147">
        <f t="shared" si="138"/>
        <v>360001.18</v>
      </c>
      <c r="T208" s="147">
        <f t="shared" si="145"/>
        <v>302522</v>
      </c>
      <c r="U208" s="147">
        <f t="shared" si="146"/>
        <v>360001.18</v>
      </c>
      <c r="V208" s="148" t="s">
        <v>234</v>
      </c>
      <c r="W208" s="149">
        <v>46139</v>
      </c>
      <c r="X208" s="150" t="s">
        <v>989</v>
      </c>
      <c r="Y208" s="151" t="s">
        <v>236</v>
      </c>
      <c r="Z208" s="152" t="s">
        <v>989</v>
      </c>
      <c r="AA208" s="153">
        <v>252101</v>
      </c>
      <c r="AB208" s="153" t="s">
        <v>245</v>
      </c>
      <c r="AC208" s="153" t="s">
        <v>239</v>
      </c>
      <c r="AD208" s="154">
        <f t="shared" si="147"/>
        <v>252101</v>
      </c>
      <c r="AE208" s="155">
        <f t="shared" si="148"/>
        <v>47899.19</v>
      </c>
      <c r="AF208" s="155">
        <f t="shared" si="139"/>
        <v>300000.19</v>
      </c>
      <c r="AG208" s="155">
        <f t="shared" si="149"/>
        <v>252101</v>
      </c>
      <c r="AH208" s="155">
        <f t="shared" si="150"/>
        <v>300000.19</v>
      </c>
      <c r="AI208" s="156"/>
      <c r="AJ208" s="157"/>
      <c r="AK208" s="158"/>
      <c r="AL208" s="159"/>
      <c r="AM208" s="160"/>
      <c r="AN208" s="161"/>
      <c r="AO208" s="161"/>
      <c r="AP208" s="162"/>
      <c r="AQ208" s="163"/>
      <c r="AR208" s="164"/>
      <c r="AS208" s="164"/>
      <c r="AT208" s="164"/>
      <c r="AU208" s="164"/>
      <c r="AV208" s="165">
        <f t="shared" si="135"/>
        <v>330001</v>
      </c>
      <c r="AW208" s="165">
        <f t="shared" si="136"/>
        <v>330001</v>
      </c>
      <c r="AX208" s="165">
        <f t="shared" si="137"/>
        <v>42427</v>
      </c>
      <c r="AY208" s="166">
        <f t="shared" si="141"/>
        <v>0.12856627707188767</v>
      </c>
      <c r="AZ208" s="5"/>
      <c r="BA208" s="7">
        <f t="shared" si="142"/>
        <v>2</v>
      </c>
      <c r="BB208" s="7"/>
    </row>
    <row r="209" spans="1:54" ht="67.5" x14ac:dyDescent="0.25">
      <c r="A209" s="137" t="s">
        <v>229</v>
      </c>
      <c r="B209" s="137" t="s">
        <v>500</v>
      </c>
      <c r="C209" s="137" t="s">
        <v>501</v>
      </c>
      <c r="D209" s="137" t="s">
        <v>999</v>
      </c>
      <c r="E209" s="138" t="s">
        <v>1000</v>
      </c>
      <c r="F209" s="139" t="s">
        <v>233</v>
      </c>
      <c r="G209" s="140">
        <v>1</v>
      </c>
      <c r="H209" s="139" t="s">
        <v>335</v>
      </c>
      <c r="I209" s="141" t="s">
        <v>249</v>
      </c>
      <c r="J209" s="142">
        <v>46143</v>
      </c>
      <c r="K209" s="143" t="s">
        <v>987</v>
      </c>
      <c r="L209" s="144" t="s">
        <v>236</v>
      </c>
      <c r="M209" s="142" t="s">
        <v>988</v>
      </c>
      <c r="N209" s="145">
        <v>302522</v>
      </c>
      <c r="O209" s="145" t="s">
        <v>245</v>
      </c>
      <c r="P209" s="145" t="s">
        <v>239</v>
      </c>
      <c r="Q209" s="146">
        <f t="shared" si="143"/>
        <v>302522</v>
      </c>
      <c r="R209" s="147">
        <f t="shared" si="144"/>
        <v>57479.18</v>
      </c>
      <c r="S209" s="147">
        <f t="shared" si="138"/>
        <v>360001.18</v>
      </c>
      <c r="T209" s="147">
        <f t="shared" si="145"/>
        <v>302522</v>
      </c>
      <c r="U209" s="147">
        <f t="shared" si="146"/>
        <v>360001.18</v>
      </c>
      <c r="V209" s="148" t="s">
        <v>247</v>
      </c>
      <c r="W209" s="149">
        <v>46143</v>
      </c>
      <c r="X209" s="150" t="s">
        <v>989</v>
      </c>
      <c r="Y209" s="151" t="s">
        <v>236</v>
      </c>
      <c r="Z209" s="152" t="s">
        <v>989</v>
      </c>
      <c r="AA209" s="153">
        <v>361345</v>
      </c>
      <c r="AB209" s="153" t="s">
        <v>245</v>
      </c>
      <c r="AC209" s="153" t="s">
        <v>239</v>
      </c>
      <c r="AD209" s="154">
        <f t="shared" si="147"/>
        <v>361345</v>
      </c>
      <c r="AE209" s="155">
        <f t="shared" si="148"/>
        <v>68655.55</v>
      </c>
      <c r="AF209" s="155">
        <f t="shared" si="139"/>
        <v>430000.55</v>
      </c>
      <c r="AG209" s="155">
        <f t="shared" si="149"/>
        <v>361345</v>
      </c>
      <c r="AH209" s="155">
        <f t="shared" si="150"/>
        <v>430000.55</v>
      </c>
      <c r="AI209" s="156"/>
      <c r="AJ209" s="157"/>
      <c r="AK209" s="158"/>
      <c r="AL209" s="159"/>
      <c r="AM209" s="160"/>
      <c r="AN209" s="161"/>
      <c r="AO209" s="161"/>
      <c r="AP209" s="162"/>
      <c r="AQ209" s="163"/>
      <c r="AR209" s="164"/>
      <c r="AS209" s="164"/>
      <c r="AT209" s="164"/>
      <c r="AU209" s="164"/>
      <c r="AV209" s="165">
        <f t="shared" si="135"/>
        <v>395001</v>
      </c>
      <c r="AW209" s="165">
        <f t="shared" si="136"/>
        <v>395001</v>
      </c>
      <c r="AX209" s="165">
        <f t="shared" si="137"/>
        <v>49497</v>
      </c>
      <c r="AY209" s="166">
        <f t="shared" si="141"/>
        <v>0.12530854352267462</v>
      </c>
      <c r="AZ209" s="5"/>
      <c r="BA209" s="7">
        <f t="shared" si="142"/>
        <v>2</v>
      </c>
      <c r="BB209" s="7"/>
    </row>
    <row r="210" spans="1:54" ht="54" x14ac:dyDescent="0.25">
      <c r="A210" s="137" t="s">
        <v>229</v>
      </c>
      <c r="B210" s="137" t="s">
        <v>500</v>
      </c>
      <c r="C210" s="137" t="s">
        <v>501</v>
      </c>
      <c r="D210" s="137" t="s">
        <v>1001</v>
      </c>
      <c r="E210" s="138" t="s">
        <v>1002</v>
      </c>
      <c r="F210" s="139" t="s">
        <v>233</v>
      </c>
      <c r="G210" s="140">
        <v>1</v>
      </c>
      <c r="H210" s="139" t="s">
        <v>335</v>
      </c>
      <c r="I210" s="141" t="s">
        <v>249</v>
      </c>
      <c r="J210" s="142">
        <v>46143</v>
      </c>
      <c r="K210" s="143" t="s">
        <v>989</v>
      </c>
      <c r="L210" s="144" t="s">
        <v>236</v>
      </c>
      <c r="M210" s="142" t="s">
        <v>989</v>
      </c>
      <c r="N210" s="145">
        <v>361345</v>
      </c>
      <c r="O210" s="145" t="s">
        <v>245</v>
      </c>
      <c r="P210" s="145" t="s">
        <v>239</v>
      </c>
      <c r="Q210" s="146">
        <f t="shared" si="143"/>
        <v>361345</v>
      </c>
      <c r="R210" s="147">
        <f t="shared" si="144"/>
        <v>68655.55</v>
      </c>
      <c r="S210" s="147">
        <f t="shared" si="138"/>
        <v>430000.55</v>
      </c>
      <c r="T210" s="147">
        <f t="shared" si="145"/>
        <v>361345</v>
      </c>
      <c r="U210" s="147">
        <f t="shared" si="146"/>
        <v>430000.55</v>
      </c>
      <c r="V210" s="148" t="s">
        <v>247</v>
      </c>
      <c r="W210" s="149">
        <v>46143</v>
      </c>
      <c r="X210" s="150" t="s">
        <v>987</v>
      </c>
      <c r="Y210" s="151" t="s">
        <v>236</v>
      </c>
      <c r="Z210" s="152" t="s">
        <v>988</v>
      </c>
      <c r="AA210" s="153">
        <v>302522</v>
      </c>
      <c r="AB210" s="153" t="s">
        <v>245</v>
      </c>
      <c r="AC210" s="153" t="s">
        <v>239</v>
      </c>
      <c r="AD210" s="154">
        <f t="shared" si="147"/>
        <v>302522</v>
      </c>
      <c r="AE210" s="155">
        <f t="shared" si="148"/>
        <v>57479.18</v>
      </c>
      <c r="AF210" s="155">
        <f t="shared" si="139"/>
        <v>360001.18</v>
      </c>
      <c r="AG210" s="155">
        <f t="shared" si="149"/>
        <v>302522</v>
      </c>
      <c r="AH210" s="155">
        <f t="shared" si="150"/>
        <v>360001.18</v>
      </c>
      <c r="AI210" s="156"/>
      <c r="AJ210" s="157"/>
      <c r="AK210" s="158"/>
      <c r="AL210" s="159"/>
      <c r="AM210" s="160"/>
      <c r="AN210" s="161"/>
      <c r="AO210" s="161"/>
      <c r="AP210" s="162"/>
      <c r="AQ210" s="163"/>
      <c r="AR210" s="164"/>
      <c r="AS210" s="164"/>
      <c r="AT210" s="164"/>
      <c r="AU210" s="164"/>
      <c r="AV210" s="165">
        <f t="shared" si="135"/>
        <v>395001</v>
      </c>
      <c r="AW210" s="165">
        <f t="shared" si="136"/>
        <v>395001</v>
      </c>
      <c r="AX210" s="165">
        <f t="shared" si="137"/>
        <v>49497</v>
      </c>
      <c r="AY210" s="166">
        <f t="shared" si="141"/>
        <v>0.12530854352267462</v>
      </c>
      <c r="AZ210" s="5"/>
      <c r="BA210" s="7">
        <f t="shared" si="142"/>
        <v>2</v>
      </c>
      <c r="BB210" s="7"/>
    </row>
    <row r="211" spans="1:54" ht="54" x14ac:dyDescent="0.25">
      <c r="A211" s="137" t="s">
        <v>229</v>
      </c>
      <c r="B211" s="137" t="s">
        <v>500</v>
      </c>
      <c r="C211" s="137" t="s">
        <v>501</v>
      </c>
      <c r="D211" s="137" t="s">
        <v>1003</v>
      </c>
      <c r="E211" s="138" t="s">
        <v>1004</v>
      </c>
      <c r="F211" s="139" t="s">
        <v>233</v>
      </c>
      <c r="G211" s="140">
        <v>1</v>
      </c>
      <c r="H211" s="139" t="s">
        <v>335</v>
      </c>
      <c r="I211" s="141" t="s">
        <v>249</v>
      </c>
      <c r="J211" s="142">
        <v>46143</v>
      </c>
      <c r="K211" s="143" t="s">
        <v>989</v>
      </c>
      <c r="L211" s="144" t="s">
        <v>236</v>
      </c>
      <c r="M211" s="142" t="s">
        <v>989</v>
      </c>
      <c r="N211" s="145">
        <v>252101</v>
      </c>
      <c r="O211" s="145" t="s">
        <v>245</v>
      </c>
      <c r="P211" s="145" t="s">
        <v>239</v>
      </c>
      <c r="Q211" s="146">
        <f t="shared" si="143"/>
        <v>252101</v>
      </c>
      <c r="R211" s="147">
        <f t="shared" si="144"/>
        <v>47899.19</v>
      </c>
      <c r="S211" s="147">
        <f t="shared" si="138"/>
        <v>300000.19</v>
      </c>
      <c r="T211" s="147">
        <f t="shared" si="145"/>
        <v>252101</v>
      </c>
      <c r="U211" s="147">
        <f t="shared" si="146"/>
        <v>300000.19</v>
      </c>
      <c r="V211" s="148" t="s">
        <v>247</v>
      </c>
      <c r="W211" s="149">
        <v>46143</v>
      </c>
      <c r="X211" s="150" t="s">
        <v>987</v>
      </c>
      <c r="Y211" s="151" t="s">
        <v>236</v>
      </c>
      <c r="Z211" s="152" t="s">
        <v>988</v>
      </c>
      <c r="AA211" s="153">
        <v>302522</v>
      </c>
      <c r="AB211" s="153" t="s">
        <v>245</v>
      </c>
      <c r="AC211" s="153" t="s">
        <v>239</v>
      </c>
      <c r="AD211" s="154">
        <f t="shared" si="147"/>
        <v>302522</v>
      </c>
      <c r="AE211" s="155">
        <f t="shared" si="148"/>
        <v>57479.18</v>
      </c>
      <c r="AF211" s="155">
        <f t="shared" si="139"/>
        <v>360001.18</v>
      </c>
      <c r="AG211" s="155">
        <f t="shared" si="149"/>
        <v>302522</v>
      </c>
      <c r="AH211" s="155">
        <f t="shared" si="150"/>
        <v>360001.18</v>
      </c>
      <c r="AI211" s="156"/>
      <c r="AJ211" s="157"/>
      <c r="AK211" s="158"/>
      <c r="AL211" s="159"/>
      <c r="AM211" s="160"/>
      <c r="AN211" s="161"/>
      <c r="AO211" s="161"/>
      <c r="AP211" s="162"/>
      <c r="AQ211" s="163"/>
      <c r="AR211" s="164"/>
      <c r="AS211" s="164"/>
      <c r="AT211" s="164"/>
      <c r="AU211" s="164"/>
      <c r="AV211" s="165">
        <f t="shared" si="135"/>
        <v>330001</v>
      </c>
      <c r="AW211" s="165">
        <f t="shared" si="136"/>
        <v>330001</v>
      </c>
      <c r="AX211" s="165">
        <f t="shared" si="137"/>
        <v>42427</v>
      </c>
      <c r="AY211" s="166">
        <f t="shared" si="141"/>
        <v>0.12856627707188767</v>
      </c>
      <c r="AZ211" s="5"/>
      <c r="BA211" s="7">
        <f t="shared" si="142"/>
        <v>2</v>
      </c>
      <c r="BB211" s="7"/>
    </row>
    <row r="212" spans="1:54" ht="67.5" x14ac:dyDescent="0.25">
      <c r="A212" s="137" t="s">
        <v>299</v>
      </c>
      <c r="B212" s="137" t="s">
        <v>299</v>
      </c>
      <c r="C212" s="137" t="s">
        <v>299</v>
      </c>
      <c r="D212" s="137" t="s">
        <v>1005</v>
      </c>
      <c r="E212" s="138" t="s">
        <v>1006</v>
      </c>
      <c r="F212" s="139" t="s">
        <v>317</v>
      </c>
      <c r="G212" s="140">
        <v>1</v>
      </c>
      <c r="H212" s="139"/>
      <c r="I212" s="141" t="s">
        <v>299</v>
      </c>
      <c r="J212" s="142" t="s">
        <v>299</v>
      </c>
      <c r="K212" s="143" t="s">
        <v>299</v>
      </c>
      <c r="L212" s="144" t="s">
        <v>299</v>
      </c>
      <c r="M212" s="142" t="s">
        <v>299</v>
      </c>
      <c r="N212" s="145"/>
      <c r="O212" s="145"/>
      <c r="P212" s="145"/>
      <c r="Q212" s="146">
        <v>840000</v>
      </c>
      <c r="R212" s="147">
        <v>159600</v>
      </c>
      <c r="S212" s="147">
        <v>999600</v>
      </c>
      <c r="T212" s="147">
        <v>840000</v>
      </c>
      <c r="U212" s="147">
        <v>999600</v>
      </c>
      <c r="V212" s="148" t="s">
        <v>299</v>
      </c>
      <c r="W212" s="149" t="s">
        <v>299</v>
      </c>
      <c r="X212" s="150" t="s">
        <v>299</v>
      </c>
      <c r="Y212" s="151" t="s">
        <v>299</v>
      </c>
      <c r="Z212" s="152" t="s">
        <v>303</v>
      </c>
      <c r="AA212" s="153" t="s">
        <v>299</v>
      </c>
      <c r="AB212" s="153" t="s">
        <v>299</v>
      </c>
      <c r="AC212" s="153" t="s">
        <v>299</v>
      </c>
      <c r="AD212" s="154" t="s">
        <v>299</v>
      </c>
      <c r="AE212" s="155" t="s">
        <v>299</v>
      </c>
      <c r="AF212" s="155" t="s">
        <v>303</v>
      </c>
      <c r="AG212" s="155" t="s">
        <v>303</v>
      </c>
      <c r="AH212" s="155" t="s">
        <v>303</v>
      </c>
      <c r="AI212" s="156" t="s">
        <v>299</v>
      </c>
      <c r="AJ212" s="157" t="s">
        <v>299</v>
      </c>
      <c r="AK212" s="158" t="s">
        <v>299</v>
      </c>
      <c r="AL212" s="159" t="s">
        <v>299</v>
      </c>
      <c r="AM212" s="160" t="s">
        <v>305</v>
      </c>
      <c r="AN212" s="161" t="s">
        <v>299</v>
      </c>
      <c r="AO212" s="161" t="s">
        <v>299</v>
      </c>
      <c r="AP212" s="162" t="s">
        <v>299</v>
      </c>
      <c r="AQ212" s="163">
        <v>588235</v>
      </c>
      <c r="AR212" s="164">
        <v>111765</v>
      </c>
      <c r="AS212" s="164">
        <v>700000</v>
      </c>
      <c r="AT212" s="164">
        <v>588235</v>
      </c>
      <c r="AU212" s="164">
        <v>700000</v>
      </c>
      <c r="AV212" s="165">
        <f t="shared" si="135"/>
        <v>849800</v>
      </c>
      <c r="AW212" s="165">
        <f t="shared" si="136"/>
        <v>849800</v>
      </c>
      <c r="AX212" s="165" t="str">
        <f t="shared" si="137"/>
        <v/>
      </c>
      <c r="AY212" s="166">
        <v>0.24929999999999999</v>
      </c>
      <c r="AZ212" s="5"/>
      <c r="BA212" s="7"/>
      <c r="BB212" s="7"/>
    </row>
    <row r="213" spans="1:54" ht="297" x14ac:dyDescent="0.25">
      <c r="A213" s="137" t="s">
        <v>299</v>
      </c>
      <c r="B213" s="137" t="s">
        <v>299</v>
      </c>
      <c r="C213" s="137" t="s">
        <v>299</v>
      </c>
      <c r="D213" s="137" t="s">
        <v>1007</v>
      </c>
      <c r="E213" s="138" t="s">
        <v>1008</v>
      </c>
      <c r="F213" s="139" t="s">
        <v>302</v>
      </c>
      <c r="G213" s="140">
        <v>1</v>
      </c>
      <c r="H213" s="139"/>
      <c r="I213" s="141"/>
      <c r="J213" s="142"/>
      <c r="K213" s="143"/>
      <c r="L213" s="144"/>
      <c r="M213" s="142"/>
      <c r="N213" s="145"/>
      <c r="O213" s="145"/>
      <c r="P213" s="145"/>
      <c r="Q213" s="146" t="s">
        <v>303</v>
      </c>
      <c r="R213" s="147" t="s">
        <v>303</v>
      </c>
      <c r="S213" s="147" t="s">
        <v>303</v>
      </c>
      <c r="T213" s="147" t="s">
        <v>303</v>
      </c>
      <c r="U213" s="147" t="s">
        <v>303</v>
      </c>
      <c r="V213" s="148" t="s">
        <v>299</v>
      </c>
      <c r="W213" s="149" t="s">
        <v>299</v>
      </c>
      <c r="X213" s="150" t="s">
        <v>299</v>
      </c>
      <c r="Y213" s="151" t="s">
        <v>299</v>
      </c>
      <c r="Z213" s="152" t="s">
        <v>304</v>
      </c>
      <c r="AA213" s="153" t="s">
        <v>299</v>
      </c>
      <c r="AB213" s="153" t="s">
        <v>299</v>
      </c>
      <c r="AC213" s="153" t="s">
        <v>299</v>
      </c>
      <c r="AD213" s="154" t="s">
        <v>299</v>
      </c>
      <c r="AE213" s="155" t="s">
        <v>299</v>
      </c>
      <c r="AF213" s="155">
        <f>AH213/1.19</f>
        <v>885897.47899159673</v>
      </c>
      <c r="AG213" s="155">
        <f>AF213*19%</f>
        <v>168320.52100840339</v>
      </c>
      <c r="AH213" s="155">
        <v>1054218</v>
      </c>
      <c r="AI213" s="156" t="s">
        <v>299</v>
      </c>
      <c r="AJ213" s="157" t="s">
        <v>299</v>
      </c>
      <c r="AK213" s="158" t="s">
        <v>299</v>
      </c>
      <c r="AL213" s="159" t="s">
        <v>299</v>
      </c>
      <c r="AM213" s="160" t="s">
        <v>305</v>
      </c>
      <c r="AN213" s="161" t="s">
        <v>299</v>
      </c>
      <c r="AO213" s="161" t="s">
        <v>299</v>
      </c>
      <c r="AP213" s="162" t="s">
        <v>299</v>
      </c>
      <c r="AQ213" s="163">
        <v>856021</v>
      </c>
      <c r="AR213" s="164">
        <v>162644</v>
      </c>
      <c r="AS213" s="164">
        <v>1018665</v>
      </c>
      <c r="AT213" s="164">
        <v>856021</v>
      </c>
      <c r="AU213" s="164">
        <v>1018665</v>
      </c>
      <c r="AV213" s="165">
        <f t="shared" si="135"/>
        <v>952281</v>
      </c>
      <c r="AW213" s="165">
        <f t="shared" si="136"/>
        <v>952281</v>
      </c>
      <c r="AX213" s="165" t="str">
        <f t="shared" si="137"/>
        <v/>
      </c>
      <c r="AY213" s="166">
        <v>2.4299999999999999E-2</v>
      </c>
      <c r="AZ213" s="5"/>
      <c r="BA213" s="7"/>
      <c r="BB213" s="7"/>
    </row>
    <row r="214" spans="1:54" ht="405" x14ac:dyDescent="0.25">
      <c r="A214" s="137" t="s">
        <v>299</v>
      </c>
      <c r="B214" s="137" t="s">
        <v>299</v>
      </c>
      <c r="C214" s="137" t="s">
        <v>299</v>
      </c>
      <c r="D214" s="137" t="s">
        <v>1009</v>
      </c>
      <c r="E214" s="138" t="s">
        <v>1010</v>
      </c>
      <c r="F214" s="139" t="s">
        <v>302</v>
      </c>
      <c r="G214" s="140">
        <v>1</v>
      </c>
      <c r="H214" s="139"/>
      <c r="I214" s="141"/>
      <c r="J214" s="142"/>
      <c r="K214" s="143"/>
      <c r="L214" s="144"/>
      <c r="M214" s="142"/>
      <c r="N214" s="145"/>
      <c r="O214" s="145"/>
      <c r="P214" s="145"/>
      <c r="Q214" s="146" t="s">
        <v>303</v>
      </c>
      <c r="R214" s="147" t="s">
        <v>303</v>
      </c>
      <c r="S214" s="147" t="s">
        <v>303</v>
      </c>
      <c r="T214" s="147" t="s">
        <v>303</v>
      </c>
      <c r="U214" s="147" t="s">
        <v>303</v>
      </c>
      <c r="V214" s="148" t="s">
        <v>299</v>
      </c>
      <c r="W214" s="149" t="s">
        <v>299</v>
      </c>
      <c r="X214" s="150" t="s">
        <v>299</v>
      </c>
      <c r="Y214" s="151" t="s">
        <v>299</v>
      </c>
      <c r="Z214" s="152" t="s">
        <v>304</v>
      </c>
      <c r="AA214" s="153" t="s">
        <v>299</v>
      </c>
      <c r="AB214" s="153" t="s">
        <v>299</v>
      </c>
      <c r="AC214" s="153" t="s">
        <v>299</v>
      </c>
      <c r="AD214" s="154" t="s">
        <v>299</v>
      </c>
      <c r="AE214" s="155" t="s">
        <v>299</v>
      </c>
      <c r="AF214" s="155">
        <f>AH214/1.19</f>
        <v>1456994.1176470588</v>
      </c>
      <c r="AG214" s="155">
        <f>AF214*19%</f>
        <v>276828.88235294115</v>
      </c>
      <c r="AH214" s="155">
        <v>1733823</v>
      </c>
      <c r="AI214" s="156" t="s">
        <v>299</v>
      </c>
      <c r="AJ214" s="157" t="s">
        <v>299</v>
      </c>
      <c r="AK214" s="158" t="s">
        <v>299</v>
      </c>
      <c r="AL214" s="159" t="s">
        <v>299</v>
      </c>
      <c r="AM214" s="160" t="s">
        <v>305</v>
      </c>
      <c r="AN214" s="161" t="s">
        <v>299</v>
      </c>
      <c r="AO214" s="161" t="s">
        <v>299</v>
      </c>
      <c r="AP214" s="162" t="s">
        <v>299</v>
      </c>
      <c r="AQ214" s="163">
        <v>1435462</v>
      </c>
      <c r="AR214" s="164">
        <v>272738</v>
      </c>
      <c r="AS214" s="164">
        <v>1708200</v>
      </c>
      <c r="AT214" s="164">
        <v>1435462</v>
      </c>
      <c r="AU214" s="164">
        <v>1708200</v>
      </c>
      <c r="AV214" s="165">
        <f t="shared" si="135"/>
        <v>1582597</v>
      </c>
      <c r="AW214" s="165">
        <f t="shared" si="136"/>
        <v>1582597</v>
      </c>
      <c r="AX214" s="165" t="str">
        <f t="shared" si="137"/>
        <v/>
      </c>
      <c r="AY214" s="166">
        <v>1.0500000000000001E-2</v>
      </c>
      <c r="AZ214" s="5"/>
      <c r="BA214" s="7"/>
      <c r="BB214" s="7"/>
    </row>
    <row r="215" spans="1:54" ht="409.5" x14ac:dyDescent="0.25">
      <c r="A215" s="137" t="s">
        <v>299</v>
      </c>
      <c r="B215" s="137" t="s">
        <v>299</v>
      </c>
      <c r="C215" s="137" t="s">
        <v>299</v>
      </c>
      <c r="D215" s="137" t="s">
        <v>1011</v>
      </c>
      <c r="E215" s="138" t="s">
        <v>1012</v>
      </c>
      <c r="F215" s="139" t="s">
        <v>302</v>
      </c>
      <c r="G215" s="140">
        <v>1</v>
      </c>
      <c r="H215" s="139"/>
      <c r="I215" s="141"/>
      <c r="J215" s="142"/>
      <c r="K215" s="143"/>
      <c r="L215" s="144"/>
      <c r="M215" s="142"/>
      <c r="N215" s="145"/>
      <c r="O215" s="145"/>
      <c r="P215" s="145"/>
      <c r="Q215" s="146" t="s">
        <v>303</v>
      </c>
      <c r="R215" s="147" t="s">
        <v>303</v>
      </c>
      <c r="S215" s="147" t="s">
        <v>303</v>
      </c>
      <c r="T215" s="147" t="s">
        <v>303</v>
      </c>
      <c r="U215" s="147" t="s">
        <v>303</v>
      </c>
      <c r="V215" s="148" t="s">
        <v>299</v>
      </c>
      <c r="W215" s="149" t="s">
        <v>299</v>
      </c>
      <c r="X215" s="150" t="s">
        <v>299</v>
      </c>
      <c r="Y215" s="151" t="s">
        <v>299</v>
      </c>
      <c r="Z215" s="152" t="s">
        <v>304</v>
      </c>
      <c r="AA215" s="153" t="s">
        <v>299</v>
      </c>
      <c r="AB215" s="153" t="s">
        <v>299</v>
      </c>
      <c r="AC215" s="153" t="s">
        <v>299</v>
      </c>
      <c r="AD215" s="154" t="s">
        <v>299</v>
      </c>
      <c r="AE215" s="155" t="s">
        <v>299</v>
      </c>
      <c r="AF215" s="155">
        <f>AH215/1.19</f>
        <v>1113924.3697478992</v>
      </c>
      <c r="AG215" s="155">
        <f>AF215*19%</f>
        <v>211645.63025210085</v>
      </c>
      <c r="AH215" s="155">
        <v>1325570</v>
      </c>
      <c r="AI215" s="156" t="s">
        <v>299</v>
      </c>
      <c r="AJ215" s="157" t="s">
        <v>299</v>
      </c>
      <c r="AK215" s="158" t="s">
        <v>299</v>
      </c>
      <c r="AL215" s="159" t="s">
        <v>299</v>
      </c>
      <c r="AM215" s="160" t="s">
        <v>305</v>
      </c>
      <c r="AN215" s="161" t="s">
        <v>299</v>
      </c>
      <c r="AO215" s="161" t="s">
        <v>299</v>
      </c>
      <c r="AP215" s="162" t="s">
        <v>299</v>
      </c>
      <c r="AQ215" s="163">
        <v>1097462</v>
      </c>
      <c r="AR215" s="164">
        <v>208518</v>
      </c>
      <c r="AS215" s="164">
        <v>1305980</v>
      </c>
      <c r="AT215" s="164">
        <v>1097462</v>
      </c>
      <c r="AU215" s="164">
        <v>1305980</v>
      </c>
      <c r="AV215" s="165">
        <f t="shared" si="135"/>
        <v>1209952</v>
      </c>
      <c r="AW215" s="165">
        <f t="shared" si="136"/>
        <v>1209952</v>
      </c>
      <c r="AX215" s="165" t="str">
        <f t="shared" si="137"/>
        <v/>
      </c>
      <c r="AY215" s="166">
        <v>1.0500000000000001E-2</v>
      </c>
      <c r="AZ215" s="5"/>
      <c r="BA215" s="7"/>
      <c r="BB215" s="7"/>
    </row>
    <row r="216" spans="1:54" ht="409.5" x14ac:dyDescent="0.25">
      <c r="A216" s="137" t="s">
        <v>299</v>
      </c>
      <c r="B216" s="137" t="s">
        <v>299</v>
      </c>
      <c r="C216" s="137" t="s">
        <v>299</v>
      </c>
      <c r="D216" s="137" t="s">
        <v>1013</v>
      </c>
      <c r="E216" s="138" t="s">
        <v>1014</v>
      </c>
      <c r="F216" s="139" t="s">
        <v>302</v>
      </c>
      <c r="G216" s="140">
        <v>1</v>
      </c>
      <c r="H216" s="139"/>
      <c r="I216" s="141"/>
      <c r="J216" s="142"/>
      <c r="K216" s="143"/>
      <c r="L216" s="144"/>
      <c r="M216" s="142"/>
      <c r="N216" s="145"/>
      <c r="O216" s="145"/>
      <c r="P216" s="145"/>
      <c r="Q216" s="146" t="s">
        <v>303</v>
      </c>
      <c r="R216" s="147" t="s">
        <v>303</v>
      </c>
      <c r="S216" s="147" t="s">
        <v>303</v>
      </c>
      <c r="T216" s="147" t="s">
        <v>303</v>
      </c>
      <c r="U216" s="147" t="s">
        <v>303</v>
      </c>
      <c r="V216" s="148" t="s">
        <v>299</v>
      </c>
      <c r="W216" s="149" t="s">
        <v>299</v>
      </c>
      <c r="X216" s="150" t="s">
        <v>299</v>
      </c>
      <c r="Y216" s="151" t="s">
        <v>299</v>
      </c>
      <c r="Z216" s="152" t="s">
        <v>304</v>
      </c>
      <c r="AA216" s="153" t="s">
        <v>299</v>
      </c>
      <c r="AB216" s="153" t="s">
        <v>299</v>
      </c>
      <c r="AC216" s="153" t="s">
        <v>299</v>
      </c>
      <c r="AD216" s="154" t="s">
        <v>299</v>
      </c>
      <c r="AE216" s="155" t="s">
        <v>299</v>
      </c>
      <c r="AF216" s="155">
        <f>AH216/1.19</f>
        <v>1175352.9411764706</v>
      </c>
      <c r="AG216" s="155">
        <f>AF216*19%</f>
        <v>223317.05882352943</v>
      </c>
      <c r="AH216" s="155">
        <v>1398670</v>
      </c>
      <c r="AI216" s="156" t="s">
        <v>299</v>
      </c>
      <c r="AJ216" s="157" t="s">
        <v>299</v>
      </c>
      <c r="AK216" s="158" t="s">
        <v>299</v>
      </c>
      <c r="AL216" s="159" t="s">
        <v>299</v>
      </c>
      <c r="AM216" s="160" t="s">
        <v>305</v>
      </c>
      <c r="AN216" s="161" t="s">
        <v>299</v>
      </c>
      <c r="AO216" s="161" t="s">
        <v>299</v>
      </c>
      <c r="AP216" s="162" t="s">
        <v>299</v>
      </c>
      <c r="AQ216" s="163">
        <v>1157983</v>
      </c>
      <c r="AR216" s="164">
        <v>220017</v>
      </c>
      <c r="AS216" s="164">
        <v>1378000</v>
      </c>
      <c r="AT216" s="164">
        <v>1157983</v>
      </c>
      <c r="AU216" s="164">
        <v>1378000</v>
      </c>
      <c r="AV216" s="165">
        <f t="shared" si="135"/>
        <v>1276676</v>
      </c>
      <c r="AW216" s="165">
        <f t="shared" si="136"/>
        <v>1276676</v>
      </c>
      <c r="AX216" s="165" t="str">
        <f t="shared" si="137"/>
        <v/>
      </c>
      <c r="AY216" s="166">
        <v>1.0500000000000001E-2</v>
      </c>
      <c r="AZ216" s="5"/>
      <c r="BA216" s="7"/>
      <c r="BB216" s="7"/>
    </row>
    <row r="217" spans="1:54" ht="409.5" x14ac:dyDescent="0.25">
      <c r="A217" s="137" t="s">
        <v>229</v>
      </c>
      <c r="B217" s="137" t="s">
        <v>288</v>
      </c>
      <c r="C217" s="137">
        <v>78111803</v>
      </c>
      <c r="D217" s="137" t="s">
        <v>1015</v>
      </c>
      <c r="E217" s="138" t="s">
        <v>1016</v>
      </c>
      <c r="F217" s="139" t="s">
        <v>317</v>
      </c>
      <c r="G217" s="140">
        <v>1</v>
      </c>
      <c r="H217" s="139" t="s">
        <v>335</v>
      </c>
      <c r="I217" s="141" t="s">
        <v>234</v>
      </c>
      <c r="J217" s="142">
        <v>46085</v>
      </c>
      <c r="K217" s="143" t="s">
        <v>1017</v>
      </c>
      <c r="L217" s="144" t="s">
        <v>241</v>
      </c>
      <c r="M217" s="142" t="s">
        <v>1018</v>
      </c>
      <c r="N217" s="145">
        <v>468000</v>
      </c>
      <c r="O217" s="145" t="s">
        <v>245</v>
      </c>
      <c r="P217" s="145" t="s">
        <v>265</v>
      </c>
      <c r="Q217" s="146">
        <f t="shared" ref="Q217:Q230" si="151">IF(O217="IVA Incluido",(N217/1.19),N217)</f>
        <v>468000</v>
      </c>
      <c r="R217" s="147">
        <f t="shared" ref="R217:R230" si="152">IF(P217="Si tiene IVA",Q217*19%,0)</f>
        <v>0</v>
      </c>
      <c r="S217" s="147">
        <f t="shared" ref="S217:S230" si="153">Q217+R217</f>
        <v>468000</v>
      </c>
      <c r="T217" s="147">
        <f t="shared" ref="T217:T229" si="154">IF(B217="","",(N217*G217))</f>
        <v>468000</v>
      </c>
      <c r="U217" s="147">
        <f t="shared" ref="U217:U230" si="155">IF(B217="","",(S217*G217))</f>
        <v>468000</v>
      </c>
      <c r="V217" s="148" t="s">
        <v>428</v>
      </c>
      <c r="W217" s="149">
        <v>46140</v>
      </c>
      <c r="X217" s="150" t="s">
        <v>1019</v>
      </c>
      <c r="Y217" s="151" t="s">
        <v>241</v>
      </c>
      <c r="Z217" s="152" t="s">
        <v>1020</v>
      </c>
      <c r="AA217" s="153">
        <v>536000</v>
      </c>
      <c r="AB217" s="153" t="s">
        <v>245</v>
      </c>
      <c r="AC217" s="153" t="s">
        <v>265</v>
      </c>
      <c r="AD217" s="154">
        <f>IF(AB217="IVA Incluido",(AA217/1.19),IF(AB217="Ipoconsumo Incluido",(AA217/1.08),AA217))</f>
        <v>536000</v>
      </c>
      <c r="AE217" s="155">
        <f t="shared" ref="AE217:AE230" si="156">IF(AC217="Si tiene IVA",AD217*19%,0)</f>
        <v>0</v>
      </c>
      <c r="AF217" s="155">
        <f t="shared" ref="AF217:AF230" si="157">AD217+AE217</f>
        <v>536000</v>
      </c>
      <c r="AG217" s="155">
        <f t="shared" ref="AG217:AG222" si="158">IF(O217="","",(AA217*G217))</f>
        <v>536000</v>
      </c>
      <c r="AH217" s="155">
        <f t="shared" ref="AH217:AH222" si="159">IF(O217="","",(AF217*G217))</f>
        <v>536000</v>
      </c>
      <c r="AI217" s="156" t="s">
        <v>428</v>
      </c>
      <c r="AJ217" s="157">
        <v>46140</v>
      </c>
      <c r="AK217" s="158" t="s">
        <v>1021</v>
      </c>
      <c r="AL217" s="159" t="s">
        <v>241</v>
      </c>
      <c r="AM217" s="160" t="s">
        <v>1022</v>
      </c>
      <c r="AN217" s="161">
        <v>700000</v>
      </c>
      <c r="AO217" s="161" t="s">
        <v>245</v>
      </c>
      <c r="AP217" s="162" t="s">
        <v>265</v>
      </c>
      <c r="AQ217" s="163">
        <f>IF(AO217="IVA Incluido",(AN217/1.19),IF(AO217="Ipoconsumo Incluido",(AN217/1.08),AN217))</f>
        <v>700000</v>
      </c>
      <c r="AR217" s="164">
        <f>IF(AP217="Si tiene IVA",AQ217*19%,0)</f>
        <v>0</v>
      </c>
      <c r="AS217" s="164">
        <f>AQ217+AR217</f>
        <v>700000</v>
      </c>
      <c r="AT217" s="164">
        <f>IF(AB217="","",(AN217*G217))</f>
        <v>700000</v>
      </c>
      <c r="AU217" s="164">
        <f>IF(AB217="","",(AS217*G217))</f>
        <v>700000</v>
      </c>
      <c r="AV217" s="165">
        <f t="shared" si="135"/>
        <v>568000</v>
      </c>
      <c r="AW217" s="165">
        <f t="shared" si="136"/>
        <v>568000</v>
      </c>
      <c r="AX217" s="165">
        <f t="shared" si="137"/>
        <v>119264</v>
      </c>
      <c r="AY217" s="166">
        <f t="shared" ref="AY217:AY230" si="160">IF(N217="","",(AX217/AW217))</f>
        <v>0.20997183098591549</v>
      </c>
      <c r="AZ217" s="5"/>
      <c r="BA217" s="7">
        <f t="shared" ref="BA217:BA230" si="161">COUNTA(M217,Z217,AM217)</f>
        <v>3</v>
      </c>
      <c r="BB217" s="7" t="s">
        <v>348</v>
      </c>
    </row>
    <row r="218" spans="1:54" ht="409.5" x14ac:dyDescent="0.25">
      <c r="A218" s="137" t="s">
        <v>229</v>
      </c>
      <c r="B218" s="137" t="s">
        <v>288</v>
      </c>
      <c r="C218" s="137">
        <v>78111803</v>
      </c>
      <c r="D218" s="137" t="s">
        <v>1023</v>
      </c>
      <c r="E218" s="138" t="s">
        <v>1016</v>
      </c>
      <c r="F218" s="139" t="s">
        <v>317</v>
      </c>
      <c r="G218" s="140">
        <v>1</v>
      </c>
      <c r="H218" s="139" t="s">
        <v>335</v>
      </c>
      <c r="I218" s="141" t="s">
        <v>234</v>
      </c>
      <c r="J218" s="142">
        <v>46085</v>
      </c>
      <c r="K218" s="143" t="s">
        <v>1024</v>
      </c>
      <c r="L218" s="144" t="s">
        <v>236</v>
      </c>
      <c r="M218" s="142" t="s">
        <v>1025</v>
      </c>
      <c r="N218" s="145">
        <v>385000</v>
      </c>
      <c r="O218" s="145" t="s">
        <v>245</v>
      </c>
      <c r="P218" s="145" t="s">
        <v>265</v>
      </c>
      <c r="Q218" s="146">
        <f t="shared" si="151"/>
        <v>385000</v>
      </c>
      <c r="R218" s="147">
        <f t="shared" si="152"/>
        <v>0</v>
      </c>
      <c r="S218" s="147">
        <f t="shared" si="153"/>
        <v>385000</v>
      </c>
      <c r="T218" s="147">
        <f t="shared" si="154"/>
        <v>385000</v>
      </c>
      <c r="U218" s="147">
        <f t="shared" si="155"/>
        <v>385000</v>
      </c>
      <c r="V218" s="148" t="s">
        <v>428</v>
      </c>
      <c r="W218" s="149">
        <v>46140</v>
      </c>
      <c r="X218" s="150" t="s">
        <v>1021</v>
      </c>
      <c r="Y218" s="151" t="s">
        <v>241</v>
      </c>
      <c r="Z218" s="152" t="s">
        <v>1022</v>
      </c>
      <c r="AA218" s="153">
        <v>350000</v>
      </c>
      <c r="AB218" s="153" t="s">
        <v>245</v>
      </c>
      <c r="AC218" s="153" t="s">
        <v>265</v>
      </c>
      <c r="AD218" s="154">
        <f>IF(AB218="IVA Incluido",(AA218/1.19),AA218)</f>
        <v>350000</v>
      </c>
      <c r="AE218" s="155">
        <f t="shared" si="156"/>
        <v>0</v>
      </c>
      <c r="AF218" s="155">
        <f t="shared" si="157"/>
        <v>350000</v>
      </c>
      <c r="AG218" s="155">
        <f t="shared" si="158"/>
        <v>350000</v>
      </c>
      <c r="AH218" s="155">
        <f t="shared" si="159"/>
        <v>350000</v>
      </c>
      <c r="AI218" s="156" t="s">
        <v>504</v>
      </c>
      <c r="AJ218" s="157">
        <v>46149</v>
      </c>
      <c r="AK218" s="158" t="s">
        <v>1017</v>
      </c>
      <c r="AL218" s="159" t="s">
        <v>236</v>
      </c>
      <c r="AM218" s="160" t="s">
        <v>1017</v>
      </c>
      <c r="AN218" s="161">
        <v>285000</v>
      </c>
      <c r="AO218" s="161" t="s">
        <v>245</v>
      </c>
      <c r="AP218" s="162" t="s">
        <v>265</v>
      </c>
      <c r="AQ218" s="163">
        <f>IF(AO218="IVA Incluido",(AN218/1.19),AN218)</f>
        <v>285000</v>
      </c>
      <c r="AR218" s="164">
        <f>IF(AP218="Si tiene IVA",AQ218*19%,0)</f>
        <v>0</v>
      </c>
      <c r="AS218" s="164">
        <f>AQ218+AR218</f>
        <v>285000</v>
      </c>
      <c r="AT218" s="164">
        <f>IF(AB218="","",(AN218*G218))</f>
        <v>285000</v>
      </c>
      <c r="AU218" s="164">
        <f>IF(AB218="","",(AS218*G218))</f>
        <v>285000</v>
      </c>
      <c r="AV218" s="165">
        <f t="shared" si="135"/>
        <v>340000</v>
      </c>
      <c r="AW218" s="165">
        <f t="shared" si="136"/>
        <v>340000</v>
      </c>
      <c r="AX218" s="165">
        <f t="shared" si="137"/>
        <v>50744</v>
      </c>
      <c r="AY218" s="166">
        <f t="shared" si="160"/>
        <v>0.1492470588235294</v>
      </c>
      <c r="AZ218" s="5"/>
      <c r="BA218" s="7">
        <f t="shared" si="161"/>
        <v>3</v>
      </c>
      <c r="BB218" s="7" t="s">
        <v>348</v>
      </c>
    </row>
    <row r="219" spans="1:54" ht="409.5" x14ac:dyDescent="0.25">
      <c r="A219" s="137" t="s">
        <v>229</v>
      </c>
      <c r="B219" s="137" t="s">
        <v>288</v>
      </c>
      <c r="C219" s="137">
        <v>78111803</v>
      </c>
      <c r="D219" s="137" t="s">
        <v>1026</v>
      </c>
      <c r="E219" s="138" t="s">
        <v>1027</v>
      </c>
      <c r="F219" s="139" t="s">
        <v>317</v>
      </c>
      <c r="G219" s="140">
        <v>1</v>
      </c>
      <c r="H219" s="139" t="s">
        <v>335</v>
      </c>
      <c r="I219" s="141" t="s">
        <v>234</v>
      </c>
      <c r="J219" s="142">
        <v>46085</v>
      </c>
      <c r="K219" s="143" t="s">
        <v>1017</v>
      </c>
      <c r="L219" s="144" t="s">
        <v>241</v>
      </c>
      <c r="M219" s="142" t="s">
        <v>1018</v>
      </c>
      <c r="N219" s="145">
        <v>715000</v>
      </c>
      <c r="O219" s="145" t="s">
        <v>245</v>
      </c>
      <c r="P219" s="145" t="s">
        <v>265</v>
      </c>
      <c r="Q219" s="146">
        <f t="shared" si="151"/>
        <v>715000</v>
      </c>
      <c r="R219" s="147">
        <f t="shared" si="152"/>
        <v>0</v>
      </c>
      <c r="S219" s="147">
        <f t="shared" si="153"/>
        <v>715000</v>
      </c>
      <c r="T219" s="147">
        <f t="shared" si="154"/>
        <v>715000</v>
      </c>
      <c r="U219" s="147">
        <f t="shared" si="155"/>
        <v>715000</v>
      </c>
      <c r="V219" s="148" t="s">
        <v>234</v>
      </c>
      <c r="W219" s="149">
        <v>46085</v>
      </c>
      <c r="X219" s="150" t="s">
        <v>1024</v>
      </c>
      <c r="Y219" s="151" t="s">
        <v>236</v>
      </c>
      <c r="Z219" s="152" t="s">
        <v>1025</v>
      </c>
      <c r="AA219" s="153">
        <v>715000</v>
      </c>
      <c r="AB219" s="153" t="s">
        <v>245</v>
      </c>
      <c r="AC219" s="153" t="s">
        <v>265</v>
      </c>
      <c r="AD219" s="154">
        <f>IF(AB219="IVA Incluido",(AA219/1.19),AA219)</f>
        <v>715000</v>
      </c>
      <c r="AE219" s="155">
        <f t="shared" si="156"/>
        <v>0</v>
      </c>
      <c r="AF219" s="155">
        <f t="shared" si="157"/>
        <v>715000</v>
      </c>
      <c r="AG219" s="155">
        <f t="shared" si="158"/>
        <v>715000</v>
      </c>
      <c r="AH219" s="155">
        <f t="shared" si="159"/>
        <v>715000</v>
      </c>
      <c r="AI219" s="156"/>
      <c r="AJ219" s="157"/>
      <c r="AK219" s="158"/>
      <c r="AL219" s="159"/>
      <c r="AM219" s="160"/>
      <c r="AN219" s="161"/>
      <c r="AO219" s="161"/>
      <c r="AP219" s="162"/>
      <c r="AQ219" s="163"/>
      <c r="AR219" s="164"/>
      <c r="AS219" s="164"/>
      <c r="AT219" s="164"/>
      <c r="AU219" s="164"/>
      <c r="AV219" s="165">
        <f t="shared" si="135"/>
        <v>715000</v>
      </c>
      <c r="AW219" s="165">
        <f t="shared" si="136"/>
        <v>715000</v>
      </c>
      <c r="AX219" s="165">
        <f t="shared" si="137"/>
        <v>0</v>
      </c>
      <c r="AY219" s="166">
        <f t="shared" si="160"/>
        <v>0</v>
      </c>
      <c r="AZ219" s="5"/>
      <c r="BA219" s="7">
        <f t="shared" si="161"/>
        <v>2</v>
      </c>
      <c r="BB219" s="7" t="s">
        <v>605</v>
      </c>
    </row>
    <row r="220" spans="1:54" ht="409.5" x14ac:dyDescent="0.25">
      <c r="A220" s="137" t="s">
        <v>229</v>
      </c>
      <c r="B220" s="137" t="s">
        <v>288</v>
      </c>
      <c r="C220" s="137">
        <v>78111803</v>
      </c>
      <c r="D220" s="137" t="s">
        <v>1028</v>
      </c>
      <c r="E220" s="138" t="s">
        <v>1027</v>
      </c>
      <c r="F220" s="139" t="s">
        <v>317</v>
      </c>
      <c r="G220" s="140">
        <v>1</v>
      </c>
      <c r="H220" s="139" t="s">
        <v>335</v>
      </c>
      <c r="I220" s="141" t="s">
        <v>234</v>
      </c>
      <c r="J220" s="142">
        <v>46085</v>
      </c>
      <c r="K220" s="143" t="s">
        <v>1017</v>
      </c>
      <c r="L220" s="144" t="s">
        <v>241</v>
      </c>
      <c r="M220" s="142" t="s">
        <v>1018</v>
      </c>
      <c r="N220" s="145">
        <v>390000</v>
      </c>
      <c r="O220" s="145" t="s">
        <v>245</v>
      </c>
      <c r="P220" s="145" t="s">
        <v>265</v>
      </c>
      <c r="Q220" s="146">
        <f t="shared" si="151"/>
        <v>390000</v>
      </c>
      <c r="R220" s="147">
        <f t="shared" si="152"/>
        <v>0</v>
      </c>
      <c r="S220" s="147">
        <f t="shared" si="153"/>
        <v>390000</v>
      </c>
      <c r="T220" s="147">
        <f t="shared" si="154"/>
        <v>390000</v>
      </c>
      <c r="U220" s="147">
        <f t="shared" si="155"/>
        <v>390000</v>
      </c>
      <c r="V220" s="148" t="s">
        <v>428</v>
      </c>
      <c r="W220" s="149">
        <v>46141</v>
      </c>
      <c r="X220" s="150" t="s">
        <v>1021</v>
      </c>
      <c r="Y220" s="151" t="s">
        <v>241</v>
      </c>
      <c r="Z220" s="152" t="s">
        <v>1022</v>
      </c>
      <c r="AA220" s="153">
        <v>510000</v>
      </c>
      <c r="AB220" s="153" t="s">
        <v>245</v>
      </c>
      <c r="AC220" s="153" t="s">
        <v>265</v>
      </c>
      <c r="AD220" s="154">
        <f>IF(AB220="IVA Incluido",(AA220/1.19),AA220)</f>
        <v>510000</v>
      </c>
      <c r="AE220" s="155">
        <f t="shared" si="156"/>
        <v>0</v>
      </c>
      <c r="AF220" s="155">
        <f t="shared" si="157"/>
        <v>510000</v>
      </c>
      <c r="AG220" s="155">
        <f t="shared" si="158"/>
        <v>510000</v>
      </c>
      <c r="AH220" s="155">
        <f t="shared" si="159"/>
        <v>510000</v>
      </c>
      <c r="AI220" s="156"/>
      <c r="AJ220" s="157"/>
      <c r="AK220" s="158"/>
      <c r="AL220" s="159"/>
      <c r="AM220" s="160"/>
      <c r="AN220" s="161"/>
      <c r="AO220" s="161"/>
      <c r="AP220" s="162"/>
      <c r="AQ220" s="163"/>
      <c r="AR220" s="164"/>
      <c r="AS220" s="164"/>
      <c r="AT220" s="164"/>
      <c r="AU220" s="164"/>
      <c r="AV220" s="165">
        <f t="shared" si="135"/>
        <v>450000</v>
      </c>
      <c r="AW220" s="165">
        <f t="shared" si="136"/>
        <v>450000</v>
      </c>
      <c r="AX220" s="165">
        <f t="shared" si="137"/>
        <v>84853</v>
      </c>
      <c r="AY220" s="166">
        <f t="shared" si="160"/>
        <v>0.18856222222222221</v>
      </c>
      <c r="AZ220" s="5" t="s">
        <v>1029</v>
      </c>
      <c r="BA220" s="7">
        <f t="shared" si="161"/>
        <v>2</v>
      </c>
      <c r="BB220" s="7" t="s">
        <v>605</v>
      </c>
    </row>
    <row r="221" spans="1:54" ht="409.5" x14ac:dyDescent="0.25">
      <c r="A221" s="137" t="s">
        <v>229</v>
      </c>
      <c r="B221" s="137" t="s">
        <v>288</v>
      </c>
      <c r="C221" s="137">
        <v>78111803</v>
      </c>
      <c r="D221" s="137" t="s">
        <v>1030</v>
      </c>
      <c r="E221" s="138" t="s">
        <v>1031</v>
      </c>
      <c r="F221" s="139" t="s">
        <v>317</v>
      </c>
      <c r="G221" s="140">
        <v>1</v>
      </c>
      <c r="H221" s="139" t="s">
        <v>335</v>
      </c>
      <c r="I221" s="141" t="s">
        <v>234</v>
      </c>
      <c r="J221" s="142">
        <v>46085</v>
      </c>
      <c r="K221" s="143" t="s">
        <v>1017</v>
      </c>
      <c r="L221" s="144" t="s">
        <v>241</v>
      </c>
      <c r="M221" s="142" t="s">
        <v>1018</v>
      </c>
      <c r="N221" s="145">
        <v>850000</v>
      </c>
      <c r="O221" s="145" t="s">
        <v>245</v>
      </c>
      <c r="P221" s="145" t="s">
        <v>265</v>
      </c>
      <c r="Q221" s="146">
        <f t="shared" si="151"/>
        <v>850000</v>
      </c>
      <c r="R221" s="147">
        <f t="shared" si="152"/>
        <v>0</v>
      </c>
      <c r="S221" s="147">
        <f t="shared" si="153"/>
        <v>850000</v>
      </c>
      <c r="T221" s="147">
        <f t="shared" si="154"/>
        <v>850000</v>
      </c>
      <c r="U221" s="147">
        <f t="shared" si="155"/>
        <v>850000</v>
      </c>
      <c r="V221" s="148" t="s">
        <v>234</v>
      </c>
      <c r="W221" s="149">
        <v>46085</v>
      </c>
      <c r="X221" s="150" t="s">
        <v>1024</v>
      </c>
      <c r="Y221" s="151" t="s">
        <v>236</v>
      </c>
      <c r="Z221" s="152" t="s">
        <v>1025</v>
      </c>
      <c r="AA221" s="153">
        <v>790000</v>
      </c>
      <c r="AB221" s="153" t="s">
        <v>245</v>
      </c>
      <c r="AC221" s="153" t="s">
        <v>265</v>
      </c>
      <c r="AD221" s="154">
        <f>IF(AB221="IVA Incluido",(AA221/1.19),AA221)</f>
        <v>790000</v>
      </c>
      <c r="AE221" s="155">
        <f t="shared" si="156"/>
        <v>0</v>
      </c>
      <c r="AF221" s="155">
        <f t="shared" si="157"/>
        <v>790000</v>
      </c>
      <c r="AG221" s="155">
        <f t="shared" si="158"/>
        <v>790000</v>
      </c>
      <c r="AH221" s="155">
        <f t="shared" si="159"/>
        <v>790000</v>
      </c>
      <c r="AI221" s="156"/>
      <c r="AJ221" s="157"/>
      <c r="AK221" s="158"/>
      <c r="AL221" s="159"/>
      <c r="AM221" s="160"/>
      <c r="AN221" s="161"/>
      <c r="AO221" s="161"/>
      <c r="AP221" s="162"/>
      <c r="AQ221" s="163"/>
      <c r="AR221" s="164"/>
      <c r="AS221" s="164"/>
      <c r="AT221" s="164"/>
      <c r="AU221" s="164"/>
      <c r="AV221" s="165">
        <f t="shared" si="135"/>
        <v>820000</v>
      </c>
      <c r="AW221" s="165">
        <f t="shared" si="136"/>
        <v>820000</v>
      </c>
      <c r="AX221" s="165">
        <f t="shared" si="137"/>
        <v>42426</v>
      </c>
      <c r="AY221" s="166">
        <f t="shared" si="160"/>
        <v>5.1739024390243901E-2</v>
      </c>
      <c r="AZ221" s="5"/>
      <c r="BA221" s="7">
        <f t="shared" si="161"/>
        <v>2</v>
      </c>
      <c r="BB221" s="7" t="s">
        <v>605</v>
      </c>
    </row>
    <row r="222" spans="1:54" ht="409.5" x14ac:dyDescent="0.25">
      <c r="A222" s="137" t="s">
        <v>229</v>
      </c>
      <c r="B222" s="137" t="s">
        <v>288</v>
      </c>
      <c r="C222" s="137">
        <v>78111803</v>
      </c>
      <c r="D222" s="137" t="s">
        <v>1032</v>
      </c>
      <c r="E222" s="138" t="s">
        <v>1033</v>
      </c>
      <c r="F222" s="139" t="s">
        <v>317</v>
      </c>
      <c r="G222" s="140">
        <v>1</v>
      </c>
      <c r="H222" s="139" t="s">
        <v>335</v>
      </c>
      <c r="I222" s="141" t="s">
        <v>234</v>
      </c>
      <c r="J222" s="142">
        <v>46085</v>
      </c>
      <c r="K222" s="143" t="s">
        <v>1024</v>
      </c>
      <c r="L222" s="144" t="s">
        <v>236</v>
      </c>
      <c r="M222" s="142" t="s">
        <v>1025</v>
      </c>
      <c r="N222" s="145">
        <v>590000</v>
      </c>
      <c r="O222" s="145" t="s">
        <v>245</v>
      </c>
      <c r="P222" s="145" t="s">
        <v>265</v>
      </c>
      <c r="Q222" s="146">
        <f t="shared" si="151"/>
        <v>590000</v>
      </c>
      <c r="R222" s="147">
        <f t="shared" si="152"/>
        <v>0</v>
      </c>
      <c r="S222" s="147">
        <f t="shared" si="153"/>
        <v>590000</v>
      </c>
      <c r="T222" s="147">
        <f t="shared" si="154"/>
        <v>590000</v>
      </c>
      <c r="U222" s="147">
        <f t="shared" si="155"/>
        <v>590000</v>
      </c>
      <c r="V222" s="148" t="s">
        <v>428</v>
      </c>
      <c r="W222" s="149">
        <v>46140</v>
      </c>
      <c r="X222" s="150" t="s">
        <v>1021</v>
      </c>
      <c r="Y222" s="151" t="s">
        <v>1034</v>
      </c>
      <c r="Z222" s="152" t="s">
        <v>1035</v>
      </c>
      <c r="AA222" s="153">
        <v>570000</v>
      </c>
      <c r="AB222" s="153" t="s">
        <v>245</v>
      </c>
      <c r="AC222" s="153" t="s">
        <v>265</v>
      </c>
      <c r="AD222" s="154">
        <f>IF(AB222="IVA Incluido",(AA222/1.19),AA222)</f>
        <v>570000</v>
      </c>
      <c r="AE222" s="155">
        <f t="shared" si="156"/>
        <v>0</v>
      </c>
      <c r="AF222" s="155">
        <f t="shared" si="157"/>
        <v>570000</v>
      </c>
      <c r="AG222" s="155">
        <f t="shared" si="158"/>
        <v>570000</v>
      </c>
      <c r="AH222" s="155">
        <f t="shared" si="159"/>
        <v>570000</v>
      </c>
      <c r="AI222" s="156" t="s">
        <v>504</v>
      </c>
      <c r="AJ222" s="157">
        <v>46149</v>
      </c>
      <c r="AK222" s="158" t="s">
        <v>1017</v>
      </c>
      <c r="AL222" s="159" t="s">
        <v>236</v>
      </c>
      <c r="AM222" s="160" t="s">
        <v>1017</v>
      </c>
      <c r="AN222" s="161">
        <v>466000</v>
      </c>
      <c r="AO222" s="161" t="s">
        <v>245</v>
      </c>
      <c r="AP222" s="162" t="s">
        <v>265</v>
      </c>
      <c r="AQ222" s="163">
        <f t="shared" ref="AQ222:AQ227" si="162">IF(AO222="IVA Incluido",(AN222/1.19),AN222)</f>
        <v>466000</v>
      </c>
      <c r="AR222" s="164">
        <f t="shared" ref="AR222:AR227" si="163">IF(AP222="Si tiene IVA",AQ222*19%,0)</f>
        <v>0</v>
      </c>
      <c r="AS222" s="164">
        <f t="shared" ref="AS222:AS227" si="164">AQ222+AR222</f>
        <v>466000</v>
      </c>
      <c r="AT222" s="164">
        <f t="shared" ref="AT222:AT227" si="165">IF(AB222="","",(AN222*G222))</f>
        <v>466000</v>
      </c>
      <c r="AU222" s="164">
        <f t="shared" ref="AU222:AU227" si="166">IF(AB222="","",(AS222*G222))</f>
        <v>466000</v>
      </c>
      <c r="AV222" s="165">
        <f t="shared" si="135"/>
        <v>542000</v>
      </c>
      <c r="AW222" s="165">
        <f t="shared" si="136"/>
        <v>542000</v>
      </c>
      <c r="AX222" s="165">
        <f t="shared" si="137"/>
        <v>66573</v>
      </c>
      <c r="AY222" s="166">
        <f t="shared" si="160"/>
        <v>0.12282841328413284</v>
      </c>
      <c r="AZ222" s="5"/>
      <c r="BA222" s="7">
        <f t="shared" si="161"/>
        <v>3</v>
      </c>
      <c r="BB222" s="7" t="s">
        <v>348</v>
      </c>
    </row>
    <row r="223" spans="1:54" ht="409.5" x14ac:dyDescent="0.25">
      <c r="A223" s="137" t="s">
        <v>229</v>
      </c>
      <c r="B223" s="137" t="s">
        <v>288</v>
      </c>
      <c r="C223" s="137">
        <v>78111803</v>
      </c>
      <c r="D223" s="137" t="s">
        <v>1036</v>
      </c>
      <c r="E223" s="138" t="s">
        <v>1016</v>
      </c>
      <c r="F223" s="139" t="s">
        <v>233</v>
      </c>
      <c r="G223" s="140">
        <v>1</v>
      </c>
      <c r="H223" s="139" t="s">
        <v>51</v>
      </c>
      <c r="I223" s="141" t="s">
        <v>234</v>
      </c>
      <c r="J223" s="142">
        <v>46085</v>
      </c>
      <c r="K223" s="143" t="s">
        <v>1017</v>
      </c>
      <c r="L223" s="144" t="s">
        <v>241</v>
      </c>
      <c r="M223" s="142" t="s">
        <v>1018</v>
      </c>
      <c r="N223" s="145">
        <v>317000</v>
      </c>
      <c r="O223" s="145" t="s">
        <v>245</v>
      </c>
      <c r="P223" s="145" t="s">
        <v>265</v>
      </c>
      <c r="Q223" s="146">
        <f t="shared" si="151"/>
        <v>317000</v>
      </c>
      <c r="R223" s="147">
        <f t="shared" si="152"/>
        <v>0</v>
      </c>
      <c r="S223" s="147">
        <f t="shared" si="153"/>
        <v>317000</v>
      </c>
      <c r="T223" s="147">
        <f t="shared" si="154"/>
        <v>317000</v>
      </c>
      <c r="U223" s="147">
        <f t="shared" si="155"/>
        <v>317000</v>
      </c>
      <c r="V223" s="148" t="s">
        <v>428</v>
      </c>
      <c r="W223" s="149">
        <v>46140</v>
      </c>
      <c r="X223" s="150" t="s">
        <v>1021</v>
      </c>
      <c r="Y223" s="151" t="s">
        <v>1037</v>
      </c>
      <c r="Z223" s="152" t="s">
        <v>1022</v>
      </c>
      <c r="AA223" s="153">
        <v>350000</v>
      </c>
      <c r="AB223" s="153" t="s">
        <v>245</v>
      </c>
      <c r="AC223" s="153" t="s">
        <v>265</v>
      </c>
      <c r="AD223" s="154">
        <f>IF(AB223="IVA Incluido",(AA223/1.19),IF(AB223="Ipoconsumo Incluido",(AA223/1.08),AA223))</f>
        <v>350000</v>
      </c>
      <c r="AE223" s="155">
        <f t="shared" si="156"/>
        <v>0</v>
      </c>
      <c r="AF223" s="155">
        <f t="shared" si="157"/>
        <v>350000</v>
      </c>
      <c r="AG223" s="155">
        <f>IF(AB223="","",(AA223*G223))</f>
        <v>350000</v>
      </c>
      <c r="AH223" s="155">
        <f>IF(AB223="","",(AF223*G223))</f>
        <v>350000</v>
      </c>
      <c r="AI223" s="156"/>
      <c r="AJ223" s="157"/>
      <c r="AK223" s="158"/>
      <c r="AL223" s="159"/>
      <c r="AM223" s="160"/>
      <c r="AN223" s="161"/>
      <c r="AO223" s="161"/>
      <c r="AP223" s="162"/>
      <c r="AQ223" s="163">
        <f t="shared" si="162"/>
        <v>0</v>
      </c>
      <c r="AR223" s="164">
        <f t="shared" si="163"/>
        <v>0</v>
      </c>
      <c r="AS223" s="164">
        <f t="shared" si="164"/>
        <v>0</v>
      </c>
      <c r="AT223" s="164">
        <f t="shared" si="165"/>
        <v>0</v>
      </c>
      <c r="AU223" s="164">
        <f t="shared" si="166"/>
        <v>0</v>
      </c>
      <c r="AV223" s="165">
        <f t="shared" si="135"/>
        <v>222333</v>
      </c>
      <c r="AW223" s="165">
        <f t="shared" si="136"/>
        <v>222333</v>
      </c>
      <c r="AX223" s="165">
        <f t="shared" si="137"/>
        <v>193252</v>
      </c>
      <c r="AY223" s="166">
        <f t="shared" si="160"/>
        <v>0.86920070344933054</v>
      </c>
      <c r="AZ223" s="5" t="s">
        <v>1029</v>
      </c>
      <c r="BA223" s="7">
        <f t="shared" si="161"/>
        <v>2</v>
      </c>
      <c r="BB223" s="7" t="s">
        <v>348</v>
      </c>
    </row>
    <row r="224" spans="1:54" ht="409.5" x14ac:dyDescent="0.25">
      <c r="A224" s="137" t="s">
        <v>229</v>
      </c>
      <c r="B224" s="137" t="s">
        <v>288</v>
      </c>
      <c r="C224" s="137">
        <v>78111803</v>
      </c>
      <c r="D224" s="137" t="s">
        <v>1038</v>
      </c>
      <c r="E224" s="138" t="s">
        <v>1016</v>
      </c>
      <c r="F224" s="139" t="s">
        <v>317</v>
      </c>
      <c r="G224" s="140">
        <v>1</v>
      </c>
      <c r="H224" s="139" t="s">
        <v>335</v>
      </c>
      <c r="I224" s="141" t="s">
        <v>428</v>
      </c>
      <c r="J224" s="142">
        <v>46140</v>
      </c>
      <c r="K224" s="143" t="s">
        <v>1021</v>
      </c>
      <c r="L224" s="144" t="s">
        <v>241</v>
      </c>
      <c r="M224" s="142" t="s">
        <v>1022</v>
      </c>
      <c r="N224" s="145">
        <v>175000</v>
      </c>
      <c r="O224" s="145" t="s">
        <v>245</v>
      </c>
      <c r="P224" s="145" t="s">
        <v>265</v>
      </c>
      <c r="Q224" s="146">
        <f t="shared" si="151"/>
        <v>175000</v>
      </c>
      <c r="R224" s="147">
        <f t="shared" si="152"/>
        <v>0</v>
      </c>
      <c r="S224" s="147">
        <f t="shared" si="153"/>
        <v>175000</v>
      </c>
      <c r="T224" s="147">
        <f t="shared" si="154"/>
        <v>175000</v>
      </c>
      <c r="U224" s="147">
        <f t="shared" si="155"/>
        <v>175000</v>
      </c>
      <c r="V224" s="148" t="s">
        <v>234</v>
      </c>
      <c r="W224" s="149">
        <v>46085</v>
      </c>
      <c r="X224" s="150" t="s">
        <v>1017</v>
      </c>
      <c r="Y224" s="151" t="s">
        <v>241</v>
      </c>
      <c r="Z224" s="152" t="s">
        <v>1018</v>
      </c>
      <c r="AA224" s="153">
        <v>165000</v>
      </c>
      <c r="AB224" s="153" t="s">
        <v>245</v>
      </c>
      <c r="AC224" s="153" t="s">
        <v>265</v>
      </c>
      <c r="AD224" s="154">
        <f t="shared" ref="AD224:AD230" si="167">IF(AB224="IVA Incluido",(AA224/1.19),AA224)</f>
        <v>165000</v>
      </c>
      <c r="AE224" s="155">
        <f t="shared" si="156"/>
        <v>0</v>
      </c>
      <c r="AF224" s="155">
        <f t="shared" si="157"/>
        <v>165000</v>
      </c>
      <c r="AG224" s="155">
        <f t="shared" ref="AG224:AG230" si="168">IF(O224="","",(AA224*G224))</f>
        <v>165000</v>
      </c>
      <c r="AH224" s="155">
        <f t="shared" ref="AH224:AH230" si="169">IF(O224="","",(AF224*G224))</f>
        <v>165000</v>
      </c>
      <c r="AI224" s="156"/>
      <c r="AJ224" s="157"/>
      <c r="AK224" s="158"/>
      <c r="AL224" s="159"/>
      <c r="AM224" s="160"/>
      <c r="AN224" s="161"/>
      <c r="AO224" s="161"/>
      <c r="AP224" s="162"/>
      <c r="AQ224" s="163">
        <f t="shared" si="162"/>
        <v>0</v>
      </c>
      <c r="AR224" s="164">
        <f t="shared" si="163"/>
        <v>0</v>
      </c>
      <c r="AS224" s="164">
        <f t="shared" si="164"/>
        <v>0</v>
      </c>
      <c r="AT224" s="164">
        <f t="shared" si="165"/>
        <v>0</v>
      </c>
      <c r="AU224" s="164">
        <f t="shared" si="166"/>
        <v>0</v>
      </c>
      <c r="AV224" s="165">
        <f t="shared" si="135"/>
        <v>113333</v>
      </c>
      <c r="AW224" s="165">
        <f t="shared" si="136"/>
        <v>113333</v>
      </c>
      <c r="AX224" s="165">
        <f t="shared" si="137"/>
        <v>98277</v>
      </c>
      <c r="AY224" s="166">
        <f t="shared" si="160"/>
        <v>0.86715255044867778</v>
      </c>
      <c r="AZ224" s="5" t="s">
        <v>1029</v>
      </c>
      <c r="BA224" s="7">
        <f t="shared" si="161"/>
        <v>2</v>
      </c>
      <c r="BB224" s="7" t="s">
        <v>348</v>
      </c>
    </row>
    <row r="225" spans="1:54" ht="409.5" x14ac:dyDescent="0.25">
      <c r="A225" s="137" t="s">
        <v>229</v>
      </c>
      <c r="B225" s="137" t="s">
        <v>288</v>
      </c>
      <c r="C225" s="137">
        <v>78111803</v>
      </c>
      <c r="D225" s="137" t="s">
        <v>1039</v>
      </c>
      <c r="E225" s="138" t="s">
        <v>1027</v>
      </c>
      <c r="F225" s="139" t="s">
        <v>317</v>
      </c>
      <c r="G225" s="140">
        <v>1</v>
      </c>
      <c r="H225" s="139" t="s">
        <v>335</v>
      </c>
      <c r="I225" s="141" t="s">
        <v>234</v>
      </c>
      <c r="J225" s="142">
        <v>46085</v>
      </c>
      <c r="K225" s="143" t="s">
        <v>1017</v>
      </c>
      <c r="L225" s="144" t="s">
        <v>241</v>
      </c>
      <c r="M225" s="142" t="s">
        <v>1018</v>
      </c>
      <c r="N225" s="145">
        <v>300000</v>
      </c>
      <c r="O225" s="145" t="s">
        <v>245</v>
      </c>
      <c r="P225" s="145" t="s">
        <v>265</v>
      </c>
      <c r="Q225" s="146">
        <f t="shared" si="151"/>
        <v>300000</v>
      </c>
      <c r="R225" s="147">
        <f t="shared" si="152"/>
        <v>0</v>
      </c>
      <c r="S225" s="147">
        <f t="shared" si="153"/>
        <v>300000</v>
      </c>
      <c r="T225" s="147">
        <f t="shared" si="154"/>
        <v>300000</v>
      </c>
      <c r="U225" s="147">
        <f t="shared" si="155"/>
        <v>300000</v>
      </c>
      <c r="V225" s="148" t="s">
        <v>234</v>
      </c>
      <c r="W225" s="149">
        <v>46085</v>
      </c>
      <c r="X225" s="150" t="s">
        <v>1024</v>
      </c>
      <c r="Y225" s="151" t="s">
        <v>236</v>
      </c>
      <c r="Z225" s="152" t="s">
        <v>1025</v>
      </c>
      <c r="AA225" s="153">
        <v>400000</v>
      </c>
      <c r="AB225" s="153" t="s">
        <v>245</v>
      </c>
      <c r="AC225" s="153" t="s">
        <v>265</v>
      </c>
      <c r="AD225" s="154">
        <f t="shared" si="167"/>
        <v>400000</v>
      </c>
      <c r="AE225" s="155">
        <f t="shared" si="156"/>
        <v>0</v>
      </c>
      <c r="AF225" s="155">
        <f t="shared" si="157"/>
        <v>400000</v>
      </c>
      <c r="AG225" s="155">
        <f t="shared" si="168"/>
        <v>400000</v>
      </c>
      <c r="AH225" s="155">
        <f t="shared" si="169"/>
        <v>400000</v>
      </c>
      <c r="AI225" s="156" t="s">
        <v>428</v>
      </c>
      <c r="AJ225" s="157">
        <v>46141</v>
      </c>
      <c r="AK225" s="158" t="s">
        <v>1021</v>
      </c>
      <c r="AL225" s="159" t="s">
        <v>241</v>
      </c>
      <c r="AM225" s="160" t="s">
        <v>1022</v>
      </c>
      <c r="AN225" s="161">
        <v>250000</v>
      </c>
      <c r="AO225" s="161" t="s">
        <v>245</v>
      </c>
      <c r="AP225" s="162" t="s">
        <v>265</v>
      </c>
      <c r="AQ225" s="163">
        <f t="shared" si="162"/>
        <v>250000</v>
      </c>
      <c r="AR225" s="164">
        <f t="shared" si="163"/>
        <v>0</v>
      </c>
      <c r="AS225" s="164">
        <f t="shared" si="164"/>
        <v>250000</v>
      </c>
      <c r="AT225" s="164">
        <f t="shared" si="165"/>
        <v>250000</v>
      </c>
      <c r="AU225" s="164">
        <f t="shared" si="166"/>
        <v>250000</v>
      </c>
      <c r="AV225" s="165">
        <f t="shared" si="135"/>
        <v>316667</v>
      </c>
      <c r="AW225" s="165">
        <f t="shared" si="136"/>
        <v>316667</v>
      </c>
      <c r="AX225" s="165">
        <f t="shared" si="137"/>
        <v>76376</v>
      </c>
      <c r="AY225" s="166">
        <f t="shared" si="160"/>
        <v>0.24118711453987943</v>
      </c>
      <c r="AZ225" s="5"/>
      <c r="BA225" s="7">
        <f t="shared" si="161"/>
        <v>3</v>
      </c>
      <c r="BB225" s="7" t="s">
        <v>348</v>
      </c>
    </row>
    <row r="226" spans="1:54" ht="409.5" x14ac:dyDescent="0.25">
      <c r="A226" s="137" t="s">
        <v>229</v>
      </c>
      <c r="B226" s="137" t="s">
        <v>288</v>
      </c>
      <c r="C226" s="137">
        <v>78111803</v>
      </c>
      <c r="D226" s="137" t="s">
        <v>1040</v>
      </c>
      <c r="E226" s="138" t="s">
        <v>1027</v>
      </c>
      <c r="F226" s="139" t="s">
        <v>317</v>
      </c>
      <c r="G226" s="140">
        <v>1</v>
      </c>
      <c r="H226" s="139" t="s">
        <v>335</v>
      </c>
      <c r="I226" s="141" t="s">
        <v>234</v>
      </c>
      <c r="J226" s="142">
        <v>46085</v>
      </c>
      <c r="K226" s="143" t="s">
        <v>1024</v>
      </c>
      <c r="L226" s="144" t="s">
        <v>236</v>
      </c>
      <c r="M226" s="142" t="s">
        <v>1025</v>
      </c>
      <c r="N226" s="145">
        <v>585000</v>
      </c>
      <c r="O226" s="145" t="s">
        <v>245</v>
      </c>
      <c r="P226" s="145" t="s">
        <v>265</v>
      </c>
      <c r="Q226" s="146">
        <f t="shared" si="151"/>
        <v>585000</v>
      </c>
      <c r="R226" s="147">
        <f t="shared" si="152"/>
        <v>0</v>
      </c>
      <c r="S226" s="147">
        <f t="shared" si="153"/>
        <v>585000</v>
      </c>
      <c r="T226" s="147">
        <f t="shared" si="154"/>
        <v>585000</v>
      </c>
      <c r="U226" s="147">
        <f t="shared" si="155"/>
        <v>585000</v>
      </c>
      <c r="V226" s="148" t="s">
        <v>428</v>
      </c>
      <c r="W226" s="149">
        <v>46140</v>
      </c>
      <c r="X226" s="150" t="s">
        <v>1021</v>
      </c>
      <c r="Y226" s="151" t="s">
        <v>241</v>
      </c>
      <c r="Z226" s="152" t="s">
        <v>1035</v>
      </c>
      <c r="AA226" s="153">
        <v>500000</v>
      </c>
      <c r="AB226" s="153" t="s">
        <v>245</v>
      </c>
      <c r="AC226" s="153" t="s">
        <v>265</v>
      </c>
      <c r="AD226" s="154">
        <f t="shared" si="167"/>
        <v>500000</v>
      </c>
      <c r="AE226" s="155">
        <f t="shared" si="156"/>
        <v>0</v>
      </c>
      <c r="AF226" s="155">
        <f t="shared" si="157"/>
        <v>500000</v>
      </c>
      <c r="AG226" s="155">
        <f t="shared" si="168"/>
        <v>500000</v>
      </c>
      <c r="AH226" s="155">
        <f t="shared" si="169"/>
        <v>500000</v>
      </c>
      <c r="AI226" s="156" t="s">
        <v>234</v>
      </c>
      <c r="AJ226" s="157">
        <v>46085</v>
      </c>
      <c r="AK226" s="158" t="s">
        <v>1017</v>
      </c>
      <c r="AL226" s="159" t="s">
        <v>241</v>
      </c>
      <c r="AM226" s="160" t="s">
        <v>1018</v>
      </c>
      <c r="AN226" s="161">
        <v>590000</v>
      </c>
      <c r="AO226" s="161" t="s">
        <v>245</v>
      </c>
      <c r="AP226" s="162" t="s">
        <v>265</v>
      </c>
      <c r="AQ226" s="163">
        <f t="shared" si="162"/>
        <v>590000</v>
      </c>
      <c r="AR226" s="164">
        <f t="shared" si="163"/>
        <v>0</v>
      </c>
      <c r="AS226" s="164">
        <f t="shared" si="164"/>
        <v>590000</v>
      </c>
      <c r="AT226" s="164">
        <f t="shared" si="165"/>
        <v>590000</v>
      </c>
      <c r="AU226" s="164">
        <f t="shared" si="166"/>
        <v>590000</v>
      </c>
      <c r="AV226" s="165">
        <f t="shared" si="135"/>
        <v>558333</v>
      </c>
      <c r="AW226" s="165">
        <f t="shared" si="136"/>
        <v>558333</v>
      </c>
      <c r="AX226" s="165">
        <f t="shared" si="137"/>
        <v>50580</v>
      </c>
      <c r="AY226" s="166">
        <f t="shared" si="160"/>
        <v>9.059109886035753E-2</v>
      </c>
      <c r="AZ226" s="5"/>
      <c r="BA226" s="7">
        <f t="shared" si="161"/>
        <v>3</v>
      </c>
      <c r="BB226" s="7" t="s">
        <v>348</v>
      </c>
    </row>
    <row r="227" spans="1:54" ht="409.5" x14ac:dyDescent="0.25">
      <c r="A227" s="137" t="s">
        <v>229</v>
      </c>
      <c r="B227" s="137" t="s">
        <v>288</v>
      </c>
      <c r="C227" s="137">
        <v>78111803</v>
      </c>
      <c r="D227" s="137" t="s">
        <v>1041</v>
      </c>
      <c r="E227" s="138" t="s">
        <v>1031</v>
      </c>
      <c r="F227" s="139" t="s">
        <v>317</v>
      </c>
      <c r="G227" s="140">
        <v>1</v>
      </c>
      <c r="H227" s="139" t="s">
        <v>335</v>
      </c>
      <c r="I227" s="141" t="s">
        <v>428</v>
      </c>
      <c r="J227" s="142">
        <v>46085</v>
      </c>
      <c r="K227" s="143" t="s">
        <v>1017</v>
      </c>
      <c r="L227" s="144" t="s">
        <v>241</v>
      </c>
      <c r="M227" s="142" t="s">
        <v>1018</v>
      </c>
      <c r="N227" s="145">
        <v>850000</v>
      </c>
      <c r="O227" s="145" t="s">
        <v>245</v>
      </c>
      <c r="P227" s="145" t="s">
        <v>265</v>
      </c>
      <c r="Q227" s="146">
        <f t="shared" si="151"/>
        <v>850000</v>
      </c>
      <c r="R227" s="147">
        <f t="shared" si="152"/>
        <v>0</v>
      </c>
      <c r="S227" s="147">
        <f t="shared" si="153"/>
        <v>850000</v>
      </c>
      <c r="T227" s="147">
        <f t="shared" si="154"/>
        <v>850000</v>
      </c>
      <c r="U227" s="147">
        <f t="shared" si="155"/>
        <v>850000</v>
      </c>
      <c r="V227" s="148" t="s">
        <v>441</v>
      </c>
      <c r="W227" s="149">
        <v>46085</v>
      </c>
      <c r="X227" s="150" t="s">
        <v>1024</v>
      </c>
      <c r="Y227" s="151" t="s">
        <v>236</v>
      </c>
      <c r="Z227" s="152" t="s">
        <v>1025</v>
      </c>
      <c r="AA227" s="153">
        <v>640000</v>
      </c>
      <c r="AB227" s="153" t="s">
        <v>245</v>
      </c>
      <c r="AC227" s="153" t="s">
        <v>265</v>
      </c>
      <c r="AD227" s="154">
        <f t="shared" si="167"/>
        <v>640000</v>
      </c>
      <c r="AE227" s="155">
        <f t="shared" si="156"/>
        <v>0</v>
      </c>
      <c r="AF227" s="155">
        <f t="shared" si="157"/>
        <v>640000</v>
      </c>
      <c r="AG227" s="155">
        <f t="shared" si="168"/>
        <v>640000</v>
      </c>
      <c r="AH227" s="155">
        <f t="shared" si="169"/>
        <v>640000</v>
      </c>
      <c r="AI227" s="156" t="s">
        <v>1042</v>
      </c>
      <c r="AJ227" s="157">
        <v>46133</v>
      </c>
      <c r="AK227" s="158" t="s">
        <v>1043</v>
      </c>
      <c r="AL227" s="159" t="s">
        <v>241</v>
      </c>
      <c r="AM227" s="160" t="s">
        <v>1044</v>
      </c>
      <c r="AN227" s="161">
        <v>540000</v>
      </c>
      <c r="AO227" s="161" t="s">
        <v>245</v>
      </c>
      <c r="AP227" s="162" t="s">
        <v>265</v>
      </c>
      <c r="AQ227" s="163">
        <f t="shared" si="162"/>
        <v>540000</v>
      </c>
      <c r="AR227" s="164">
        <f t="shared" si="163"/>
        <v>0</v>
      </c>
      <c r="AS227" s="164">
        <f t="shared" si="164"/>
        <v>540000</v>
      </c>
      <c r="AT227" s="164">
        <f t="shared" si="165"/>
        <v>540000</v>
      </c>
      <c r="AU227" s="164">
        <f t="shared" si="166"/>
        <v>540000</v>
      </c>
      <c r="AV227" s="165">
        <f t="shared" si="135"/>
        <v>676667</v>
      </c>
      <c r="AW227" s="165">
        <f t="shared" si="136"/>
        <v>676667</v>
      </c>
      <c r="AX227" s="165">
        <f t="shared" si="137"/>
        <v>158219</v>
      </c>
      <c r="AY227" s="166">
        <f t="shared" si="160"/>
        <v>0.23382106708321818</v>
      </c>
      <c r="AZ227" s="5"/>
      <c r="BA227" s="7">
        <f t="shared" si="161"/>
        <v>3</v>
      </c>
      <c r="BB227" s="7" t="s">
        <v>348</v>
      </c>
    </row>
    <row r="228" spans="1:54" ht="409.5" x14ac:dyDescent="0.25">
      <c r="A228" s="137" t="s">
        <v>229</v>
      </c>
      <c r="B228" s="137" t="s">
        <v>288</v>
      </c>
      <c r="C228" s="137">
        <v>78111803</v>
      </c>
      <c r="D228" s="137" t="s">
        <v>1045</v>
      </c>
      <c r="E228" s="138" t="s">
        <v>1031</v>
      </c>
      <c r="F228" s="139" t="s">
        <v>317</v>
      </c>
      <c r="G228" s="140">
        <v>1</v>
      </c>
      <c r="H228" s="139" t="s">
        <v>335</v>
      </c>
      <c r="I228" s="141" t="s">
        <v>504</v>
      </c>
      <c r="J228" s="142">
        <v>46149</v>
      </c>
      <c r="K228" s="143" t="s">
        <v>1017</v>
      </c>
      <c r="L228" s="144" t="s">
        <v>236</v>
      </c>
      <c r="M228" s="142" t="s">
        <v>1017</v>
      </c>
      <c r="N228" s="145">
        <v>325000</v>
      </c>
      <c r="O228" s="145" t="s">
        <v>245</v>
      </c>
      <c r="P228" s="145" t="s">
        <v>265</v>
      </c>
      <c r="Q228" s="146">
        <f t="shared" si="151"/>
        <v>325000</v>
      </c>
      <c r="R228" s="147">
        <f t="shared" si="152"/>
        <v>0</v>
      </c>
      <c r="S228" s="147">
        <f t="shared" si="153"/>
        <v>325000</v>
      </c>
      <c r="T228" s="147">
        <f t="shared" si="154"/>
        <v>325000</v>
      </c>
      <c r="U228" s="147">
        <f t="shared" si="155"/>
        <v>325000</v>
      </c>
      <c r="V228" s="148" t="s">
        <v>504</v>
      </c>
      <c r="W228" s="149">
        <v>46149</v>
      </c>
      <c r="X228" s="150" t="s">
        <v>1021</v>
      </c>
      <c r="Y228" s="151" t="s">
        <v>236</v>
      </c>
      <c r="Z228" s="152" t="s">
        <v>1035</v>
      </c>
      <c r="AA228" s="153">
        <v>270000</v>
      </c>
      <c r="AB228" s="153" t="s">
        <v>245</v>
      </c>
      <c r="AC228" s="153" t="s">
        <v>265</v>
      </c>
      <c r="AD228" s="154">
        <f t="shared" si="167"/>
        <v>270000</v>
      </c>
      <c r="AE228" s="155">
        <f t="shared" si="156"/>
        <v>0</v>
      </c>
      <c r="AF228" s="155">
        <f t="shared" si="157"/>
        <v>270000</v>
      </c>
      <c r="AG228" s="155">
        <f t="shared" si="168"/>
        <v>270000</v>
      </c>
      <c r="AH228" s="155">
        <f t="shared" si="169"/>
        <v>270000</v>
      </c>
      <c r="AI228" s="156"/>
      <c r="AJ228" s="157"/>
      <c r="AK228" s="158"/>
      <c r="AL228" s="159"/>
      <c r="AM228" s="160"/>
      <c r="AN228" s="161"/>
      <c r="AO228" s="161"/>
      <c r="AP228" s="162"/>
      <c r="AQ228" s="163"/>
      <c r="AR228" s="164"/>
      <c r="AS228" s="164"/>
      <c r="AT228" s="164"/>
      <c r="AU228" s="164"/>
      <c r="AV228" s="165">
        <f t="shared" si="135"/>
        <v>297500</v>
      </c>
      <c r="AW228" s="165">
        <f t="shared" si="136"/>
        <v>297500</v>
      </c>
      <c r="AX228" s="165">
        <f t="shared" si="137"/>
        <v>38891</v>
      </c>
      <c r="AY228" s="166">
        <f t="shared" si="160"/>
        <v>0.13072605042016808</v>
      </c>
      <c r="AZ228" s="5" t="s">
        <v>1046</v>
      </c>
      <c r="BA228" s="7">
        <f t="shared" si="161"/>
        <v>2</v>
      </c>
      <c r="BB228" s="7" t="s">
        <v>605</v>
      </c>
    </row>
    <row r="229" spans="1:54" ht="67.5" x14ac:dyDescent="0.25">
      <c r="A229" s="137" t="s">
        <v>229</v>
      </c>
      <c r="B229" s="137" t="s">
        <v>306</v>
      </c>
      <c r="C229" s="137">
        <v>31201632</v>
      </c>
      <c r="D229" s="137" t="s">
        <v>1047</v>
      </c>
      <c r="E229" s="138" t="s">
        <v>1048</v>
      </c>
      <c r="F229" s="139" t="s">
        <v>233</v>
      </c>
      <c r="G229" s="140">
        <v>1</v>
      </c>
      <c r="H229" s="139" t="s">
        <v>51</v>
      </c>
      <c r="I229" s="141" t="s">
        <v>234</v>
      </c>
      <c r="J229" s="142">
        <v>46091</v>
      </c>
      <c r="K229" s="143" t="s">
        <v>655</v>
      </c>
      <c r="L229" s="144" t="s">
        <v>241</v>
      </c>
      <c r="M229" s="142" t="s">
        <v>656</v>
      </c>
      <c r="N229" s="145">
        <v>13950</v>
      </c>
      <c r="O229" s="145" t="s">
        <v>245</v>
      </c>
      <c r="P229" s="145" t="s">
        <v>239</v>
      </c>
      <c r="Q229" s="146">
        <f t="shared" si="151"/>
        <v>13950</v>
      </c>
      <c r="R229" s="147">
        <f t="shared" si="152"/>
        <v>2650.5</v>
      </c>
      <c r="S229" s="147">
        <f t="shared" si="153"/>
        <v>16600.5</v>
      </c>
      <c r="T229" s="147">
        <f t="shared" si="154"/>
        <v>13950</v>
      </c>
      <c r="U229" s="147">
        <f t="shared" si="155"/>
        <v>16600.5</v>
      </c>
      <c r="V229" s="148" t="s">
        <v>234</v>
      </c>
      <c r="W229" s="149">
        <v>46091</v>
      </c>
      <c r="X229" s="150" t="s">
        <v>794</v>
      </c>
      <c r="Y229" s="151" t="s">
        <v>241</v>
      </c>
      <c r="Z229" s="152" t="s">
        <v>980</v>
      </c>
      <c r="AA229" s="153">
        <v>14800</v>
      </c>
      <c r="AB229" s="153" t="s">
        <v>238</v>
      </c>
      <c r="AC229" s="153" t="s">
        <v>239</v>
      </c>
      <c r="AD229" s="154">
        <f t="shared" si="167"/>
        <v>12436.974789915967</v>
      </c>
      <c r="AE229" s="155">
        <f t="shared" si="156"/>
        <v>2363.0252100840335</v>
      </c>
      <c r="AF229" s="155">
        <f t="shared" si="157"/>
        <v>14800</v>
      </c>
      <c r="AG229" s="155">
        <f t="shared" si="168"/>
        <v>14800</v>
      </c>
      <c r="AH229" s="155">
        <f t="shared" si="169"/>
        <v>14800</v>
      </c>
      <c r="AI229" s="156" t="s">
        <v>234</v>
      </c>
      <c r="AJ229" s="157">
        <v>46091</v>
      </c>
      <c r="AK229" s="158" t="s">
        <v>1049</v>
      </c>
      <c r="AL229" s="159" t="s">
        <v>241</v>
      </c>
      <c r="AM229" s="160" t="s">
        <v>1050</v>
      </c>
      <c r="AN229" s="161">
        <v>14000</v>
      </c>
      <c r="AO229" s="161" t="s">
        <v>238</v>
      </c>
      <c r="AP229" s="162" t="s">
        <v>239</v>
      </c>
      <c r="AQ229" s="163">
        <f>IF(AO229="IVA Incluido",(AN229/1.19),AN229)</f>
        <v>11764.705882352942</v>
      </c>
      <c r="AR229" s="164">
        <f>IF(AP229="Si tiene IVA",AQ229*19%,0)</f>
        <v>2235.294117647059</v>
      </c>
      <c r="AS229" s="164">
        <f>AQ229+AR229</f>
        <v>14000.000000000002</v>
      </c>
      <c r="AT229" s="164">
        <f>IF(AB229="","",(AN229*G229))</f>
        <v>14000</v>
      </c>
      <c r="AU229" s="164">
        <f>IF(AB229="","",(AS229*G229))</f>
        <v>14000.000000000002</v>
      </c>
      <c r="AV229" s="165">
        <f t="shared" si="135"/>
        <v>15134</v>
      </c>
      <c r="AW229" s="165">
        <f t="shared" si="136"/>
        <v>15134</v>
      </c>
      <c r="AX229" s="165">
        <f t="shared" si="137"/>
        <v>1332</v>
      </c>
      <c r="AY229" s="166">
        <f t="shared" si="160"/>
        <v>8.8013743887934454E-2</v>
      </c>
      <c r="AZ229" s="5"/>
      <c r="BA229" s="7">
        <f t="shared" si="161"/>
        <v>3</v>
      </c>
      <c r="BB229" s="7"/>
    </row>
    <row r="230" spans="1:54" ht="67.5" x14ac:dyDescent="0.25">
      <c r="A230" s="137" t="s">
        <v>229</v>
      </c>
      <c r="B230" s="137" t="s">
        <v>306</v>
      </c>
      <c r="C230" s="137">
        <v>31201632</v>
      </c>
      <c r="D230" s="137" t="s">
        <v>1051</v>
      </c>
      <c r="E230" s="138" t="s">
        <v>1052</v>
      </c>
      <c r="F230" s="139" t="s">
        <v>233</v>
      </c>
      <c r="G230" s="140">
        <v>1</v>
      </c>
      <c r="H230" s="139" t="s">
        <v>51</v>
      </c>
      <c r="I230" s="141" t="s">
        <v>234</v>
      </c>
      <c r="J230" s="142">
        <v>46091</v>
      </c>
      <c r="K230" s="143" t="s">
        <v>655</v>
      </c>
      <c r="L230" s="144" t="s">
        <v>241</v>
      </c>
      <c r="M230" s="142" t="s">
        <v>656</v>
      </c>
      <c r="N230" s="145">
        <v>13950</v>
      </c>
      <c r="O230" s="145" t="s">
        <v>245</v>
      </c>
      <c r="P230" s="145" t="s">
        <v>239</v>
      </c>
      <c r="Q230" s="146">
        <f t="shared" si="151"/>
        <v>13950</v>
      </c>
      <c r="R230" s="147">
        <f t="shared" si="152"/>
        <v>2650.5</v>
      </c>
      <c r="S230" s="147">
        <f t="shared" si="153"/>
        <v>16600.5</v>
      </c>
      <c r="T230" s="147"/>
      <c r="U230" s="147">
        <f t="shared" si="155"/>
        <v>16600.5</v>
      </c>
      <c r="V230" s="148" t="s">
        <v>234</v>
      </c>
      <c r="W230" s="149">
        <v>46091</v>
      </c>
      <c r="X230" s="150" t="s">
        <v>794</v>
      </c>
      <c r="Y230" s="151" t="s">
        <v>241</v>
      </c>
      <c r="Z230" s="152" t="s">
        <v>980</v>
      </c>
      <c r="AA230" s="153">
        <v>14800</v>
      </c>
      <c r="AB230" s="153" t="s">
        <v>238</v>
      </c>
      <c r="AC230" s="153" t="s">
        <v>239</v>
      </c>
      <c r="AD230" s="154">
        <f t="shared" si="167"/>
        <v>12436.974789915967</v>
      </c>
      <c r="AE230" s="155">
        <f t="shared" si="156"/>
        <v>2363.0252100840335</v>
      </c>
      <c r="AF230" s="155">
        <f t="shared" si="157"/>
        <v>14800</v>
      </c>
      <c r="AG230" s="155">
        <f t="shared" si="168"/>
        <v>14800</v>
      </c>
      <c r="AH230" s="155">
        <f t="shared" si="169"/>
        <v>14800</v>
      </c>
      <c r="AI230" s="156" t="s">
        <v>234</v>
      </c>
      <c r="AJ230" s="157">
        <v>46091</v>
      </c>
      <c r="AK230" s="158" t="s">
        <v>313</v>
      </c>
      <c r="AL230" s="159" t="s">
        <v>241</v>
      </c>
      <c r="AM230" s="160" t="s">
        <v>1053</v>
      </c>
      <c r="AN230" s="161">
        <v>14400</v>
      </c>
      <c r="AO230" s="161" t="s">
        <v>238</v>
      </c>
      <c r="AP230" s="162" t="s">
        <v>239</v>
      </c>
      <c r="AQ230" s="163">
        <f>IF(AO230="IVA Incluido",(AN230/1.19),AN230)</f>
        <v>12100.840336134454</v>
      </c>
      <c r="AR230" s="164">
        <f>IF(AP230="Si tiene IVA",AQ230*19%,0)</f>
        <v>2299.159663865546</v>
      </c>
      <c r="AS230" s="164">
        <f>AQ230+AR230</f>
        <v>14400</v>
      </c>
      <c r="AT230" s="164">
        <f>IF(AB230="","",(AN230*G230))</f>
        <v>14400</v>
      </c>
      <c r="AU230" s="164">
        <f>IF(AB230="","",(AS230*G230))</f>
        <v>14400</v>
      </c>
      <c r="AV230" s="165">
        <f t="shared" si="135"/>
        <v>15267</v>
      </c>
      <c r="AW230" s="165">
        <f t="shared" si="136"/>
        <v>15267</v>
      </c>
      <c r="AX230" s="165">
        <f t="shared" si="137"/>
        <v>1172</v>
      </c>
      <c r="AY230" s="166">
        <f t="shared" si="160"/>
        <v>7.6766882819152421E-2</v>
      </c>
      <c r="AZ230" s="5"/>
      <c r="BA230" s="7">
        <f t="shared" si="161"/>
        <v>3</v>
      </c>
      <c r="BB230" s="7"/>
    </row>
    <row r="231" spans="1:54" ht="297" x14ac:dyDescent="0.25">
      <c r="A231" s="137" t="s">
        <v>299</v>
      </c>
      <c r="B231" s="137" t="s">
        <v>299</v>
      </c>
      <c r="C231" s="137" t="s">
        <v>299</v>
      </c>
      <c r="D231" s="137" t="s">
        <v>1054</v>
      </c>
      <c r="E231" s="138" t="s">
        <v>1055</v>
      </c>
      <c r="F231" s="139" t="s">
        <v>302</v>
      </c>
      <c r="G231" s="140">
        <v>1</v>
      </c>
      <c r="H231" s="139"/>
      <c r="I231" s="141"/>
      <c r="J231" s="142"/>
      <c r="K231" s="143"/>
      <c r="L231" s="144"/>
      <c r="M231" s="142"/>
      <c r="N231" s="145"/>
      <c r="O231" s="145"/>
      <c r="P231" s="145"/>
      <c r="Q231" s="146" t="s">
        <v>303</v>
      </c>
      <c r="R231" s="147" t="s">
        <v>303</v>
      </c>
      <c r="S231" s="147" t="s">
        <v>303</v>
      </c>
      <c r="T231" s="147" t="s">
        <v>303</v>
      </c>
      <c r="U231" s="147" t="s">
        <v>303</v>
      </c>
      <c r="V231" s="148" t="s">
        <v>299</v>
      </c>
      <c r="W231" s="149" t="s">
        <v>299</v>
      </c>
      <c r="X231" s="150" t="s">
        <v>299</v>
      </c>
      <c r="Y231" s="151" t="s">
        <v>299</v>
      </c>
      <c r="Z231" s="152" t="s">
        <v>304</v>
      </c>
      <c r="AA231" s="153" t="s">
        <v>299</v>
      </c>
      <c r="AB231" s="153" t="s">
        <v>299</v>
      </c>
      <c r="AC231" s="153" t="s">
        <v>299</v>
      </c>
      <c r="AD231" s="154" t="s">
        <v>299</v>
      </c>
      <c r="AE231" s="155" t="s">
        <v>299</v>
      </c>
      <c r="AF231" s="155">
        <f>AH231/1.19</f>
        <v>152126.89075630254</v>
      </c>
      <c r="AG231" s="155">
        <f>AF231*19%</f>
        <v>28904.109243697483</v>
      </c>
      <c r="AH231" s="155">
        <v>181031</v>
      </c>
      <c r="AI231" s="156" t="s">
        <v>299</v>
      </c>
      <c r="AJ231" s="157" t="s">
        <v>299</v>
      </c>
      <c r="AK231" s="158" t="s">
        <v>299</v>
      </c>
      <c r="AL231" s="159" t="s">
        <v>299</v>
      </c>
      <c r="AM231" s="160" t="s">
        <v>305</v>
      </c>
      <c r="AN231" s="161" t="s">
        <v>299</v>
      </c>
      <c r="AO231" s="161" t="s">
        <v>299</v>
      </c>
      <c r="AP231" s="162" t="s">
        <v>299</v>
      </c>
      <c r="AQ231" s="163">
        <v>146996</v>
      </c>
      <c r="AR231" s="164">
        <v>27929</v>
      </c>
      <c r="AS231" s="164">
        <v>174925</v>
      </c>
      <c r="AT231" s="164">
        <v>146996</v>
      </c>
      <c r="AU231" s="164">
        <v>174925</v>
      </c>
      <c r="AV231" s="165">
        <f t="shared" si="135"/>
        <v>163526</v>
      </c>
      <c r="AW231" s="165">
        <f t="shared" si="136"/>
        <v>163526</v>
      </c>
      <c r="AX231" s="165" t="str">
        <f t="shared" si="137"/>
        <v/>
      </c>
      <c r="AY231" s="166">
        <v>2.4299999999999999E-2</v>
      </c>
      <c r="AZ231" s="5"/>
      <c r="BA231" s="7"/>
      <c r="BB231" s="7"/>
    </row>
    <row r="232" spans="1:54" ht="40.5" x14ac:dyDescent="0.25">
      <c r="A232" s="137" t="s">
        <v>229</v>
      </c>
      <c r="B232" s="137" t="s">
        <v>306</v>
      </c>
      <c r="C232" s="137">
        <v>44121506</v>
      </c>
      <c r="D232" s="137" t="s">
        <v>1056</v>
      </c>
      <c r="E232" s="138" t="s">
        <v>1057</v>
      </c>
      <c r="F232" s="139" t="s">
        <v>233</v>
      </c>
      <c r="G232" s="140">
        <v>1</v>
      </c>
      <c r="H232" s="139" t="s">
        <v>51</v>
      </c>
      <c r="I232" s="141" t="s">
        <v>247</v>
      </c>
      <c r="J232" s="142">
        <v>46069</v>
      </c>
      <c r="K232" s="143" t="s">
        <v>313</v>
      </c>
      <c r="L232" s="144" t="s">
        <v>241</v>
      </c>
      <c r="M232" s="142" t="s">
        <v>832</v>
      </c>
      <c r="N232" s="145">
        <v>8200</v>
      </c>
      <c r="O232" s="145" t="s">
        <v>238</v>
      </c>
      <c r="P232" s="145" t="s">
        <v>239</v>
      </c>
      <c r="Q232" s="146">
        <f>IF(O232="IVA Incluido",(N232/1.19),N232)</f>
        <v>6890.7563025210084</v>
      </c>
      <c r="R232" s="147">
        <f>IF(P232="Si tiene IVA",Q232*19%,0)</f>
        <v>1309.2436974789916</v>
      </c>
      <c r="S232" s="147">
        <f>Q232+R232</f>
        <v>8200</v>
      </c>
      <c r="T232" s="147">
        <f>IF(B232="","",(N232*G232))</f>
        <v>8200</v>
      </c>
      <c r="U232" s="147">
        <f>IF(B232="","",(S232*G232))</f>
        <v>8200</v>
      </c>
      <c r="V232" s="148" t="s">
        <v>247</v>
      </c>
      <c r="W232" s="149">
        <v>46069</v>
      </c>
      <c r="X232" s="150" t="s">
        <v>1058</v>
      </c>
      <c r="Y232" s="151" t="s">
        <v>241</v>
      </c>
      <c r="Z232" s="152" t="s">
        <v>1059</v>
      </c>
      <c r="AA232" s="153">
        <v>10500</v>
      </c>
      <c r="AB232" s="153" t="s">
        <v>238</v>
      </c>
      <c r="AC232" s="153" t="s">
        <v>239</v>
      </c>
      <c r="AD232" s="154">
        <f>IF(AB232="IVA Incluido",(AA232/1.19),AA232)</f>
        <v>8823.5294117647063</v>
      </c>
      <c r="AE232" s="155">
        <f>IF(AC232="Si tiene IVA",AD232*19%,0)</f>
        <v>1676.4705882352941</v>
      </c>
      <c r="AF232" s="155">
        <f>AD232+AE232</f>
        <v>10500</v>
      </c>
      <c r="AG232" s="155">
        <f>IF(O232="","",(AA232*G232))</f>
        <v>10500</v>
      </c>
      <c r="AH232" s="155">
        <f>IF(O232="","",(AF232*G232))</f>
        <v>10500</v>
      </c>
      <c r="AI232" s="156" t="s">
        <v>247</v>
      </c>
      <c r="AJ232" s="157">
        <v>46069</v>
      </c>
      <c r="AK232" s="158" t="s">
        <v>535</v>
      </c>
      <c r="AL232" s="159" t="s">
        <v>241</v>
      </c>
      <c r="AM232" s="160" t="s">
        <v>536</v>
      </c>
      <c r="AN232" s="161">
        <v>6126</v>
      </c>
      <c r="AO232" s="161" t="s">
        <v>245</v>
      </c>
      <c r="AP232" s="162" t="s">
        <v>239</v>
      </c>
      <c r="AQ232" s="163">
        <f>IF(AO232="IVA Incluido",(AN232/1.19),AN232)</f>
        <v>6126</v>
      </c>
      <c r="AR232" s="164">
        <f>IF(AP232="Si tiene IVA",AQ232*19%,0)</f>
        <v>1163.94</v>
      </c>
      <c r="AS232" s="164">
        <f>AQ232+AR232</f>
        <v>7289.9400000000005</v>
      </c>
      <c r="AT232" s="164">
        <f>IF(AB232="","",(AN232*G232))</f>
        <v>6126</v>
      </c>
      <c r="AU232" s="164">
        <f>IF(AB232="","",(AS232*G232))</f>
        <v>7289.9400000000005</v>
      </c>
      <c r="AV232" s="165">
        <f t="shared" si="135"/>
        <v>8663</v>
      </c>
      <c r="AW232" s="165">
        <f t="shared" si="136"/>
        <v>8663</v>
      </c>
      <c r="AX232" s="165">
        <f t="shared" si="137"/>
        <v>1654</v>
      </c>
      <c r="AY232" s="166">
        <f>IF(N232="","",(AX232/AW232))</f>
        <v>0.19092693062449498</v>
      </c>
      <c r="AZ232" s="5"/>
      <c r="BA232" s="7">
        <f>COUNTA(M232,Z232,AM232)</f>
        <v>3</v>
      </c>
      <c r="BB232" s="7"/>
    </row>
    <row r="233" spans="1:54" ht="297" x14ac:dyDescent="0.25">
      <c r="A233" s="137" t="s">
        <v>299</v>
      </c>
      <c r="B233" s="137" t="s">
        <v>299</v>
      </c>
      <c r="C233" s="137" t="s">
        <v>299</v>
      </c>
      <c r="D233" s="137" t="s">
        <v>1060</v>
      </c>
      <c r="E233" s="138" t="s">
        <v>1061</v>
      </c>
      <c r="F233" s="139" t="s">
        <v>302</v>
      </c>
      <c r="G233" s="140">
        <v>1</v>
      </c>
      <c r="H233" s="139"/>
      <c r="I233" s="141"/>
      <c r="J233" s="142"/>
      <c r="K233" s="143"/>
      <c r="L233" s="144"/>
      <c r="M233" s="142"/>
      <c r="N233" s="145"/>
      <c r="O233" s="145"/>
      <c r="P233" s="145"/>
      <c r="Q233" s="146" t="s">
        <v>303</v>
      </c>
      <c r="R233" s="147" t="s">
        <v>303</v>
      </c>
      <c r="S233" s="147" t="s">
        <v>303</v>
      </c>
      <c r="T233" s="147" t="s">
        <v>303</v>
      </c>
      <c r="U233" s="147" t="s">
        <v>303</v>
      </c>
      <c r="V233" s="148" t="s">
        <v>299</v>
      </c>
      <c r="W233" s="149" t="s">
        <v>299</v>
      </c>
      <c r="X233" s="150" t="s">
        <v>299</v>
      </c>
      <c r="Y233" s="151" t="s">
        <v>299</v>
      </c>
      <c r="Z233" s="152" t="s">
        <v>304</v>
      </c>
      <c r="AA233" s="153" t="s">
        <v>299</v>
      </c>
      <c r="AB233" s="153" t="s">
        <v>299</v>
      </c>
      <c r="AC233" s="153" t="s">
        <v>299</v>
      </c>
      <c r="AD233" s="154" t="s">
        <v>299</v>
      </c>
      <c r="AE233" s="155" t="s">
        <v>299</v>
      </c>
      <c r="AF233" s="155">
        <f>AH233/1.19</f>
        <v>245826.05042016809</v>
      </c>
      <c r="AG233" s="155">
        <f>AF233*19%</f>
        <v>46706.94957983194</v>
      </c>
      <c r="AH233" s="155">
        <v>292533</v>
      </c>
      <c r="AI233" s="156" t="s">
        <v>299</v>
      </c>
      <c r="AJ233" s="157" t="s">
        <v>299</v>
      </c>
      <c r="AK233" s="158" t="s">
        <v>299</v>
      </c>
      <c r="AL233" s="159" t="s">
        <v>299</v>
      </c>
      <c r="AM233" s="160" t="s">
        <v>305</v>
      </c>
      <c r="AN233" s="161" t="s">
        <v>299</v>
      </c>
      <c r="AO233" s="161" t="s">
        <v>299</v>
      </c>
      <c r="AP233" s="162" t="s">
        <v>299</v>
      </c>
      <c r="AQ233" s="163">
        <v>237536</v>
      </c>
      <c r="AR233" s="164">
        <v>45132</v>
      </c>
      <c r="AS233" s="164">
        <v>282668</v>
      </c>
      <c r="AT233" s="164">
        <v>237536</v>
      </c>
      <c r="AU233" s="164">
        <v>282668</v>
      </c>
      <c r="AV233" s="165">
        <f t="shared" si="135"/>
        <v>264247</v>
      </c>
      <c r="AW233" s="165">
        <f t="shared" si="136"/>
        <v>264247</v>
      </c>
      <c r="AX233" s="165" t="str">
        <f t="shared" si="137"/>
        <v/>
      </c>
      <c r="AY233" s="166">
        <v>2.4299999999999999E-2</v>
      </c>
      <c r="AZ233" s="5"/>
      <c r="BA233" s="7"/>
      <c r="BB233" s="7"/>
    </row>
    <row r="234" spans="1:54" ht="297" x14ac:dyDescent="0.25">
      <c r="A234" s="137" t="s">
        <v>299</v>
      </c>
      <c r="B234" s="137" t="s">
        <v>299</v>
      </c>
      <c r="C234" s="137" t="s">
        <v>299</v>
      </c>
      <c r="D234" s="137" t="s">
        <v>1062</v>
      </c>
      <c r="E234" s="138" t="s">
        <v>1063</v>
      </c>
      <c r="F234" s="139" t="s">
        <v>302</v>
      </c>
      <c r="G234" s="140">
        <v>1</v>
      </c>
      <c r="H234" s="139"/>
      <c r="I234" s="141"/>
      <c r="J234" s="142"/>
      <c r="K234" s="143"/>
      <c r="L234" s="144"/>
      <c r="M234" s="142"/>
      <c r="N234" s="145"/>
      <c r="O234" s="145"/>
      <c r="P234" s="145"/>
      <c r="Q234" s="146" t="s">
        <v>303</v>
      </c>
      <c r="R234" s="147" t="s">
        <v>303</v>
      </c>
      <c r="S234" s="147" t="s">
        <v>303</v>
      </c>
      <c r="T234" s="147" t="s">
        <v>303</v>
      </c>
      <c r="U234" s="147" t="s">
        <v>303</v>
      </c>
      <c r="V234" s="148" t="s">
        <v>299</v>
      </c>
      <c r="W234" s="149" t="s">
        <v>299</v>
      </c>
      <c r="X234" s="150" t="s">
        <v>299</v>
      </c>
      <c r="Y234" s="151" t="s">
        <v>299</v>
      </c>
      <c r="Z234" s="152" t="s">
        <v>304</v>
      </c>
      <c r="AA234" s="153" t="s">
        <v>299</v>
      </c>
      <c r="AB234" s="153" t="s">
        <v>299</v>
      </c>
      <c r="AC234" s="153" t="s">
        <v>299</v>
      </c>
      <c r="AD234" s="154" t="s">
        <v>299</v>
      </c>
      <c r="AE234" s="155" t="s">
        <v>299</v>
      </c>
      <c r="AF234" s="155">
        <f>AH234/1.19</f>
        <v>5251589.9159663869</v>
      </c>
      <c r="AG234" s="155">
        <f>AF234*19%</f>
        <v>997802.08403361356</v>
      </c>
      <c r="AH234" s="155">
        <v>6249392</v>
      </c>
      <c r="AI234" s="156" t="s">
        <v>299</v>
      </c>
      <c r="AJ234" s="157" t="s">
        <v>299</v>
      </c>
      <c r="AK234" s="158" t="s">
        <v>299</v>
      </c>
      <c r="AL234" s="159" t="s">
        <v>299</v>
      </c>
      <c r="AM234" s="160" t="s">
        <v>305</v>
      </c>
      <c r="AN234" s="161" t="s">
        <v>299</v>
      </c>
      <c r="AO234" s="161" t="s">
        <v>299</v>
      </c>
      <c r="AP234" s="162" t="s">
        <v>299</v>
      </c>
      <c r="AQ234" s="163">
        <v>5074481</v>
      </c>
      <c r="AR234" s="164">
        <v>964151</v>
      </c>
      <c r="AS234" s="164">
        <v>6038632</v>
      </c>
      <c r="AT234" s="164">
        <v>5074481</v>
      </c>
      <c r="AU234" s="164">
        <v>6038632</v>
      </c>
      <c r="AV234" s="165">
        <f t="shared" si="135"/>
        <v>5645111</v>
      </c>
      <c r="AW234" s="165">
        <f t="shared" si="136"/>
        <v>5645111</v>
      </c>
      <c r="AX234" s="165" t="str">
        <f t="shared" si="137"/>
        <v/>
      </c>
      <c r="AY234" s="166">
        <v>2.4299999999999999E-2</v>
      </c>
      <c r="AZ234" s="5"/>
      <c r="BA234" s="7"/>
      <c r="BB234" s="7"/>
    </row>
    <row r="235" spans="1:54" ht="297" x14ac:dyDescent="0.25">
      <c r="A235" s="137" t="s">
        <v>299</v>
      </c>
      <c r="B235" s="137" t="s">
        <v>299</v>
      </c>
      <c r="C235" s="137" t="s">
        <v>299</v>
      </c>
      <c r="D235" s="137" t="s">
        <v>1064</v>
      </c>
      <c r="E235" s="138" t="s">
        <v>1065</v>
      </c>
      <c r="F235" s="139" t="s">
        <v>302</v>
      </c>
      <c r="G235" s="140">
        <v>1</v>
      </c>
      <c r="H235" s="139"/>
      <c r="I235" s="141"/>
      <c r="J235" s="142"/>
      <c r="K235" s="143"/>
      <c r="L235" s="144"/>
      <c r="M235" s="142"/>
      <c r="N235" s="145"/>
      <c r="O235" s="145"/>
      <c r="P235" s="145"/>
      <c r="Q235" s="146" t="s">
        <v>303</v>
      </c>
      <c r="R235" s="147" t="s">
        <v>303</v>
      </c>
      <c r="S235" s="147" t="s">
        <v>303</v>
      </c>
      <c r="T235" s="147" t="s">
        <v>303</v>
      </c>
      <c r="U235" s="147" t="s">
        <v>303</v>
      </c>
      <c r="V235" s="148" t="s">
        <v>299</v>
      </c>
      <c r="W235" s="149" t="s">
        <v>299</v>
      </c>
      <c r="X235" s="150" t="s">
        <v>299</v>
      </c>
      <c r="Y235" s="151" t="s">
        <v>299</v>
      </c>
      <c r="Z235" s="152" t="s">
        <v>304</v>
      </c>
      <c r="AA235" s="153" t="s">
        <v>299</v>
      </c>
      <c r="AB235" s="153" t="s">
        <v>299</v>
      </c>
      <c r="AC235" s="153" t="s">
        <v>299</v>
      </c>
      <c r="AD235" s="154" t="s">
        <v>299</v>
      </c>
      <c r="AE235" s="155" t="s">
        <v>299</v>
      </c>
      <c r="AF235" s="155">
        <f>AH235/1.19</f>
        <v>8664169.7478991598</v>
      </c>
      <c r="AG235" s="155">
        <f>AF235*19%</f>
        <v>1646192.2521008404</v>
      </c>
      <c r="AH235" s="155">
        <v>10310362</v>
      </c>
      <c r="AI235" s="156" t="s">
        <v>299</v>
      </c>
      <c r="AJ235" s="157" t="s">
        <v>299</v>
      </c>
      <c r="AK235" s="158" t="s">
        <v>299</v>
      </c>
      <c r="AL235" s="159" t="s">
        <v>299</v>
      </c>
      <c r="AM235" s="160" t="s">
        <v>305</v>
      </c>
      <c r="AN235" s="161" t="s">
        <v>299</v>
      </c>
      <c r="AO235" s="161" t="s">
        <v>299</v>
      </c>
      <c r="AP235" s="162" t="s">
        <v>299</v>
      </c>
      <c r="AQ235" s="163">
        <v>8371971</v>
      </c>
      <c r="AR235" s="164">
        <v>1590675</v>
      </c>
      <c r="AS235" s="164">
        <v>9962646</v>
      </c>
      <c r="AT235" s="164">
        <v>8371971</v>
      </c>
      <c r="AU235" s="164">
        <v>9962646</v>
      </c>
      <c r="AV235" s="165">
        <f t="shared" si="135"/>
        <v>9313408</v>
      </c>
      <c r="AW235" s="165">
        <f t="shared" si="136"/>
        <v>9313408</v>
      </c>
      <c r="AX235" s="165" t="str">
        <f t="shared" si="137"/>
        <v/>
      </c>
      <c r="AY235" s="166">
        <v>2.4299999999999999E-2</v>
      </c>
      <c r="AZ235" s="5"/>
      <c r="BA235" s="7"/>
      <c r="BB235" s="7"/>
    </row>
    <row r="236" spans="1:54" ht="81" x14ac:dyDescent="0.25">
      <c r="A236" s="137" t="s">
        <v>229</v>
      </c>
      <c r="B236" s="137" t="s">
        <v>306</v>
      </c>
      <c r="C236" s="137">
        <v>44122012</v>
      </c>
      <c r="D236" s="137" t="s">
        <v>1066</v>
      </c>
      <c r="E236" s="138" t="s">
        <v>1066</v>
      </c>
      <c r="F236" s="139" t="s">
        <v>233</v>
      </c>
      <c r="G236" s="140">
        <v>1</v>
      </c>
      <c r="H236" s="139" t="s">
        <v>51</v>
      </c>
      <c r="I236" s="141" t="s">
        <v>234</v>
      </c>
      <c r="J236" s="142">
        <v>46091</v>
      </c>
      <c r="K236" s="143" t="s">
        <v>1067</v>
      </c>
      <c r="L236" s="144" t="s">
        <v>241</v>
      </c>
      <c r="M236" s="142" t="s">
        <v>1068</v>
      </c>
      <c r="N236" s="145">
        <v>5200</v>
      </c>
      <c r="O236" s="145" t="s">
        <v>238</v>
      </c>
      <c r="P236" s="145" t="s">
        <v>239</v>
      </c>
      <c r="Q236" s="146">
        <f t="shared" ref="Q236:Q247" si="170">IF(O236="IVA Incluido",(N236/1.19),N236)</f>
        <v>4369.7478991596645</v>
      </c>
      <c r="R236" s="147">
        <f>IF(P236="Si tiene IVA",Q236*19%,0)</f>
        <v>830.25210084033631</v>
      </c>
      <c r="S236" s="147">
        <f t="shared" ref="S236:S247" si="171">Q236+R236</f>
        <v>5200.0000000000009</v>
      </c>
      <c r="T236" s="147">
        <f t="shared" ref="T236:T247" si="172">IF(B236="","",(N236*G236))</f>
        <v>5200</v>
      </c>
      <c r="U236" s="147">
        <f t="shared" ref="U236:U247" si="173">IF(B236="","",(S236*G236))</f>
        <v>5200.0000000000009</v>
      </c>
      <c r="V236" s="148" t="s">
        <v>234</v>
      </c>
      <c r="W236" s="149">
        <v>46091</v>
      </c>
      <c r="X236" s="150" t="s">
        <v>655</v>
      </c>
      <c r="Y236" s="151" t="s">
        <v>241</v>
      </c>
      <c r="Z236" s="152" t="s">
        <v>818</v>
      </c>
      <c r="AA236" s="153">
        <v>4200</v>
      </c>
      <c r="AB236" s="153" t="s">
        <v>245</v>
      </c>
      <c r="AC236" s="153" t="s">
        <v>239</v>
      </c>
      <c r="AD236" s="154">
        <f t="shared" ref="AD236:AD247" si="174">IF(AB236="IVA Incluido",(AA236/1.19),AA236)</f>
        <v>4200</v>
      </c>
      <c r="AE236" s="155">
        <f>IF(AC236="Si tiene IVA",AD236*19%,0)</f>
        <v>798</v>
      </c>
      <c r="AF236" s="155">
        <f t="shared" ref="AF236:AF247" si="175">AD236+AE236</f>
        <v>4998</v>
      </c>
      <c r="AG236" s="155">
        <f t="shared" ref="AG236:AG247" si="176">IF(O236="","",(AA236*G236))</f>
        <v>4200</v>
      </c>
      <c r="AH236" s="155">
        <f t="shared" ref="AH236:AH247" si="177">IF(O236="","",(AF236*G236))</f>
        <v>4998</v>
      </c>
      <c r="AI236" s="156" t="s">
        <v>234</v>
      </c>
      <c r="AJ236" s="157">
        <v>46091</v>
      </c>
      <c r="AK236" s="158" t="s">
        <v>794</v>
      </c>
      <c r="AL236" s="159" t="s">
        <v>241</v>
      </c>
      <c r="AM236" s="160" t="s">
        <v>795</v>
      </c>
      <c r="AN236" s="161">
        <v>4800</v>
      </c>
      <c r="AO236" s="161" t="s">
        <v>238</v>
      </c>
      <c r="AP236" s="162" t="s">
        <v>239</v>
      </c>
      <c r="AQ236" s="163">
        <f>IF(AO236="IVA Incluido",(AN236/1.19),AN236)</f>
        <v>4033.6134453781515</v>
      </c>
      <c r="AR236" s="164">
        <f>IF(AP236="Si tiene IVA",AQ236*19%,0)</f>
        <v>766.38655462184875</v>
      </c>
      <c r="AS236" s="164">
        <f t="shared" ref="AS236:AS247" si="178">AQ236+AR236</f>
        <v>4800</v>
      </c>
      <c r="AT236" s="164">
        <f t="shared" ref="AT236:AT247" si="179">IF(AB236="","",(AN236*G236))</f>
        <v>4800</v>
      </c>
      <c r="AU236" s="164">
        <f t="shared" ref="AU236:AU247" si="180">IF(AB236="","",(AS236*G236))</f>
        <v>4800</v>
      </c>
      <c r="AV236" s="165">
        <f t="shared" si="135"/>
        <v>4999</v>
      </c>
      <c r="AW236" s="165">
        <f t="shared" si="136"/>
        <v>4999</v>
      </c>
      <c r="AX236" s="165">
        <f t="shared" si="137"/>
        <v>200</v>
      </c>
      <c r="AY236" s="166">
        <f t="shared" ref="AY236:AY247" si="181">IF(N236="","",(AX236/AW236))</f>
        <v>4.0008001600320066E-2</v>
      </c>
      <c r="AZ236" s="5"/>
      <c r="BA236" s="7">
        <f t="shared" ref="BA236:BA247" si="182">COUNTA(M236,Z236,AM236)</f>
        <v>3</v>
      </c>
      <c r="BB236" s="7"/>
    </row>
    <row r="237" spans="1:54" ht="94.5" x14ac:dyDescent="0.25">
      <c r="A237" s="137" t="s">
        <v>229</v>
      </c>
      <c r="B237" s="137" t="s">
        <v>306</v>
      </c>
      <c r="C237" s="137">
        <v>44111905</v>
      </c>
      <c r="D237" s="137" t="s">
        <v>1069</v>
      </c>
      <c r="E237" s="137" t="s">
        <v>1070</v>
      </c>
      <c r="F237" s="139" t="s">
        <v>233</v>
      </c>
      <c r="G237" s="140">
        <v>1</v>
      </c>
      <c r="H237" s="139" t="s">
        <v>51</v>
      </c>
      <c r="I237" s="141" t="s">
        <v>234</v>
      </c>
      <c r="J237" s="142">
        <v>46091</v>
      </c>
      <c r="K237" s="143" t="s">
        <v>655</v>
      </c>
      <c r="L237" s="144" t="s">
        <v>241</v>
      </c>
      <c r="M237" s="142" t="s">
        <v>656</v>
      </c>
      <c r="N237" s="145">
        <v>106000</v>
      </c>
      <c r="O237" s="145" t="s">
        <v>245</v>
      </c>
      <c r="P237" s="145" t="s">
        <v>239</v>
      </c>
      <c r="Q237" s="146">
        <f t="shared" si="170"/>
        <v>106000</v>
      </c>
      <c r="R237" s="147">
        <f>IF(P237="Si tiene IVA",Q237*19%,0)</f>
        <v>20140</v>
      </c>
      <c r="S237" s="147">
        <f t="shared" si="171"/>
        <v>126140</v>
      </c>
      <c r="T237" s="147">
        <f t="shared" si="172"/>
        <v>106000</v>
      </c>
      <c r="U237" s="147">
        <f t="shared" si="173"/>
        <v>126140</v>
      </c>
      <c r="V237" s="148" t="s">
        <v>234</v>
      </c>
      <c r="W237" s="149">
        <v>46091</v>
      </c>
      <c r="X237" s="150" t="s">
        <v>1071</v>
      </c>
      <c r="Y237" s="151" t="s">
        <v>241</v>
      </c>
      <c r="Z237" s="152" t="s">
        <v>1072</v>
      </c>
      <c r="AA237" s="153">
        <v>132000</v>
      </c>
      <c r="AB237" s="153" t="s">
        <v>238</v>
      </c>
      <c r="AC237" s="153" t="s">
        <v>239</v>
      </c>
      <c r="AD237" s="154">
        <f t="shared" si="174"/>
        <v>110924.36974789917</v>
      </c>
      <c r="AE237" s="155">
        <f>IF(AC237="Si tiene IVA",AD237*19%,0)</f>
        <v>21075.630252100844</v>
      </c>
      <c r="AF237" s="155">
        <f t="shared" si="175"/>
        <v>132000</v>
      </c>
      <c r="AG237" s="155">
        <f t="shared" si="176"/>
        <v>132000</v>
      </c>
      <c r="AH237" s="155">
        <f t="shared" si="177"/>
        <v>132000</v>
      </c>
      <c r="AI237" s="156" t="s">
        <v>234</v>
      </c>
      <c r="AJ237" s="157">
        <v>46091</v>
      </c>
      <c r="AK237" s="158" t="s">
        <v>1073</v>
      </c>
      <c r="AL237" s="159" t="s">
        <v>241</v>
      </c>
      <c r="AM237" s="160" t="s">
        <v>811</v>
      </c>
      <c r="AN237" s="161">
        <v>159900</v>
      </c>
      <c r="AO237" s="161" t="s">
        <v>238</v>
      </c>
      <c r="AP237" s="162" t="s">
        <v>239</v>
      </c>
      <c r="AQ237" s="163">
        <f>IF(AO237="IVA Incluido",(AN237/1.19),AN237)</f>
        <v>134369.74789915967</v>
      </c>
      <c r="AR237" s="164">
        <f>IF(AP237="Si tiene IVA",AQ237*19%,0)</f>
        <v>25530.252100840338</v>
      </c>
      <c r="AS237" s="164">
        <f t="shared" si="178"/>
        <v>159900</v>
      </c>
      <c r="AT237" s="164">
        <f t="shared" si="179"/>
        <v>159900</v>
      </c>
      <c r="AU237" s="164">
        <f t="shared" si="180"/>
        <v>159900</v>
      </c>
      <c r="AV237" s="165">
        <f t="shared" si="135"/>
        <v>139347</v>
      </c>
      <c r="AW237" s="165">
        <f t="shared" si="136"/>
        <v>139347</v>
      </c>
      <c r="AX237" s="165">
        <f t="shared" si="137"/>
        <v>18039</v>
      </c>
      <c r="AY237" s="166">
        <f t="shared" si="181"/>
        <v>0.12945380955456523</v>
      </c>
      <c r="AZ237" s="5"/>
      <c r="BA237" s="7">
        <f t="shared" si="182"/>
        <v>3</v>
      </c>
      <c r="BB237" s="7"/>
    </row>
    <row r="238" spans="1:54" ht="54" x14ac:dyDescent="0.25">
      <c r="A238" s="137" t="s">
        <v>229</v>
      </c>
      <c r="B238" s="137" t="s">
        <v>306</v>
      </c>
      <c r="C238" s="137">
        <v>60121201</v>
      </c>
      <c r="D238" s="137" t="s">
        <v>1074</v>
      </c>
      <c r="E238" s="137" t="s">
        <v>1075</v>
      </c>
      <c r="F238" s="139" t="s">
        <v>233</v>
      </c>
      <c r="G238" s="140">
        <v>1</v>
      </c>
      <c r="H238" s="139" t="s">
        <v>51</v>
      </c>
      <c r="I238" s="141" t="s">
        <v>234</v>
      </c>
      <c r="J238" s="142">
        <v>46091</v>
      </c>
      <c r="K238" s="143" t="s">
        <v>1076</v>
      </c>
      <c r="L238" s="144" t="s">
        <v>241</v>
      </c>
      <c r="M238" s="142" t="s">
        <v>1077</v>
      </c>
      <c r="N238" s="145">
        <v>1316</v>
      </c>
      <c r="O238" s="145" t="s">
        <v>238</v>
      </c>
      <c r="P238" s="145" t="s">
        <v>239</v>
      </c>
      <c r="Q238" s="146">
        <f t="shared" si="170"/>
        <v>1105.8823529411766</v>
      </c>
      <c r="R238" s="147">
        <f>IF(P238="Si tiene IVA",Q238*19%,0)</f>
        <v>210.11764705882356</v>
      </c>
      <c r="S238" s="147">
        <f t="shared" si="171"/>
        <v>1316.0000000000002</v>
      </c>
      <c r="T238" s="147">
        <f t="shared" si="172"/>
        <v>1316</v>
      </c>
      <c r="U238" s="147">
        <f t="shared" si="173"/>
        <v>1316.0000000000002</v>
      </c>
      <c r="V238" s="148" t="s">
        <v>234</v>
      </c>
      <c r="W238" s="149">
        <v>46099</v>
      </c>
      <c r="X238" s="150" t="s">
        <v>1078</v>
      </c>
      <c r="Y238" s="151" t="s">
        <v>241</v>
      </c>
      <c r="Z238" s="152" t="s">
        <v>1079</v>
      </c>
      <c r="AA238" s="153">
        <v>1500</v>
      </c>
      <c r="AB238" s="153" t="s">
        <v>238</v>
      </c>
      <c r="AC238" s="153" t="s">
        <v>239</v>
      </c>
      <c r="AD238" s="154">
        <f t="shared" si="174"/>
        <v>1260.5042016806724</v>
      </c>
      <c r="AE238" s="155">
        <f>IF(AC238="Si tiene IVA",AD238*19%,0)</f>
        <v>239.49579831932775</v>
      </c>
      <c r="AF238" s="155">
        <f t="shared" si="175"/>
        <v>1500.0000000000002</v>
      </c>
      <c r="AG238" s="155">
        <f t="shared" si="176"/>
        <v>1500</v>
      </c>
      <c r="AH238" s="155">
        <f t="shared" si="177"/>
        <v>1500.0000000000002</v>
      </c>
      <c r="AI238" s="156" t="s">
        <v>234</v>
      </c>
      <c r="AJ238" s="157">
        <v>46099</v>
      </c>
      <c r="AK238" s="158" t="s">
        <v>1080</v>
      </c>
      <c r="AL238" s="159" t="s">
        <v>241</v>
      </c>
      <c r="AM238" s="160" t="s">
        <v>1081</v>
      </c>
      <c r="AN238" s="161">
        <v>1200</v>
      </c>
      <c r="AO238" s="161" t="s">
        <v>238</v>
      </c>
      <c r="AP238" s="162" t="s">
        <v>239</v>
      </c>
      <c r="AQ238" s="163">
        <f>IF(AO238="IVA Incluido",(AN238/1.19),AN238)</f>
        <v>1008.4033613445379</v>
      </c>
      <c r="AR238" s="164">
        <f>IF(AP238="Si tiene IVA",AQ238*19%,0)</f>
        <v>191.59663865546219</v>
      </c>
      <c r="AS238" s="164">
        <f t="shared" si="178"/>
        <v>1200</v>
      </c>
      <c r="AT238" s="164">
        <f t="shared" si="179"/>
        <v>1200</v>
      </c>
      <c r="AU238" s="164">
        <f t="shared" si="180"/>
        <v>1200</v>
      </c>
      <c r="AV238" s="165">
        <f t="shared" si="135"/>
        <v>1339</v>
      </c>
      <c r="AW238" s="165">
        <f t="shared" si="136"/>
        <v>1339</v>
      </c>
      <c r="AX238" s="165">
        <f t="shared" si="137"/>
        <v>151</v>
      </c>
      <c r="AY238" s="166">
        <f t="shared" si="181"/>
        <v>0.11277072442120986</v>
      </c>
      <c r="AZ238" s="5"/>
      <c r="BA238" s="7">
        <f t="shared" si="182"/>
        <v>3</v>
      </c>
      <c r="BB238" s="7"/>
    </row>
    <row r="239" spans="1:54" ht="67.5" x14ac:dyDescent="0.25">
      <c r="A239" s="137" t="s">
        <v>229</v>
      </c>
      <c r="B239" s="137" t="s">
        <v>306</v>
      </c>
      <c r="C239" s="137">
        <v>60121201</v>
      </c>
      <c r="D239" s="137" t="s">
        <v>1082</v>
      </c>
      <c r="E239" s="137" t="s">
        <v>1083</v>
      </c>
      <c r="F239" s="139" t="s">
        <v>233</v>
      </c>
      <c r="G239" s="140">
        <v>1</v>
      </c>
      <c r="H239" s="139" t="s">
        <v>51</v>
      </c>
      <c r="I239" s="141" t="s">
        <v>234</v>
      </c>
      <c r="J239" s="142">
        <v>46091</v>
      </c>
      <c r="K239" s="143" t="s">
        <v>1084</v>
      </c>
      <c r="L239" s="144" t="s">
        <v>241</v>
      </c>
      <c r="M239" s="142" t="s">
        <v>1085</v>
      </c>
      <c r="N239" s="145">
        <v>3900</v>
      </c>
      <c r="O239" s="145" t="s">
        <v>238</v>
      </c>
      <c r="P239" s="145" t="s">
        <v>239</v>
      </c>
      <c r="Q239" s="146">
        <f t="shared" si="170"/>
        <v>3277.3109243697481</v>
      </c>
      <c r="R239" s="147">
        <f>IF(P239="Si tiene IVA",Q239*19%,0)</f>
        <v>622.6890756302522</v>
      </c>
      <c r="S239" s="147">
        <f t="shared" si="171"/>
        <v>3900.0000000000005</v>
      </c>
      <c r="T239" s="147">
        <f t="shared" si="172"/>
        <v>3900</v>
      </c>
      <c r="U239" s="147">
        <f t="shared" si="173"/>
        <v>3900.0000000000005</v>
      </c>
      <c r="V239" s="148" t="s">
        <v>234</v>
      </c>
      <c r="W239" s="149">
        <v>46091</v>
      </c>
      <c r="X239" s="150" t="s">
        <v>1086</v>
      </c>
      <c r="Y239" s="151" t="s">
        <v>241</v>
      </c>
      <c r="Z239" s="152" t="s">
        <v>952</v>
      </c>
      <c r="AA239" s="153">
        <v>3200</v>
      </c>
      <c r="AB239" s="153" t="s">
        <v>238</v>
      </c>
      <c r="AC239" s="153" t="s">
        <v>239</v>
      </c>
      <c r="AD239" s="154">
        <f t="shared" si="174"/>
        <v>2689.0756302521008</v>
      </c>
      <c r="AE239" s="155">
        <f>IF(AC239="Si tiene IVA",AD239*19%,0)</f>
        <v>510.92436974789916</v>
      </c>
      <c r="AF239" s="155">
        <f t="shared" si="175"/>
        <v>3200</v>
      </c>
      <c r="AG239" s="155">
        <f t="shared" si="176"/>
        <v>3200</v>
      </c>
      <c r="AH239" s="155">
        <f t="shared" si="177"/>
        <v>3200</v>
      </c>
      <c r="AI239" s="156" t="s">
        <v>234</v>
      </c>
      <c r="AJ239" s="157">
        <v>46091</v>
      </c>
      <c r="AK239" s="158" t="s">
        <v>794</v>
      </c>
      <c r="AL239" s="159" t="s">
        <v>241</v>
      </c>
      <c r="AM239" s="160" t="s">
        <v>795</v>
      </c>
      <c r="AN239" s="161">
        <v>3900</v>
      </c>
      <c r="AO239" s="161" t="s">
        <v>238</v>
      </c>
      <c r="AP239" s="162" t="s">
        <v>239</v>
      </c>
      <c r="AQ239" s="163">
        <f>IF(AO239="IVA Incluido",(AN239/1.19),AN239)</f>
        <v>3277.3109243697481</v>
      </c>
      <c r="AR239" s="164">
        <f>IF(AP239="Si tiene IVA",AQ239*19%,0)</f>
        <v>622.6890756302522</v>
      </c>
      <c r="AS239" s="164">
        <f t="shared" si="178"/>
        <v>3900.0000000000005</v>
      </c>
      <c r="AT239" s="164">
        <f t="shared" si="179"/>
        <v>3900</v>
      </c>
      <c r="AU239" s="164">
        <f t="shared" si="180"/>
        <v>3900.0000000000005</v>
      </c>
      <c r="AV239" s="165">
        <f t="shared" si="135"/>
        <v>3667</v>
      </c>
      <c r="AW239" s="165">
        <f t="shared" si="136"/>
        <v>3667</v>
      </c>
      <c r="AX239" s="165">
        <f t="shared" si="137"/>
        <v>404</v>
      </c>
      <c r="AY239" s="166">
        <f t="shared" si="181"/>
        <v>0.11017180256340332</v>
      </c>
      <c r="AZ239" s="5"/>
      <c r="BA239" s="7">
        <f t="shared" si="182"/>
        <v>3</v>
      </c>
      <c r="BB239" s="7"/>
    </row>
    <row r="240" spans="1:54" ht="409.5" x14ac:dyDescent="0.25">
      <c r="A240" s="137" t="s">
        <v>229</v>
      </c>
      <c r="B240" s="137" t="s">
        <v>306</v>
      </c>
      <c r="C240" s="137">
        <v>44121618</v>
      </c>
      <c r="D240" s="137" t="s">
        <v>1087</v>
      </c>
      <c r="E240" s="137" t="s">
        <v>1088</v>
      </c>
      <c r="F240" s="139" t="s">
        <v>233</v>
      </c>
      <c r="G240" s="140">
        <v>1</v>
      </c>
      <c r="H240" s="139" t="s">
        <v>51</v>
      </c>
      <c r="I240" s="141" t="s">
        <v>247</v>
      </c>
      <c r="J240" s="142">
        <v>46105</v>
      </c>
      <c r="K240" s="143" t="s">
        <v>1089</v>
      </c>
      <c r="L240" s="144" t="s">
        <v>241</v>
      </c>
      <c r="M240" s="142" t="s">
        <v>1090</v>
      </c>
      <c r="N240" s="145">
        <v>6373</v>
      </c>
      <c r="O240" s="145" t="s">
        <v>238</v>
      </c>
      <c r="P240" s="145" t="s">
        <v>239</v>
      </c>
      <c r="Q240" s="146">
        <f t="shared" si="170"/>
        <v>5355.4621848739498</v>
      </c>
      <c r="R240" s="147">
        <f>IF(P240="Si tiene IVA",Q240*19%,0)</f>
        <v>1017.5378151260505</v>
      </c>
      <c r="S240" s="147">
        <f t="shared" si="171"/>
        <v>6373</v>
      </c>
      <c r="T240" s="147">
        <f t="shared" si="172"/>
        <v>6373</v>
      </c>
      <c r="U240" s="147">
        <f t="shared" si="173"/>
        <v>6373</v>
      </c>
      <c r="V240" s="148" t="s">
        <v>247</v>
      </c>
      <c r="W240" s="149">
        <v>46105</v>
      </c>
      <c r="X240" s="150" t="s">
        <v>1091</v>
      </c>
      <c r="Y240" s="151" t="s">
        <v>241</v>
      </c>
      <c r="Z240" s="152" t="s">
        <v>1092</v>
      </c>
      <c r="AA240" s="153">
        <v>6900</v>
      </c>
      <c r="AB240" s="153" t="s">
        <v>238</v>
      </c>
      <c r="AC240" s="153" t="s">
        <v>239</v>
      </c>
      <c r="AD240" s="154">
        <f t="shared" si="174"/>
        <v>5798.3193277310929</v>
      </c>
      <c r="AE240" s="155">
        <f>IF(AC240="Si tiene IVA",AD240*19%,0)</f>
        <v>1101.6806722689078</v>
      </c>
      <c r="AF240" s="155">
        <f t="shared" si="175"/>
        <v>6900.0000000000009</v>
      </c>
      <c r="AG240" s="155">
        <f t="shared" si="176"/>
        <v>6900</v>
      </c>
      <c r="AH240" s="155">
        <f t="shared" si="177"/>
        <v>6900.0000000000009</v>
      </c>
      <c r="AI240" s="156"/>
      <c r="AJ240" s="157"/>
      <c r="AK240" s="158"/>
      <c r="AL240" s="159"/>
      <c r="AM240" s="160"/>
      <c r="AN240" s="161"/>
      <c r="AO240" s="161"/>
      <c r="AP240" s="162"/>
      <c r="AQ240" s="163"/>
      <c r="AR240" s="164"/>
      <c r="AS240" s="164">
        <f t="shared" si="178"/>
        <v>0</v>
      </c>
      <c r="AT240" s="164">
        <f t="shared" si="179"/>
        <v>0</v>
      </c>
      <c r="AU240" s="164">
        <f t="shared" si="180"/>
        <v>0</v>
      </c>
      <c r="AV240" s="165">
        <f t="shared" si="135"/>
        <v>4424</v>
      </c>
      <c r="AW240" s="165">
        <f t="shared" si="136"/>
        <v>4424</v>
      </c>
      <c r="AX240" s="165">
        <f t="shared" si="137"/>
        <v>3841</v>
      </c>
      <c r="AY240" s="166">
        <f t="shared" si="181"/>
        <v>0.86821880650994576</v>
      </c>
      <c r="AZ240" s="5" t="s">
        <v>1093</v>
      </c>
      <c r="BA240" s="7">
        <f t="shared" si="182"/>
        <v>2</v>
      </c>
      <c r="BB240" s="7"/>
    </row>
    <row r="241" spans="1:54" ht="67.5" x14ac:dyDescent="0.25">
      <c r="A241" s="137" t="s">
        <v>229</v>
      </c>
      <c r="B241" s="137" t="s">
        <v>306</v>
      </c>
      <c r="C241" s="137">
        <v>44121618</v>
      </c>
      <c r="D241" s="137" t="s">
        <v>1094</v>
      </c>
      <c r="E241" s="137" t="s">
        <v>1095</v>
      </c>
      <c r="F241" s="139" t="s">
        <v>233</v>
      </c>
      <c r="G241" s="140">
        <v>1</v>
      </c>
      <c r="H241" s="139" t="s">
        <v>51</v>
      </c>
      <c r="I241" s="141" t="s">
        <v>247</v>
      </c>
      <c r="J241" s="142">
        <v>46090</v>
      </c>
      <c r="K241" s="143" t="s">
        <v>1096</v>
      </c>
      <c r="L241" s="144" t="s">
        <v>241</v>
      </c>
      <c r="M241" s="142" t="s">
        <v>1097</v>
      </c>
      <c r="N241" s="145">
        <v>45900</v>
      </c>
      <c r="O241" s="145" t="s">
        <v>238</v>
      </c>
      <c r="P241" s="145" t="s">
        <v>239</v>
      </c>
      <c r="Q241" s="146">
        <f t="shared" si="170"/>
        <v>38571.428571428572</v>
      </c>
      <c r="R241" s="147">
        <v>7329</v>
      </c>
      <c r="S241" s="147">
        <f t="shared" si="171"/>
        <v>45900.428571428572</v>
      </c>
      <c r="T241" s="147">
        <f t="shared" si="172"/>
        <v>45900</v>
      </c>
      <c r="U241" s="147">
        <f t="shared" si="173"/>
        <v>45900.428571428572</v>
      </c>
      <c r="V241" s="148" t="s">
        <v>247</v>
      </c>
      <c r="W241" s="149">
        <v>46090</v>
      </c>
      <c r="X241" s="150" t="s">
        <v>1098</v>
      </c>
      <c r="Y241" s="151" t="s">
        <v>241</v>
      </c>
      <c r="Z241" s="152" t="s">
        <v>1099</v>
      </c>
      <c r="AA241" s="153">
        <v>54000</v>
      </c>
      <c r="AB241" s="153" t="s">
        <v>238</v>
      </c>
      <c r="AC241" s="153" t="s">
        <v>239</v>
      </c>
      <c r="AD241" s="154">
        <f t="shared" si="174"/>
        <v>45378.151260504201</v>
      </c>
      <c r="AE241" s="155">
        <v>8622</v>
      </c>
      <c r="AF241" s="155">
        <f t="shared" si="175"/>
        <v>54000.151260504201</v>
      </c>
      <c r="AG241" s="155">
        <f t="shared" si="176"/>
        <v>54000</v>
      </c>
      <c r="AH241" s="155">
        <f t="shared" si="177"/>
        <v>54000.151260504201</v>
      </c>
      <c r="AI241" s="156" t="s">
        <v>247</v>
      </c>
      <c r="AJ241" s="157">
        <v>46090</v>
      </c>
      <c r="AK241" s="158" t="s">
        <v>1100</v>
      </c>
      <c r="AL241" s="159" t="s">
        <v>241</v>
      </c>
      <c r="AM241" s="160" t="s">
        <v>1101</v>
      </c>
      <c r="AN241" s="161">
        <v>39418</v>
      </c>
      <c r="AO241" s="161" t="s">
        <v>238</v>
      </c>
      <c r="AP241" s="162" t="s">
        <v>239</v>
      </c>
      <c r="AQ241" s="163">
        <f t="shared" ref="AQ241:AQ247" si="183">IF(AO241="IVA Incluido",(AN241/1.19),AN241)</f>
        <v>33124.36974789916</v>
      </c>
      <c r="AR241" s="164">
        <v>6294</v>
      </c>
      <c r="AS241" s="164">
        <f t="shared" si="178"/>
        <v>39418.36974789916</v>
      </c>
      <c r="AT241" s="164">
        <f t="shared" si="179"/>
        <v>39418</v>
      </c>
      <c r="AU241" s="164">
        <f t="shared" si="180"/>
        <v>39418.36974789916</v>
      </c>
      <c r="AV241" s="165">
        <f t="shared" si="135"/>
        <v>46440</v>
      </c>
      <c r="AW241" s="165">
        <f t="shared" si="136"/>
        <v>46440</v>
      </c>
      <c r="AX241" s="165">
        <f t="shared" si="137"/>
        <v>7306</v>
      </c>
      <c r="AY241" s="166">
        <f t="shared" si="181"/>
        <v>0.15732127476313523</v>
      </c>
      <c r="AZ241" s="5"/>
      <c r="BA241" s="7">
        <f t="shared" si="182"/>
        <v>3</v>
      </c>
      <c r="BB241" s="7"/>
    </row>
    <row r="242" spans="1:54" ht="81" x14ac:dyDescent="0.25">
      <c r="A242" s="137" t="s">
        <v>229</v>
      </c>
      <c r="B242" s="137" t="s">
        <v>306</v>
      </c>
      <c r="C242" s="137">
        <v>44121618</v>
      </c>
      <c r="D242" s="137" t="s">
        <v>1102</v>
      </c>
      <c r="E242" s="137" t="s">
        <v>1103</v>
      </c>
      <c r="F242" s="139" t="s">
        <v>233</v>
      </c>
      <c r="G242" s="140">
        <v>1</v>
      </c>
      <c r="H242" s="139" t="s">
        <v>51</v>
      </c>
      <c r="I242" s="141" t="s">
        <v>234</v>
      </c>
      <c r="J242" s="142">
        <v>46091</v>
      </c>
      <c r="K242" s="143" t="s">
        <v>1104</v>
      </c>
      <c r="L242" s="144" t="s">
        <v>241</v>
      </c>
      <c r="M242" s="142" t="s">
        <v>1105</v>
      </c>
      <c r="N242" s="145">
        <v>1500</v>
      </c>
      <c r="O242" s="145" t="s">
        <v>238</v>
      </c>
      <c r="P242" s="145" t="s">
        <v>239</v>
      </c>
      <c r="Q242" s="146">
        <f t="shared" si="170"/>
        <v>1260.5042016806724</v>
      </c>
      <c r="R242" s="147">
        <f>Q242*19%</f>
        <v>239.49579831932775</v>
      </c>
      <c r="S242" s="147">
        <f t="shared" si="171"/>
        <v>1500.0000000000002</v>
      </c>
      <c r="T242" s="147">
        <f t="shared" si="172"/>
        <v>1500</v>
      </c>
      <c r="U242" s="147">
        <f t="shared" si="173"/>
        <v>1500.0000000000002</v>
      </c>
      <c r="V242" s="148" t="s">
        <v>234</v>
      </c>
      <c r="W242" s="149">
        <v>46091</v>
      </c>
      <c r="X242" s="150" t="s">
        <v>1106</v>
      </c>
      <c r="Y242" s="151" t="s">
        <v>241</v>
      </c>
      <c r="Z242" s="152" t="s">
        <v>293</v>
      </c>
      <c r="AA242" s="153">
        <v>2000</v>
      </c>
      <c r="AB242" s="153" t="s">
        <v>238</v>
      </c>
      <c r="AC242" s="153" t="s">
        <v>239</v>
      </c>
      <c r="AD242" s="154">
        <f t="shared" si="174"/>
        <v>1680.6722689075632</v>
      </c>
      <c r="AE242" s="155">
        <f>AD242*19%</f>
        <v>319.32773109243703</v>
      </c>
      <c r="AF242" s="155">
        <f t="shared" si="175"/>
        <v>2000.0000000000002</v>
      </c>
      <c r="AG242" s="155">
        <f t="shared" si="176"/>
        <v>2000</v>
      </c>
      <c r="AH242" s="155">
        <f t="shared" si="177"/>
        <v>2000.0000000000002</v>
      </c>
      <c r="AI242" s="156" t="s">
        <v>234</v>
      </c>
      <c r="AJ242" s="157">
        <v>46091</v>
      </c>
      <c r="AK242" s="158" t="s">
        <v>1107</v>
      </c>
      <c r="AL242" s="159" t="s">
        <v>241</v>
      </c>
      <c r="AM242" s="160" t="s">
        <v>1085</v>
      </c>
      <c r="AN242" s="161">
        <v>1400</v>
      </c>
      <c r="AO242" s="161" t="s">
        <v>238</v>
      </c>
      <c r="AP242" s="162" t="s">
        <v>239</v>
      </c>
      <c r="AQ242" s="163">
        <f t="shared" si="183"/>
        <v>1176.4705882352941</v>
      </c>
      <c r="AR242" s="164">
        <f>AQ242*19%</f>
        <v>223.52941176470588</v>
      </c>
      <c r="AS242" s="164">
        <f t="shared" si="178"/>
        <v>1400</v>
      </c>
      <c r="AT242" s="164">
        <f t="shared" si="179"/>
        <v>1400</v>
      </c>
      <c r="AU242" s="164">
        <f t="shared" si="180"/>
        <v>1400</v>
      </c>
      <c r="AV242" s="165">
        <f t="shared" si="135"/>
        <v>1633</v>
      </c>
      <c r="AW242" s="165">
        <f t="shared" si="136"/>
        <v>1633</v>
      </c>
      <c r="AX242" s="165">
        <f t="shared" si="137"/>
        <v>321</v>
      </c>
      <c r="AY242" s="166">
        <f t="shared" si="181"/>
        <v>0.19657072872014697</v>
      </c>
      <c r="AZ242" s="5"/>
      <c r="BA242" s="7">
        <f t="shared" si="182"/>
        <v>3</v>
      </c>
      <c r="BB242" s="7"/>
    </row>
    <row r="243" spans="1:54" ht="67.5" x14ac:dyDescent="0.25">
      <c r="A243" s="137" t="s">
        <v>229</v>
      </c>
      <c r="B243" s="137" t="s">
        <v>306</v>
      </c>
      <c r="C243" s="137"/>
      <c r="D243" s="137" t="s">
        <v>1108</v>
      </c>
      <c r="E243" s="137" t="s">
        <v>1109</v>
      </c>
      <c r="F243" s="139" t="s">
        <v>233</v>
      </c>
      <c r="G243" s="140">
        <v>1</v>
      </c>
      <c r="H243" s="139" t="s">
        <v>51</v>
      </c>
      <c r="I243" s="141" t="s">
        <v>247</v>
      </c>
      <c r="J243" s="142">
        <v>46090</v>
      </c>
      <c r="K243" s="143" t="s">
        <v>655</v>
      </c>
      <c r="L243" s="144" t="s">
        <v>236</v>
      </c>
      <c r="M243" s="142" t="s">
        <v>656</v>
      </c>
      <c r="N243" s="145">
        <v>3300</v>
      </c>
      <c r="O243" s="145" t="s">
        <v>238</v>
      </c>
      <c r="P243" s="145" t="s">
        <v>239</v>
      </c>
      <c r="Q243" s="146">
        <f t="shared" si="170"/>
        <v>2773.1092436974791</v>
      </c>
      <c r="R243" s="147">
        <f>Q243*19%</f>
        <v>526.89075630252103</v>
      </c>
      <c r="S243" s="147">
        <f t="shared" si="171"/>
        <v>3300</v>
      </c>
      <c r="T243" s="147">
        <f t="shared" si="172"/>
        <v>3300</v>
      </c>
      <c r="U243" s="147">
        <f t="shared" si="173"/>
        <v>3300</v>
      </c>
      <c r="V243" s="148" t="s">
        <v>247</v>
      </c>
      <c r="W243" s="149">
        <v>46090</v>
      </c>
      <c r="X243" s="150" t="s">
        <v>1110</v>
      </c>
      <c r="Y243" s="151" t="s">
        <v>241</v>
      </c>
      <c r="Z243" s="152" t="s">
        <v>1101</v>
      </c>
      <c r="AA243" s="153">
        <v>2827</v>
      </c>
      <c r="AB243" s="153" t="s">
        <v>238</v>
      </c>
      <c r="AC243" s="153" t="s">
        <v>238</v>
      </c>
      <c r="AD243" s="154">
        <f t="shared" si="174"/>
        <v>2375.6302521008406</v>
      </c>
      <c r="AE243" s="155">
        <f>AD243*19%</f>
        <v>451.36974789915973</v>
      </c>
      <c r="AF243" s="155">
        <f t="shared" si="175"/>
        <v>2827.0000000000005</v>
      </c>
      <c r="AG243" s="155">
        <f t="shared" si="176"/>
        <v>2827</v>
      </c>
      <c r="AH243" s="155">
        <f t="shared" si="177"/>
        <v>2827.0000000000005</v>
      </c>
      <c r="AI243" s="156" t="s">
        <v>247</v>
      </c>
      <c r="AJ243" s="157">
        <v>46090</v>
      </c>
      <c r="AK243" s="158" t="s">
        <v>1111</v>
      </c>
      <c r="AL243" s="159" t="s">
        <v>241</v>
      </c>
      <c r="AM243" s="160" t="s">
        <v>1112</v>
      </c>
      <c r="AN243" s="161">
        <v>3161</v>
      </c>
      <c r="AO243" s="161" t="s">
        <v>238</v>
      </c>
      <c r="AP243" s="162" t="s">
        <v>238</v>
      </c>
      <c r="AQ243" s="163">
        <f t="shared" si="183"/>
        <v>2656.3025210084033</v>
      </c>
      <c r="AR243" s="164">
        <f>AQ243*19%</f>
        <v>504.69747899159665</v>
      </c>
      <c r="AS243" s="164">
        <f t="shared" si="178"/>
        <v>3161</v>
      </c>
      <c r="AT243" s="164">
        <f t="shared" si="179"/>
        <v>3161</v>
      </c>
      <c r="AU243" s="164">
        <f t="shared" si="180"/>
        <v>3161</v>
      </c>
      <c r="AV243" s="165">
        <f t="shared" si="135"/>
        <v>3096</v>
      </c>
      <c r="AW243" s="165">
        <f t="shared" si="136"/>
        <v>3096</v>
      </c>
      <c r="AX243" s="165">
        <f t="shared" si="137"/>
        <v>243</v>
      </c>
      <c r="AY243" s="166">
        <f t="shared" si="181"/>
        <v>7.8488372093023256E-2</v>
      </c>
      <c r="AZ243" s="5"/>
      <c r="BA243" s="7">
        <f t="shared" si="182"/>
        <v>3</v>
      </c>
      <c r="BB243" s="7"/>
    </row>
    <row r="244" spans="1:54" ht="81" x14ac:dyDescent="0.25">
      <c r="A244" s="137" t="s">
        <v>229</v>
      </c>
      <c r="B244" s="137" t="s">
        <v>306</v>
      </c>
      <c r="C244" s="137"/>
      <c r="D244" s="137" t="s">
        <v>1113</v>
      </c>
      <c r="E244" s="137" t="s">
        <v>1114</v>
      </c>
      <c r="F244" s="139" t="s">
        <v>233</v>
      </c>
      <c r="G244" s="140">
        <v>1</v>
      </c>
      <c r="H244" s="139" t="s">
        <v>51</v>
      </c>
      <c r="I244" s="141" t="s">
        <v>234</v>
      </c>
      <c r="J244" s="142">
        <v>46091</v>
      </c>
      <c r="K244" s="143" t="s">
        <v>1115</v>
      </c>
      <c r="L244" s="144" t="s">
        <v>241</v>
      </c>
      <c r="M244" s="142" t="s">
        <v>1116</v>
      </c>
      <c r="N244" s="145">
        <v>1000</v>
      </c>
      <c r="O244" s="145" t="s">
        <v>238</v>
      </c>
      <c r="P244" s="145" t="s">
        <v>239</v>
      </c>
      <c r="Q244" s="146">
        <f t="shared" si="170"/>
        <v>840.3361344537816</v>
      </c>
      <c r="R244" s="147">
        <f>Q244*19%</f>
        <v>159.66386554621852</v>
      </c>
      <c r="S244" s="147">
        <f t="shared" si="171"/>
        <v>1000.0000000000001</v>
      </c>
      <c r="T244" s="147">
        <f t="shared" si="172"/>
        <v>1000</v>
      </c>
      <c r="U244" s="147">
        <f t="shared" si="173"/>
        <v>1000.0000000000001</v>
      </c>
      <c r="V244" s="148" t="s">
        <v>234</v>
      </c>
      <c r="W244" s="149">
        <v>46091</v>
      </c>
      <c r="X244" s="150" t="s">
        <v>1117</v>
      </c>
      <c r="Y244" s="151" t="s">
        <v>241</v>
      </c>
      <c r="Z244" s="152" t="s">
        <v>1118</v>
      </c>
      <c r="AA244" s="153">
        <v>1200</v>
      </c>
      <c r="AB244" s="153" t="s">
        <v>238</v>
      </c>
      <c r="AC244" s="153" t="s">
        <v>239</v>
      </c>
      <c r="AD244" s="154">
        <f t="shared" si="174"/>
        <v>1008.4033613445379</v>
      </c>
      <c r="AE244" s="155">
        <f>AD244*19%</f>
        <v>191.59663865546219</v>
      </c>
      <c r="AF244" s="155">
        <f t="shared" si="175"/>
        <v>1200</v>
      </c>
      <c r="AG244" s="155">
        <f t="shared" si="176"/>
        <v>1200</v>
      </c>
      <c r="AH244" s="155">
        <f t="shared" si="177"/>
        <v>1200</v>
      </c>
      <c r="AI244" s="156" t="s">
        <v>234</v>
      </c>
      <c r="AJ244" s="157">
        <v>46091</v>
      </c>
      <c r="AK244" s="158" t="s">
        <v>1119</v>
      </c>
      <c r="AL244" s="159" t="s">
        <v>241</v>
      </c>
      <c r="AM244" s="160" t="s">
        <v>1120</v>
      </c>
      <c r="AN244" s="161">
        <v>1200</v>
      </c>
      <c r="AO244" s="161" t="s">
        <v>238</v>
      </c>
      <c r="AP244" s="162" t="s">
        <v>239</v>
      </c>
      <c r="AQ244" s="163">
        <f t="shared" si="183"/>
        <v>1008.4033613445379</v>
      </c>
      <c r="AR244" s="164">
        <f>AQ244*19%</f>
        <v>191.59663865546219</v>
      </c>
      <c r="AS244" s="164">
        <f t="shared" si="178"/>
        <v>1200</v>
      </c>
      <c r="AT244" s="164">
        <f t="shared" si="179"/>
        <v>1200</v>
      </c>
      <c r="AU244" s="164">
        <f t="shared" si="180"/>
        <v>1200</v>
      </c>
      <c r="AV244" s="165">
        <f t="shared" si="135"/>
        <v>1133</v>
      </c>
      <c r="AW244" s="165">
        <f t="shared" si="136"/>
        <v>1133</v>
      </c>
      <c r="AX244" s="165">
        <f t="shared" si="137"/>
        <v>115</v>
      </c>
      <c r="AY244" s="166">
        <f t="shared" si="181"/>
        <v>0.10150044130626655</v>
      </c>
      <c r="AZ244" s="5"/>
      <c r="BA244" s="7">
        <f t="shared" si="182"/>
        <v>3</v>
      </c>
      <c r="BB244" s="7"/>
    </row>
    <row r="245" spans="1:54" ht="94.5" x14ac:dyDescent="0.25">
      <c r="A245" s="137" t="s">
        <v>229</v>
      </c>
      <c r="B245" s="137" t="s">
        <v>230</v>
      </c>
      <c r="C245" s="137">
        <v>53121602</v>
      </c>
      <c r="D245" s="137" t="s">
        <v>1121</v>
      </c>
      <c r="E245" s="137" t="s">
        <v>1122</v>
      </c>
      <c r="F245" s="139" t="s">
        <v>233</v>
      </c>
      <c r="G245" s="140">
        <v>1</v>
      </c>
      <c r="H245" s="139" t="s">
        <v>51</v>
      </c>
      <c r="I245" s="141" t="s">
        <v>281</v>
      </c>
      <c r="J245" s="142">
        <v>46070</v>
      </c>
      <c r="K245" s="143" t="s">
        <v>248</v>
      </c>
      <c r="L245" s="144" t="s">
        <v>241</v>
      </c>
      <c r="M245" s="142" t="s">
        <v>244</v>
      </c>
      <c r="N245" s="145">
        <v>17500</v>
      </c>
      <c r="O245" s="145" t="s">
        <v>245</v>
      </c>
      <c r="P245" s="145" t="s">
        <v>239</v>
      </c>
      <c r="Q245" s="146">
        <f t="shared" si="170"/>
        <v>17500</v>
      </c>
      <c r="R245" s="147">
        <f>IF(P245="Si tiene IVA",Q245*19%,0)</f>
        <v>3325</v>
      </c>
      <c r="S245" s="147">
        <f t="shared" si="171"/>
        <v>20825</v>
      </c>
      <c r="T245" s="147">
        <f t="shared" si="172"/>
        <v>17500</v>
      </c>
      <c r="U245" s="147">
        <f t="shared" si="173"/>
        <v>20825</v>
      </c>
      <c r="V245" s="148" t="s">
        <v>281</v>
      </c>
      <c r="W245" s="149">
        <v>46070</v>
      </c>
      <c r="X245" s="150" t="s">
        <v>270</v>
      </c>
      <c r="Y245" s="151" t="s">
        <v>241</v>
      </c>
      <c r="Z245" s="152" t="s">
        <v>595</v>
      </c>
      <c r="AA245" s="153">
        <v>20000</v>
      </c>
      <c r="AB245" s="153" t="s">
        <v>245</v>
      </c>
      <c r="AC245" s="153" t="s">
        <v>239</v>
      </c>
      <c r="AD245" s="154">
        <f t="shared" si="174"/>
        <v>20000</v>
      </c>
      <c r="AE245" s="155">
        <f>IF(AC245="Si tiene IVA",AD245*19%,0)</f>
        <v>3800</v>
      </c>
      <c r="AF245" s="155">
        <f t="shared" si="175"/>
        <v>23800</v>
      </c>
      <c r="AG245" s="155">
        <f t="shared" si="176"/>
        <v>20000</v>
      </c>
      <c r="AH245" s="155">
        <f t="shared" si="177"/>
        <v>23800</v>
      </c>
      <c r="AI245" s="156" t="s">
        <v>281</v>
      </c>
      <c r="AJ245" s="157">
        <v>46071</v>
      </c>
      <c r="AK245" s="158" t="s">
        <v>263</v>
      </c>
      <c r="AL245" s="159" t="s">
        <v>241</v>
      </c>
      <c r="AM245" s="160" t="s">
        <v>264</v>
      </c>
      <c r="AN245" s="161">
        <v>18000</v>
      </c>
      <c r="AO245" s="161" t="s">
        <v>245</v>
      </c>
      <c r="AP245" s="162" t="s">
        <v>265</v>
      </c>
      <c r="AQ245" s="163">
        <f t="shared" si="183"/>
        <v>18000</v>
      </c>
      <c r="AR245" s="164">
        <f>IF(AP245="Si tiene IVA",AQ245*19%,0)</f>
        <v>0</v>
      </c>
      <c r="AS245" s="164">
        <f t="shared" si="178"/>
        <v>18000</v>
      </c>
      <c r="AT245" s="164">
        <f t="shared" si="179"/>
        <v>18000</v>
      </c>
      <c r="AU245" s="164">
        <f t="shared" si="180"/>
        <v>18000</v>
      </c>
      <c r="AV245" s="165">
        <f t="shared" si="135"/>
        <v>20875</v>
      </c>
      <c r="AW245" s="165">
        <f t="shared" si="136"/>
        <v>20875</v>
      </c>
      <c r="AX245" s="165">
        <f t="shared" si="137"/>
        <v>2900</v>
      </c>
      <c r="AY245" s="166">
        <f t="shared" si="181"/>
        <v>0.13892215568862276</v>
      </c>
      <c r="AZ245" s="5"/>
      <c r="BA245" s="7">
        <f t="shared" si="182"/>
        <v>3</v>
      </c>
      <c r="BB245" s="7" t="s">
        <v>277</v>
      </c>
    </row>
    <row r="246" spans="1:54" ht="135" x14ac:dyDescent="0.25">
      <c r="A246" s="137" t="s">
        <v>229</v>
      </c>
      <c r="B246" s="137" t="s">
        <v>230</v>
      </c>
      <c r="C246" s="137">
        <v>82101505</v>
      </c>
      <c r="D246" s="137" t="s">
        <v>1123</v>
      </c>
      <c r="E246" s="137" t="s">
        <v>1124</v>
      </c>
      <c r="F246" s="139" t="s">
        <v>1125</v>
      </c>
      <c r="G246" s="140">
        <v>100</v>
      </c>
      <c r="H246" s="139" t="s">
        <v>51</v>
      </c>
      <c r="I246" s="141" t="s">
        <v>247</v>
      </c>
      <c r="J246" s="142">
        <v>46147</v>
      </c>
      <c r="K246" s="143" t="s">
        <v>1126</v>
      </c>
      <c r="L246" s="144" t="s">
        <v>236</v>
      </c>
      <c r="M246" s="142" t="s">
        <v>1127</v>
      </c>
      <c r="N246" s="145">
        <v>110000</v>
      </c>
      <c r="O246" s="145" t="s">
        <v>238</v>
      </c>
      <c r="P246" s="145" t="s">
        <v>239</v>
      </c>
      <c r="Q246" s="146">
        <f t="shared" si="170"/>
        <v>92436.97478991597</v>
      </c>
      <c r="R246" s="147">
        <f>IF(P246="Si tiene IVA",Q246*19%,0)</f>
        <v>17563.025210084033</v>
      </c>
      <c r="S246" s="147">
        <f t="shared" si="171"/>
        <v>110000</v>
      </c>
      <c r="T246" s="147">
        <f t="shared" si="172"/>
        <v>11000000</v>
      </c>
      <c r="U246" s="147">
        <f t="shared" si="173"/>
        <v>11000000</v>
      </c>
      <c r="V246" s="148" t="s">
        <v>249</v>
      </c>
      <c r="W246" s="149">
        <v>46070</v>
      </c>
      <c r="X246" s="150" t="s">
        <v>282</v>
      </c>
      <c r="Y246" s="151" t="s">
        <v>236</v>
      </c>
      <c r="Z246" s="152" t="s">
        <v>259</v>
      </c>
      <c r="AA246" s="153">
        <v>120000</v>
      </c>
      <c r="AB246" s="153" t="s">
        <v>245</v>
      </c>
      <c r="AC246" s="153" t="s">
        <v>239</v>
      </c>
      <c r="AD246" s="154">
        <f t="shared" si="174"/>
        <v>120000</v>
      </c>
      <c r="AE246" s="155">
        <f>IF(AC246="Si tiene IVA",AD246*19%,0)</f>
        <v>22800</v>
      </c>
      <c r="AF246" s="155">
        <f t="shared" si="175"/>
        <v>142800</v>
      </c>
      <c r="AG246" s="155">
        <f t="shared" si="176"/>
        <v>12000000</v>
      </c>
      <c r="AH246" s="155">
        <f t="shared" si="177"/>
        <v>14280000</v>
      </c>
      <c r="AI246" s="156" t="s">
        <v>281</v>
      </c>
      <c r="AJ246" s="157">
        <v>46072</v>
      </c>
      <c r="AK246" s="158" t="s">
        <v>283</v>
      </c>
      <c r="AL246" s="159" t="s">
        <v>236</v>
      </c>
      <c r="AM246" s="160" t="s">
        <v>284</v>
      </c>
      <c r="AN246" s="161">
        <v>120000</v>
      </c>
      <c r="AO246" s="161" t="s">
        <v>245</v>
      </c>
      <c r="AP246" s="162" t="s">
        <v>265</v>
      </c>
      <c r="AQ246" s="163">
        <f t="shared" si="183"/>
        <v>120000</v>
      </c>
      <c r="AR246" s="164">
        <f>IF(AP246="Si tiene IVA",AQ246*19%,0)</f>
        <v>0</v>
      </c>
      <c r="AS246" s="164">
        <f t="shared" si="178"/>
        <v>120000</v>
      </c>
      <c r="AT246" s="164">
        <f t="shared" si="179"/>
        <v>12000000</v>
      </c>
      <c r="AU246" s="164">
        <f t="shared" si="180"/>
        <v>12000000</v>
      </c>
      <c r="AV246" s="165">
        <f t="shared" si="135"/>
        <v>124267</v>
      </c>
      <c r="AW246" s="165">
        <f t="shared" si="136"/>
        <v>12426700</v>
      </c>
      <c r="AX246" s="165">
        <f t="shared" si="137"/>
        <v>1681111</v>
      </c>
      <c r="AY246" s="166">
        <f t="shared" si="181"/>
        <v>0.13528217467227824</v>
      </c>
      <c r="AZ246" s="5" t="s">
        <v>1128</v>
      </c>
      <c r="BA246" s="7">
        <f t="shared" si="182"/>
        <v>3</v>
      </c>
      <c r="BB246" s="7" t="s">
        <v>277</v>
      </c>
    </row>
    <row r="247" spans="1:54" ht="60" x14ac:dyDescent="0.25">
      <c r="A247" s="137" t="s">
        <v>229</v>
      </c>
      <c r="B247" s="137" t="s">
        <v>230</v>
      </c>
      <c r="C247" s="137">
        <v>82101505</v>
      </c>
      <c r="D247" s="137" t="s">
        <v>1129</v>
      </c>
      <c r="E247" s="137" t="s">
        <v>1124</v>
      </c>
      <c r="F247" s="139" t="s">
        <v>233</v>
      </c>
      <c r="G247" s="140">
        <v>1</v>
      </c>
      <c r="H247" s="139" t="s">
        <v>51</v>
      </c>
      <c r="I247" s="141" t="s">
        <v>1130</v>
      </c>
      <c r="J247" s="142">
        <v>46147</v>
      </c>
      <c r="K247" s="143" t="s">
        <v>240</v>
      </c>
      <c r="L247" s="144" t="s">
        <v>236</v>
      </c>
      <c r="M247" s="142" t="s">
        <v>252</v>
      </c>
      <c r="N247" s="145">
        <v>290000</v>
      </c>
      <c r="O247" s="145" t="s">
        <v>238</v>
      </c>
      <c r="P247" s="145" t="s">
        <v>239</v>
      </c>
      <c r="Q247" s="146">
        <f t="shared" si="170"/>
        <v>243697.47899159664</v>
      </c>
      <c r="R247" s="147">
        <f>IF(P247="Si tiene IVA",Q247*19%,0)</f>
        <v>46302.521008403361</v>
      </c>
      <c r="S247" s="147">
        <f t="shared" si="171"/>
        <v>290000</v>
      </c>
      <c r="T247" s="147">
        <f t="shared" si="172"/>
        <v>290000</v>
      </c>
      <c r="U247" s="147">
        <f t="shared" si="173"/>
        <v>290000</v>
      </c>
      <c r="V247" s="148" t="s">
        <v>249</v>
      </c>
      <c r="W247" s="149">
        <v>46147</v>
      </c>
      <c r="X247" s="150" t="s">
        <v>263</v>
      </c>
      <c r="Y247" s="151" t="s">
        <v>236</v>
      </c>
      <c r="Z247" s="152" t="s">
        <v>264</v>
      </c>
      <c r="AA247" s="153">
        <v>200000</v>
      </c>
      <c r="AB247" s="153" t="s">
        <v>245</v>
      </c>
      <c r="AC247" s="153" t="s">
        <v>265</v>
      </c>
      <c r="AD247" s="154">
        <f t="shared" si="174"/>
        <v>200000</v>
      </c>
      <c r="AE247" s="155">
        <f>IF(AC247="Si tiene IVA",AD247*19%,0)</f>
        <v>0</v>
      </c>
      <c r="AF247" s="155">
        <f t="shared" si="175"/>
        <v>200000</v>
      </c>
      <c r="AG247" s="155">
        <f t="shared" si="176"/>
        <v>200000</v>
      </c>
      <c r="AH247" s="155">
        <f t="shared" si="177"/>
        <v>200000</v>
      </c>
      <c r="AI247" s="156" t="s">
        <v>249</v>
      </c>
      <c r="AJ247" s="157">
        <v>46147</v>
      </c>
      <c r="AK247" s="158" t="s">
        <v>1131</v>
      </c>
      <c r="AL247" s="159" t="s">
        <v>236</v>
      </c>
      <c r="AM247" s="160" t="s">
        <v>276</v>
      </c>
      <c r="AN247" s="161">
        <v>240000</v>
      </c>
      <c r="AO247" s="161" t="s">
        <v>245</v>
      </c>
      <c r="AP247" s="162" t="s">
        <v>265</v>
      </c>
      <c r="AQ247" s="163">
        <f t="shared" si="183"/>
        <v>240000</v>
      </c>
      <c r="AR247" s="164">
        <f>IF(AP247="Si tiene IVA",AQ247*19%,0)</f>
        <v>0</v>
      </c>
      <c r="AS247" s="164">
        <f t="shared" si="178"/>
        <v>240000</v>
      </c>
      <c r="AT247" s="164">
        <f t="shared" si="179"/>
        <v>240000</v>
      </c>
      <c r="AU247" s="164">
        <f t="shared" si="180"/>
        <v>240000</v>
      </c>
      <c r="AV247" s="165">
        <f t="shared" si="135"/>
        <v>243333</v>
      </c>
      <c r="AW247" s="165">
        <f t="shared" si="136"/>
        <v>243333</v>
      </c>
      <c r="AX247" s="165">
        <f t="shared" si="137"/>
        <v>45092</v>
      </c>
      <c r="AY247" s="166">
        <f t="shared" si="181"/>
        <v>0.18530984289019575</v>
      </c>
      <c r="AZ247" s="5"/>
      <c r="BA247" s="7">
        <f t="shared" si="182"/>
        <v>3</v>
      </c>
      <c r="BB247" s="7" t="s">
        <v>285</v>
      </c>
    </row>
    <row r="248" spans="1:54" ht="54" x14ac:dyDescent="0.25">
      <c r="A248" s="137" t="s">
        <v>1132</v>
      </c>
      <c r="B248" s="137" t="s">
        <v>1132</v>
      </c>
      <c r="C248" s="137"/>
      <c r="D248" s="137" t="s">
        <v>1133</v>
      </c>
      <c r="E248" s="137" t="s">
        <v>1134</v>
      </c>
      <c r="F248" s="139" t="s">
        <v>233</v>
      </c>
      <c r="G248" s="140">
        <v>750</v>
      </c>
      <c r="H248" s="139" t="s">
        <v>51</v>
      </c>
      <c r="I248" s="141" t="s">
        <v>234</v>
      </c>
      <c r="J248" s="142">
        <v>46167</v>
      </c>
      <c r="K248" s="143" t="s">
        <v>1135</v>
      </c>
      <c r="L248" s="144" t="s">
        <v>236</v>
      </c>
      <c r="M248" s="142" t="s">
        <v>1135</v>
      </c>
      <c r="N248" s="145">
        <v>5300</v>
      </c>
      <c r="O248" s="145" t="s">
        <v>245</v>
      </c>
      <c r="P248" s="145" t="s">
        <v>239</v>
      </c>
      <c r="Q248" s="146">
        <v>5300</v>
      </c>
      <c r="R248" s="147">
        <v>1007</v>
      </c>
      <c r="S248" s="147">
        <v>6307</v>
      </c>
      <c r="T248" s="147">
        <v>3975000</v>
      </c>
      <c r="U248" s="147">
        <v>4730250</v>
      </c>
      <c r="V248" s="148" t="s">
        <v>234</v>
      </c>
      <c r="W248" s="149">
        <v>46167</v>
      </c>
      <c r="X248" s="150" t="s">
        <v>1136</v>
      </c>
      <c r="Y248" s="151" t="s">
        <v>236</v>
      </c>
      <c r="Z248" s="152" t="s">
        <v>1136</v>
      </c>
      <c r="AA248" s="153">
        <v>5800</v>
      </c>
      <c r="AB248" s="153" t="s">
        <v>245</v>
      </c>
      <c r="AC248" s="153" t="s">
        <v>239</v>
      </c>
      <c r="AD248" s="154">
        <v>5800</v>
      </c>
      <c r="AE248" s="155">
        <v>1102</v>
      </c>
      <c r="AF248" s="155">
        <v>6902</v>
      </c>
      <c r="AG248" s="155">
        <v>4350000</v>
      </c>
      <c r="AH248" s="155">
        <v>5176500</v>
      </c>
      <c r="AI248" s="156" t="s">
        <v>234</v>
      </c>
      <c r="AJ248" s="157">
        <v>46167</v>
      </c>
      <c r="AK248" s="158" t="s">
        <v>1137</v>
      </c>
      <c r="AL248" s="159" t="s">
        <v>236</v>
      </c>
      <c r="AM248" s="160" t="s">
        <v>1137</v>
      </c>
      <c r="AN248" s="161">
        <v>6000</v>
      </c>
      <c r="AO248" s="161" t="s">
        <v>245</v>
      </c>
      <c r="AP248" s="162" t="s">
        <v>239</v>
      </c>
      <c r="AQ248" s="163">
        <v>6000</v>
      </c>
      <c r="AR248" s="164">
        <v>1140</v>
      </c>
      <c r="AS248" s="164">
        <v>7140</v>
      </c>
      <c r="AT248" s="164">
        <v>4500000</v>
      </c>
      <c r="AU248" s="164">
        <v>5355000</v>
      </c>
      <c r="AV248" s="165">
        <f t="shared" si="135"/>
        <v>6783</v>
      </c>
      <c r="AW248" s="165">
        <f t="shared" si="136"/>
        <v>5087250</v>
      </c>
      <c r="AX248" s="165">
        <f t="shared" si="137"/>
        <v>321795</v>
      </c>
      <c r="AY248" s="166">
        <v>8.7599999999999997E-2</v>
      </c>
      <c r="AZ248" s="5"/>
      <c r="BA248" s="7"/>
      <c r="BB248" s="7"/>
    </row>
    <row r="249" spans="1:54" ht="54" x14ac:dyDescent="0.25">
      <c r="A249" s="137" t="s">
        <v>1132</v>
      </c>
      <c r="B249" s="137" t="s">
        <v>1132</v>
      </c>
      <c r="C249" s="137"/>
      <c r="D249" s="137" t="s">
        <v>1138</v>
      </c>
      <c r="E249" s="137" t="s">
        <v>1139</v>
      </c>
      <c r="F249" s="139" t="s">
        <v>233</v>
      </c>
      <c r="G249" s="140">
        <v>6</v>
      </c>
      <c r="H249" s="139" t="s">
        <v>51</v>
      </c>
      <c r="I249" s="141" t="s">
        <v>234</v>
      </c>
      <c r="J249" s="142">
        <v>46167</v>
      </c>
      <c r="K249" s="143" t="s">
        <v>1140</v>
      </c>
      <c r="L249" s="144" t="s">
        <v>236</v>
      </c>
      <c r="M249" s="142" t="s">
        <v>1141</v>
      </c>
      <c r="N249" s="145">
        <v>55000</v>
      </c>
      <c r="O249" s="145" t="s">
        <v>245</v>
      </c>
      <c r="P249" s="145" t="s">
        <v>265</v>
      </c>
      <c r="Q249" s="146">
        <v>55000</v>
      </c>
      <c r="R249" s="147" t="s">
        <v>1142</v>
      </c>
      <c r="S249" s="147">
        <v>55000</v>
      </c>
      <c r="T249" s="147">
        <v>330000</v>
      </c>
      <c r="U249" s="147">
        <v>330000</v>
      </c>
      <c r="V249" s="148" t="s">
        <v>234</v>
      </c>
      <c r="W249" s="149">
        <v>46167</v>
      </c>
      <c r="X249" s="150" t="s">
        <v>1137</v>
      </c>
      <c r="Y249" s="151" t="s">
        <v>236</v>
      </c>
      <c r="Z249" s="152" t="s">
        <v>1137</v>
      </c>
      <c r="AA249" s="153">
        <v>80000</v>
      </c>
      <c r="AB249" s="153" t="s">
        <v>245</v>
      </c>
      <c r="AC249" s="153" t="s">
        <v>239</v>
      </c>
      <c r="AD249" s="154">
        <v>80000</v>
      </c>
      <c r="AE249" s="155">
        <v>15200</v>
      </c>
      <c r="AF249" s="155">
        <v>95200</v>
      </c>
      <c r="AG249" s="155">
        <v>480000</v>
      </c>
      <c r="AH249" s="155">
        <v>571200</v>
      </c>
      <c r="AI249" s="156" t="s">
        <v>234</v>
      </c>
      <c r="AJ249" s="157">
        <v>46167</v>
      </c>
      <c r="AK249" s="158" t="s">
        <v>1143</v>
      </c>
      <c r="AL249" s="159" t="s">
        <v>236</v>
      </c>
      <c r="AM249" s="160" t="s">
        <v>1143</v>
      </c>
      <c r="AN249" s="161">
        <v>70000</v>
      </c>
      <c r="AO249" s="161" t="s">
        <v>238</v>
      </c>
      <c r="AP249" s="162" t="s">
        <v>239</v>
      </c>
      <c r="AQ249" s="163">
        <v>58823.53</v>
      </c>
      <c r="AR249" s="164">
        <v>11176</v>
      </c>
      <c r="AS249" s="164">
        <v>70000</v>
      </c>
      <c r="AT249" s="164">
        <v>352941</v>
      </c>
      <c r="AU249" s="164">
        <v>420000</v>
      </c>
      <c r="AV249" s="165">
        <f t="shared" si="135"/>
        <v>73400</v>
      </c>
      <c r="AW249" s="165">
        <f t="shared" si="136"/>
        <v>440400</v>
      </c>
      <c r="AX249" s="165">
        <f t="shared" si="137"/>
        <v>121887</v>
      </c>
      <c r="AY249" s="166">
        <v>0.16969999999999999</v>
      </c>
      <c r="AZ249" s="5"/>
      <c r="BA249" s="7"/>
      <c r="BB249" s="7"/>
    </row>
    <row r="250" spans="1:54" ht="67.5" x14ac:dyDescent="0.25">
      <c r="A250" s="137" t="s">
        <v>1144</v>
      </c>
      <c r="B250" s="137" t="s">
        <v>1144</v>
      </c>
      <c r="C250" s="137"/>
      <c r="D250" s="137" t="s">
        <v>1145</v>
      </c>
      <c r="E250" s="137" t="s">
        <v>1146</v>
      </c>
      <c r="F250" s="139" t="s">
        <v>233</v>
      </c>
      <c r="G250" s="140">
        <v>180</v>
      </c>
      <c r="H250" s="139" t="s">
        <v>51</v>
      </c>
      <c r="I250" s="141" t="s">
        <v>234</v>
      </c>
      <c r="J250" s="142">
        <v>46142</v>
      </c>
      <c r="K250" s="143" t="s">
        <v>1147</v>
      </c>
      <c r="L250" s="144" t="s">
        <v>236</v>
      </c>
      <c r="M250" s="142" t="s">
        <v>1148</v>
      </c>
      <c r="N250" s="145">
        <v>38350</v>
      </c>
      <c r="O250" s="145" t="s">
        <v>238</v>
      </c>
      <c r="P250" s="145" t="s">
        <v>239</v>
      </c>
      <c r="Q250" s="146">
        <v>32226.89</v>
      </c>
      <c r="R250" s="147">
        <v>6123</v>
      </c>
      <c r="S250" s="147">
        <v>38350</v>
      </c>
      <c r="T250" s="147">
        <v>5800840</v>
      </c>
      <c r="U250" s="147">
        <v>6903000</v>
      </c>
      <c r="V250" s="148" t="s">
        <v>234</v>
      </c>
      <c r="W250" s="149">
        <v>46142</v>
      </c>
      <c r="X250" s="150" t="s">
        <v>1149</v>
      </c>
      <c r="Y250" s="151" t="s">
        <v>236</v>
      </c>
      <c r="Z250" s="152" t="s">
        <v>1150</v>
      </c>
      <c r="AA250" s="153">
        <v>36669</v>
      </c>
      <c r="AB250" s="153" t="s">
        <v>238</v>
      </c>
      <c r="AC250" s="153" t="s">
        <v>239</v>
      </c>
      <c r="AD250" s="154">
        <v>30814.29</v>
      </c>
      <c r="AE250" s="155">
        <v>5855</v>
      </c>
      <c r="AF250" s="155">
        <v>36669</v>
      </c>
      <c r="AG250" s="155">
        <v>5546571</v>
      </c>
      <c r="AH250" s="155">
        <v>6600420</v>
      </c>
      <c r="AI250" s="156" t="s">
        <v>234</v>
      </c>
      <c r="AJ250" s="157">
        <v>46142</v>
      </c>
      <c r="AK250" s="158" t="s">
        <v>1151</v>
      </c>
      <c r="AL250" s="159" t="s">
        <v>236</v>
      </c>
      <c r="AM250" s="160" t="s">
        <v>1152</v>
      </c>
      <c r="AN250" s="161">
        <v>32000</v>
      </c>
      <c r="AO250" s="161" t="s">
        <v>238</v>
      </c>
      <c r="AP250" s="162" t="s">
        <v>239</v>
      </c>
      <c r="AQ250" s="163">
        <v>26890.76</v>
      </c>
      <c r="AR250" s="164">
        <v>5109</v>
      </c>
      <c r="AS250" s="164">
        <v>32000</v>
      </c>
      <c r="AT250" s="164">
        <v>4840336</v>
      </c>
      <c r="AU250" s="164">
        <v>5760000</v>
      </c>
      <c r="AV250" s="165">
        <f t="shared" si="135"/>
        <v>35673</v>
      </c>
      <c r="AW250" s="165">
        <f t="shared" si="136"/>
        <v>6421140</v>
      </c>
      <c r="AX250" s="165">
        <f t="shared" si="137"/>
        <v>592215</v>
      </c>
      <c r="AY250" s="166">
        <v>9.2200000000000004E-2</v>
      </c>
      <c r="AZ250" s="5"/>
      <c r="BA250" s="7"/>
      <c r="BB250" s="7"/>
    </row>
    <row r="251" spans="1:54" ht="40.5" x14ac:dyDescent="0.25">
      <c r="A251" s="137" t="s">
        <v>1144</v>
      </c>
      <c r="B251" s="137" t="s">
        <v>1144</v>
      </c>
      <c r="C251" s="137"/>
      <c r="D251" s="137" t="s">
        <v>1153</v>
      </c>
      <c r="E251" s="137" t="s">
        <v>1154</v>
      </c>
      <c r="F251" s="139" t="s">
        <v>233</v>
      </c>
      <c r="G251" s="140">
        <v>180</v>
      </c>
      <c r="H251" s="139" t="s">
        <v>51</v>
      </c>
      <c r="I251" s="141" t="s">
        <v>234</v>
      </c>
      <c r="J251" s="142">
        <v>46136</v>
      </c>
      <c r="K251" s="143" t="s">
        <v>1155</v>
      </c>
      <c r="L251" s="144" t="s">
        <v>236</v>
      </c>
      <c r="M251" s="142" t="s">
        <v>1156</v>
      </c>
      <c r="N251" s="145">
        <v>16500</v>
      </c>
      <c r="O251" s="145" t="s">
        <v>245</v>
      </c>
      <c r="P251" s="145" t="s">
        <v>239</v>
      </c>
      <c r="Q251" s="146">
        <v>16500</v>
      </c>
      <c r="R251" s="147">
        <v>3135</v>
      </c>
      <c r="S251" s="147">
        <v>19635</v>
      </c>
      <c r="T251" s="147">
        <v>2970000</v>
      </c>
      <c r="U251" s="147">
        <v>3534300</v>
      </c>
      <c r="V251" s="148" t="s">
        <v>234</v>
      </c>
      <c r="W251" s="149">
        <v>46150</v>
      </c>
      <c r="X251" s="150" t="s">
        <v>1157</v>
      </c>
      <c r="Y251" s="151" t="s">
        <v>241</v>
      </c>
      <c r="Z251" s="152" t="s">
        <v>1158</v>
      </c>
      <c r="AA251" s="153">
        <v>19900</v>
      </c>
      <c r="AB251" s="153" t="s">
        <v>245</v>
      </c>
      <c r="AC251" s="153" t="s">
        <v>239</v>
      </c>
      <c r="AD251" s="154">
        <v>19900</v>
      </c>
      <c r="AE251" s="155">
        <v>3781</v>
      </c>
      <c r="AF251" s="155">
        <v>23681</v>
      </c>
      <c r="AG251" s="155">
        <v>3582000</v>
      </c>
      <c r="AH251" s="155">
        <v>4262580</v>
      </c>
      <c r="AI251" s="156" t="s">
        <v>234</v>
      </c>
      <c r="AJ251" s="157">
        <v>46139</v>
      </c>
      <c r="AK251" s="158" t="s">
        <v>1159</v>
      </c>
      <c r="AL251" s="159" t="s">
        <v>236</v>
      </c>
      <c r="AM251" s="160" t="s">
        <v>1160</v>
      </c>
      <c r="AN251" s="161">
        <v>16500</v>
      </c>
      <c r="AO251" s="161" t="s">
        <v>245</v>
      </c>
      <c r="AP251" s="162" t="s">
        <v>239</v>
      </c>
      <c r="AQ251" s="163">
        <v>16500</v>
      </c>
      <c r="AR251" s="164">
        <v>3135</v>
      </c>
      <c r="AS251" s="164">
        <v>19635</v>
      </c>
      <c r="AT251" s="164">
        <v>2970000</v>
      </c>
      <c r="AU251" s="164">
        <v>3534300</v>
      </c>
      <c r="AV251" s="165">
        <f t="shared" si="135"/>
        <v>20984</v>
      </c>
      <c r="AW251" s="165">
        <f t="shared" si="136"/>
        <v>3777120</v>
      </c>
      <c r="AX251" s="165">
        <f t="shared" si="137"/>
        <v>420473</v>
      </c>
      <c r="AY251" s="166">
        <v>0.1113</v>
      </c>
      <c r="AZ251" s="5"/>
      <c r="BA251" s="7"/>
      <c r="BB251" s="7"/>
    </row>
    <row r="252" spans="1:54" ht="54" x14ac:dyDescent="0.25">
      <c r="A252" s="137" t="s">
        <v>1144</v>
      </c>
      <c r="B252" s="137" t="s">
        <v>1144</v>
      </c>
      <c r="C252" s="137"/>
      <c r="D252" s="137" t="s">
        <v>1161</v>
      </c>
      <c r="E252" s="137" t="s">
        <v>1162</v>
      </c>
      <c r="F252" s="139" t="s">
        <v>317</v>
      </c>
      <c r="G252" s="140">
        <v>1</v>
      </c>
      <c r="H252" s="139" t="s">
        <v>1163</v>
      </c>
      <c r="I252" s="141" t="s">
        <v>234</v>
      </c>
      <c r="J252" s="142">
        <v>46142</v>
      </c>
      <c r="K252" s="143" t="s">
        <v>1164</v>
      </c>
      <c r="L252" s="144" t="s">
        <v>236</v>
      </c>
      <c r="M252" s="142" t="s">
        <v>1165</v>
      </c>
      <c r="N252" s="145">
        <v>1067200</v>
      </c>
      <c r="O252" s="145" t="s">
        <v>245</v>
      </c>
      <c r="P252" s="145" t="s">
        <v>265</v>
      </c>
      <c r="Q252" s="146">
        <v>1067200</v>
      </c>
      <c r="R252" s="147" t="s">
        <v>1142</v>
      </c>
      <c r="S252" s="147">
        <v>1067200</v>
      </c>
      <c r="T252" s="147">
        <v>1067200</v>
      </c>
      <c r="U252" s="147">
        <v>1067200</v>
      </c>
      <c r="V252" s="148" t="s">
        <v>234</v>
      </c>
      <c r="W252" s="149">
        <v>46142</v>
      </c>
      <c r="X252" s="150" t="s">
        <v>1166</v>
      </c>
      <c r="Y252" s="151" t="s">
        <v>236</v>
      </c>
      <c r="Z252" s="152" t="s">
        <v>1167</v>
      </c>
      <c r="AA252" s="153">
        <v>1047200</v>
      </c>
      <c r="AB252" s="153" t="s">
        <v>245</v>
      </c>
      <c r="AC252" s="153" t="s">
        <v>265</v>
      </c>
      <c r="AD252" s="154">
        <v>1047200</v>
      </c>
      <c r="AE252" s="155" t="s">
        <v>1142</v>
      </c>
      <c r="AF252" s="155">
        <v>1047200</v>
      </c>
      <c r="AG252" s="155">
        <v>1047200</v>
      </c>
      <c r="AH252" s="155">
        <v>1047200</v>
      </c>
      <c r="AI252" s="156" t="s">
        <v>234</v>
      </c>
      <c r="AJ252" s="157">
        <v>46142</v>
      </c>
      <c r="AK252" s="158" t="s">
        <v>1166</v>
      </c>
      <c r="AL252" s="159" t="s">
        <v>236</v>
      </c>
      <c r="AM252" s="160" t="s">
        <v>1168</v>
      </c>
      <c r="AN252" s="161">
        <v>1057200</v>
      </c>
      <c r="AO252" s="161" t="s">
        <v>245</v>
      </c>
      <c r="AP252" s="162" t="s">
        <v>265</v>
      </c>
      <c r="AQ252" s="163">
        <v>1057200</v>
      </c>
      <c r="AR252" s="164" t="s">
        <v>1142</v>
      </c>
      <c r="AS252" s="164">
        <v>1057200</v>
      </c>
      <c r="AT252" s="164">
        <v>1057200</v>
      </c>
      <c r="AU252" s="164">
        <v>1057200</v>
      </c>
      <c r="AV252" s="165">
        <f t="shared" si="135"/>
        <v>1057200</v>
      </c>
      <c r="AW252" s="165">
        <f t="shared" si="136"/>
        <v>1057200</v>
      </c>
      <c r="AX252" s="165">
        <f t="shared" si="137"/>
        <v>10000</v>
      </c>
      <c r="AY252" s="166">
        <v>9.4999999999999998E-3</v>
      </c>
      <c r="AZ252" s="5"/>
      <c r="BA252" s="7"/>
      <c r="BB252" s="7"/>
    </row>
    <row r="253" spans="1:54" ht="67.5" x14ac:dyDescent="0.25">
      <c r="A253" s="137" t="s">
        <v>1144</v>
      </c>
      <c r="B253" s="137" t="s">
        <v>1144</v>
      </c>
      <c r="C253" s="137"/>
      <c r="D253" s="137" t="s">
        <v>1169</v>
      </c>
      <c r="E253" s="137" t="s">
        <v>1170</v>
      </c>
      <c r="F253" s="139" t="s">
        <v>233</v>
      </c>
      <c r="G253" s="140">
        <v>180</v>
      </c>
      <c r="H253" s="139" t="s">
        <v>51</v>
      </c>
      <c r="I253" s="141" t="s">
        <v>234</v>
      </c>
      <c r="J253" s="142">
        <v>46136</v>
      </c>
      <c r="K253" s="143" t="s">
        <v>1155</v>
      </c>
      <c r="L253" s="144" t="s">
        <v>236</v>
      </c>
      <c r="M253" s="142" t="s">
        <v>1156</v>
      </c>
      <c r="N253" s="145">
        <v>3300</v>
      </c>
      <c r="O253" s="145" t="s">
        <v>245</v>
      </c>
      <c r="P253" s="145" t="s">
        <v>239</v>
      </c>
      <c r="Q253" s="146">
        <v>3300</v>
      </c>
      <c r="R253" s="147">
        <v>627</v>
      </c>
      <c r="S253" s="147">
        <v>3927</v>
      </c>
      <c r="T253" s="147">
        <v>594000</v>
      </c>
      <c r="U253" s="147">
        <v>706860</v>
      </c>
      <c r="V253" s="148" t="s">
        <v>234</v>
      </c>
      <c r="W253" s="149">
        <v>46150</v>
      </c>
      <c r="X253" s="150" t="s">
        <v>1171</v>
      </c>
      <c r="Y253" s="151" t="s">
        <v>241</v>
      </c>
      <c r="Z253" s="152" t="s">
        <v>1172</v>
      </c>
      <c r="AA253" s="153">
        <v>4670</v>
      </c>
      <c r="AB253" s="153" t="s">
        <v>245</v>
      </c>
      <c r="AC253" s="153" t="s">
        <v>239</v>
      </c>
      <c r="AD253" s="154">
        <v>4670</v>
      </c>
      <c r="AE253" s="155">
        <v>887</v>
      </c>
      <c r="AF253" s="155">
        <v>5557</v>
      </c>
      <c r="AG253" s="155">
        <v>840600</v>
      </c>
      <c r="AH253" s="155">
        <v>1000314</v>
      </c>
      <c r="AI253" s="156" t="s">
        <v>234</v>
      </c>
      <c r="AJ253" s="157">
        <v>46139</v>
      </c>
      <c r="AK253" s="158" t="s">
        <v>1159</v>
      </c>
      <c r="AL253" s="159" t="s">
        <v>236</v>
      </c>
      <c r="AM253" s="160" t="s">
        <v>1160</v>
      </c>
      <c r="AN253" s="161">
        <v>3300</v>
      </c>
      <c r="AO253" s="161" t="s">
        <v>245</v>
      </c>
      <c r="AP253" s="162" t="s">
        <v>239</v>
      </c>
      <c r="AQ253" s="163">
        <v>3300</v>
      </c>
      <c r="AR253" s="164">
        <v>627</v>
      </c>
      <c r="AS253" s="164">
        <v>3927</v>
      </c>
      <c r="AT253" s="164">
        <v>594000</v>
      </c>
      <c r="AU253" s="164">
        <v>706860</v>
      </c>
      <c r="AV253" s="165">
        <f t="shared" si="135"/>
        <v>4470</v>
      </c>
      <c r="AW253" s="165">
        <f t="shared" si="136"/>
        <v>804600</v>
      </c>
      <c r="AX253" s="165">
        <f t="shared" si="137"/>
        <v>169426</v>
      </c>
      <c r="AY253" s="166">
        <v>0.21060000000000001</v>
      </c>
      <c r="AZ253" s="5"/>
      <c r="BA253" s="7"/>
      <c r="BB253" s="7"/>
    </row>
    <row r="254" spans="1:54" ht="40.5" x14ac:dyDescent="0.25">
      <c r="A254" s="137" t="s">
        <v>1144</v>
      </c>
      <c r="B254" s="137" t="s">
        <v>1144</v>
      </c>
      <c r="C254" s="137"/>
      <c r="D254" s="137" t="s">
        <v>1173</v>
      </c>
      <c r="E254" s="137" t="s">
        <v>1174</v>
      </c>
      <c r="F254" s="139" t="s">
        <v>317</v>
      </c>
      <c r="G254" s="140">
        <v>1</v>
      </c>
      <c r="H254" s="139" t="s">
        <v>1163</v>
      </c>
      <c r="I254" s="141" t="s">
        <v>234</v>
      </c>
      <c r="J254" s="142">
        <v>46142</v>
      </c>
      <c r="K254" s="143" t="s">
        <v>1164</v>
      </c>
      <c r="L254" s="144" t="s">
        <v>236</v>
      </c>
      <c r="M254" s="142" t="s">
        <v>1165</v>
      </c>
      <c r="N254" s="145">
        <v>805400</v>
      </c>
      <c r="O254" s="145" t="s">
        <v>245</v>
      </c>
      <c r="P254" s="145" t="s">
        <v>265</v>
      </c>
      <c r="Q254" s="146">
        <v>805400</v>
      </c>
      <c r="R254" s="147" t="s">
        <v>1142</v>
      </c>
      <c r="S254" s="147">
        <v>805400</v>
      </c>
      <c r="T254" s="147">
        <v>805400</v>
      </c>
      <c r="U254" s="147">
        <v>805400</v>
      </c>
      <c r="V254" s="148" t="s">
        <v>234</v>
      </c>
      <c r="W254" s="149">
        <v>46142</v>
      </c>
      <c r="X254" s="150" t="s">
        <v>1166</v>
      </c>
      <c r="Y254" s="151" t="s">
        <v>236</v>
      </c>
      <c r="Z254" s="152" t="s">
        <v>1167</v>
      </c>
      <c r="AA254" s="153">
        <v>785400</v>
      </c>
      <c r="AB254" s="153" t="s">
        <v>245</v>
      </c>
      <c r="AC254" s="153" t="s">
        <v>265</v>
      </c>
      <c r="AD254" s="154">
        <v>785400</v>
      </c>
      <c r="AE254" s="155" t="s">
        <v>1142</v>
      </c>
      <c r="AF254" s="155">
        <v>785400</v>
      </c>
      <c r="AG254" s="155">
        <v>785400</v>
      </c>
      <c r="AH254" s="155">
        <v>785400</v>
      </c>
      <c r="AI254" s="156" t="s">
        <v>234</v>
      </c>
      <c r="AJ254" s="157">
        <v>46142</v>
      </c>
      <c r="AK254" s="158" t="s">
        <v>1175</v>
      </c>
      <c r="AL254" s="159" t="s">
        <v>236</v>
      </c>
      <c r="AM254" s="160" t="s">
        <v>1168</v>
      </c>
      <c r="AN254" s="161">
        <v>795400</v>
      </c>
      <c r="AO254" s="161" t="s">
        <v>245</v>
      </c>
      <c r="AP254" s="162" t="s">
        <v>265</v>
      </c>
      <c r="AQ254" s="163">
        <v>795400</v>
      </c>
      <c r="AR254" s="164" t="s">
        <v>1142</v>
      </c>
      <c r="AS254" s="164">
        <v>795400</v>
      </c>
      <c r="AT254" s="164">
        <v>795400</v>
      </c>
      <c r="AU254" s="164">
        <v>795400</v>
      </c>
      <c r="AV254" s="165">
        <f t="shared" si="135"/>
        <v>795400</v>
      </c>
      <c r="AW254" s="165">
        <f t="shared" si="136"/>
        <v>795400</v>
      </c>
      <c r="AX254" s="165">
        <f t="shared" si="137"/>
        <v>10000</v>
      </c>
      <c r="AY254" s="166">
        <v>1.26E-2</v>
      </c>
      <c r="AZ254" s="5"/>
      <c r="BA254" s="7"/>
      <c r="BB254" s="7"/>
    </row>
    <row r="255" spans="1:54" ht="54" x14ac:dyDescent="0.25">
      <c r="A255" s="137" t="s">
        <v>1144</v>
      </c>
      <c r="B255" s="137" t="s">
        <v>1144</v>
      </c>
      <c r="C255" s="137"/>
      <c r="D255" s="137" t="s">
        <v>1176</v>
      </c>
      <c r="E255" s="137" t="s">
        <v>1177</v>
      </c>
      <c r="F255" s="139" t="s">
        <v>233</v>
      </c>
      <c r="G255" s="140">
        <v>40</v>
      </c>
      <c r="H255" s="139" t="s">
        <v>335</v>
      </c>
      <c r="I255" s="141" t="s">
        <v>234</v>
      </c>
      <c r="J255" s="142">
        <v>46136</v>
      </c>
      <c r="K255" s="143" t="s">
        <v>1155</v>
      </c>
      <c r="L255" s="144" t="s">
        <v>236</v>
      </c>
      <c r="M255" s="142" t="s">
        <v>1156</v>
      </c>
      <c r="N255" s="145">
        <v>5500</v>
      </c>
      <c r="O255" s="145" t="s">
        <v>245</v>
      </c>
      <c r="P255" s="145" t="s">
        <v>239</v>
      </c>
      <c r="Q255" s="146">
        <v>5500</v>
      </c>
      <c r="R255" s="147">
        <v>1045</v>
      </c>
      <c r="S255" s="147">
        <v>6545</v>
      </c>
      <c r="T255" s="147">
        <v>220000</v>
      </c>
      <c r="U255" s="147">
        <v>261800</v>
      </c>
      <c r="V255" s="148" t="s">
        <v>234</v>
      </c>
      <c r="W255" s="149">
        <v>46153</v>
      </c>
      <c r="X255" s="150" t="s">
        <v>1178</v>
      </c>
      <c r="Y255" s="151" t="s">
        <v>236</v>
      </c>
      <c r="Z255" s="152" t="s">
        <v>1179</v>
      </c>
      <c r="AA255" s="153">
        <v>4463.9799999999996</v>
      </c>
      <c r="AB255" s="153" t="s">
        <v>245</v>
      </c>
      <c r="AC255" s="153" t="s">
        <v>239</v>
      </c>
      <c r="AD255" s="154">
        <v>4463.9799999999996</v>
      </c>
      <c r="AE255" s="155">
        <v>848</v>
      </c>
      <c r="AF255" s="155">
        <v>4464</v>
      </c>
      <c r="AG255" s="155">
        <v>178559</v>
      </c>
      <c r="AH255" s="155">
        <v>178559</v>
      </c>
      <c r="AI255" s="156" t="s">
        <v>234</v>
      </c>
      <c r="AJ255" s="157">
        <v>46139</v>
      </c>
      <c r="AK255" s="158" t="s">
        <v>1159</v>
      </c>
      <c r="AL255" s="159" t="s">
        <v>236</v>
      </c>
      <c r="AM255" s="160" t="s">
        <v>1160</v>
      </c>
      <c r="AN255" s="161">
        <v>5500</v>
      </c>
      <c r="AO255" s="161" t="s">
        <v>245</v>
      </c>
      <c r="AP255" s="162" t="s">
        <v>239</v>
      </c>
      <c r="AQ255" s="163">
        <v>5500</v>
      </c>
      <c r="AR255" s="164">
        <v>1045</v>
      </c>
      <c r="AS255" s="164">
        <v>6545</v>
      </c>
      <c r="AT255" s="164">
        <v>220000</v>
      </c>
      <c r="AU255" s="164">
        <v>261800</v>
      </c>
      <c r="AV255" s="165">
        <f t="shared" si="135"/>
        <v>5851</v>
      </c>
      <c r="AW255" s="165">
        <f t="shared" si="136"/>
        <v>234040</v>
      </c>
      <c r="AX255" s="165">
        <f t="shared" si="137"/>
        <v>48059</v>
      </c>
      <c r="AY255" s="166">
        <v>0.20530000000000001</v>
      </c>
      <c r="AZ255" s="5"/>
      <c r="BA255" s="7"/>
      <c r="BB255" s="7"/>
    </row>
    <row r="256" spans="1:54" ht="81" x14ac:dyDescent="0.25">
      <c r="A256" s="137" t="s">
        <v>1180</v>
      </c>
      <c r="B256" s="137" t="s">
        <v>1180</v>
      </c>
      <c r="C256" s="137"/>
      <c r="D256" s="137" t="s">
        <v>1181</v>
      </c>
      <c r="E256" s="137" t="s">
        <v>1182</v>
      </c>
      <c r="F256" s="139" t="s">
        <v>233</v>
      </c>
      <c r="G256" s="140">
        <v>35</v>
      </c>
      <c r="H256" s="139" t="s">
        <v>51</v>
      </c>
      <c r="I256" s="141" t="s">
        <v>1183</v>
      </c>
      <c r="J256" s="142">
        <v>46156</v>
      </c>
      <c r="K256" s="143" t="s">
        <v>1184</v>
      </c>
      <c r="L256" s="144" t="s">
        <v>236</v>
      </c>
      <c r="M256" s="142" t="s">
        <v>1185</v>
      </c>
      <c r="N256" s="145">
        <v>92500</v>
      </c>
      <c r="O256" s="145" t="s">
        <v>245</v>
      </c>
      <c r="P256" s="145" t="s">
        <v>239</v>
      </c>
      <c r="Q256" s="146">
        <v>92500</v>
      </c>
      <c r="R256" s="147">
        <v>17575</v>
      </c>
      <c r="S256" s="147">
        <v>110075</v>
      </c>
      <c r="T256" s="147">
        <v>3237500</v>
      </c>
      <c r="U256" s="147">
        <v>3852625</v>
      </c>
      <c r="V256" s="148" t="s">
        <v>1183</v>
      </c>
      <c r="W256" s="149">
        <v>46156</v>
      </c>
      <c r="X256" s="150" t="s">
        <v>1186</v>
      </c>
      <c r="Y256" s="151" t="s">
        <v>236</v>
      </c>
      <c r="Z256" s="152" t="s">
        <v>1187</v>
      </c>
      <c r="AA256" s="153">
        <v>93000</v>
      </c>
      <c r="AB256" s="153" t="s">
        <v>245</v>
      </c>
      <c r="AC256" s="153" t="s">
        <v>239</v>
      </c>
      <c r="AD256" s="154">
        <v>93000</v>
      </c>
      <c r="AE256" s="155">
        <v>17670</v>
      </c>
      <c r="AF256" s="155">
        <v>110670</v>
      </c>
      <c r="AG256" s="155">
        <v>3255000</v>
      </c>
      <c r="AH256" s="155">
        <v>3873450</v>
      </c>
      <c r="AI256" s="156" t="s">
        <v>234</v>
      </c>
      <c r="AJ256" s="157">
        <v>46157</v>
      </c>
      <c r="AK256" s="158" t="s">
        <v>1188</v>
      </c>
      <c r="AL256" s="159" t="s">
        <v>236</v>
      </c>
      <c r="AM256" s="160" t="s">
        <v>639</v>
      </c>
      <c r="AN256" s="161">
        <v>117600</v>
      </c>
      <c r="AO256" s="161" t="s">
        <v>245</v>
      </c>
      <c r="AP256" s="162" t="s">
        <v>239</v>
      </c>
      <c r="AQ256" s="163">
        <v>117600</v>
      </c>
      <c r="AR256" s="164">
        <v>22344</v>
      </c>
      <c r="AS256" s="164">
        <v>139944</v>
      </c>
      <c r="AT256" s="164">
        <v>4116000</v>
      </c>
      <c r="AU256" s="164">
        <v>4898040</v>
      </c>
      <c r="AV256" s="165">
        <f t="shared" si="135"/>
        <v>120230</v>
      </c>
      <c r="AW256" s="165">
        <f t="shared" si="136"/>
        <v>4208050</v>
      </c>
      <c r="AX256" s="165">
        <f t="shared" si="137"/>
        <v>597650</v>
      </c>
      <c r="AY256" s="166">
        <v>0.14199999999999999</v>
      </c>
      <c r="AZ256" s="5"/>
      <c r="BA256" s="7"/>
      <c r="BB256" s="7"/>
    </row>
    <row r="257" spans="1:54" ht="40.5" x14ac:dyDescent="0.25">
      <c r="A257" s="137" t="s">
        <v>1180</v>
      </c>
      <c r="B257" s="137" t="s">
        <v>1180</v>
      </c>
      <c r="C257" s="137"/>
      <c r="D257" s="137" t="s">
        <v>1189</v>
      </c>
      <c r="E257" s="137" t="s">
        <v>1190</v>
      </c>
      <c r="F257" s="139" t="s">
        <v>233</v>
      </c>
      <c r="G257" s="140">
        <v>60</v>
      </c>
      <c r="H257" s="139" t="s">
        <v>51</v>
      </c>
      <c r="I257" s="141" t="s">
        <v>1191</v>
      </c>
      <c r="J257" s="142">
        <v>46156</v>
      </c>
      <c r="K257" s="143" t="s">
        <v>1188</v>
      </c>
      <c r="L257" s="144" t="s">
        <v>236</v>
      </c>
      <c r="M257" s="142" t="s">
        <v>639</v>
      </c>
      <c r="N257" s="145">
        <v>5750</v>
      </c>
      <c r="O257" s="145" t="s">
        <v>245</v>
      </c>
      <c r="P257" s="145" t="s">
        <v>239</v>
      </c>
      <c r="Q257" s="146">
        <v>5750</v>
      </c>
      <c r="R257" s="147">
        <v>1093</v>
      </c>
      <c r="S257" s="147">
        <v>6843</v>
      </c>
      <c r="T257" s="147">
        <v>345000</v>
      </c>
      <c r="U257" s="147">
        <v>410550</v>
      </c>
      <c r="V257" s="148" t="s">
        <v>1191</v>
      </c>
      <c r="W257" s="149">
        <v>46156</v>
      </c>
      <c r="X257" s="150" t="s">
        <v>1186</v>
      </c>
      <c r="Y257" s="151" t="s">
        <v>236</v>
      </c>
      <c r="Z257" s="152" t="s">
        <v>1187</v>
      </c>
      <c r="AA257" s="153">
        <v>7500</v>
      </c>
      <c r="AB257" s="153" t="s">
        <v>245</v>
      </c>
      <c r="AC257" s="153" t="s">
        <v>239</v>
      </c>
      <c r="AD257" s="154">
        <v>7500</v>
      </c>
      <c r="AE257" s="155">
        <v>1425</v>
      </c>
      <c r="AF257" s="155">
        <v>8925</v>
      </c>
      <c r="AG257" s="155">
        <v>450000</v>
      </c>
      <c r="AH257" s="155">
        <v>535500</v>
      </c>
      <c r="AI257" s="156" t="s">
        <v>1191</v>
      </c>
      <c r="AJ257" s="157">
        <v>46156</v>
      </c>
      <c r="AK257" s="158" t="s">
        <v>1184</v>
      </c>
      <c r="AL257" s="159" t="s">
        <v>236</v>
      </c>
      <c r="AM257" s="160" t="s">
        <v>1185</v>
      </c>
      <c r="AN257" s="161">
        <v>7000</v>
      </c>
      <c r="AO257" s="161" t="s">
        <v>245</v>
      </c>
      <c r="AP257" s="162" t="s">
        <v>239</v>
      </c>
      <c r="AQ257" s="163">
        <v>7000</v>
      </c>
      <c r="AR257" s="164">
        <v>1330</v>
      </c>
      <c r="AS257" s="164">
        <v>8330</v>
      </c>
      <c r="AT257" s="164">
        <v>420000</v>
      </c>
      <c r="AU257" s="164">
        <v>499800</v>
      </c>
      <c r="AV257" s="165">
        <f t="shared" si="135"/>
        <v>8033</v>
      </c>
      <c r="AW257" s="165">
        <f t="shared" si="136"/>
        <v>481980</v>
      </c>
      <c r="AX257" s="165">
        <f t="shared" si="137"/>
        <v>64359</v>
      </c>
      <c r="AY257" s="166">
        <v>0.13350000000000001</v>
      </c>
      <c r="AZ257" s="5"/>
      <c r="BA257" s="7"/>
      <c r="BB257" s="7"/>
    </row>
    <row r="258" spans="1:54" ht="162" x14ac:dyDescent="0.25">
      <c r="A258" s="137" t="s">
        <v>1180</v>
      </c>
      <c r="B258" s="137" t="s">
        <v>1180</v>
      </c>
      <c r="C258" s="137"/>
      <c r="D258" s="137" t="s">
        <v>1192</v>
      </c>
      <c r="E258" s="137" t="s">
        <v>1193</v>
      </c>
      <c r="F258" s="139" t="s">
        <v>233</v>
      </c>
      <c r="G258" s="140">
        <v>100</v>
      </c>
      <c r="H258" s="139" t="s">
        <v>51</v>
      </c>
      <c r="I258" s="141" t="s">
        <v>1183</v>
      </c>
      <c r="J258" s="142">
        <v>46156</v>
      </c>
      <c r="K258" s="143" t="s">
        <v>1184</v>
      </c>
      <c r="L258" s="144" t="s">
        <v>236</v>
      </c>
      <c r="M258" s="142" t="s">
        <v>1185</v>
      </c>
      <c r="N258" s="145">
        <v>7600</v>
      </c>
      <c r="O258" s="145" t="s">
        <v>245</v>
      </c>
      <c r="P258" s="145" t="s">
        <v>239</v>
      </c>
      <c r="Q258" s="146">
        <v>7600</v>
      </c>
      <c r="R258" s="147">
        <v>1444</v>
      </c>
      <c r="S258" s="147">
        <v>9044</v>
      </c>
      <c r="T258" s="147">
        <v>760000</v>
      </c>
      <c r="U258" s="147">
        <v>904400</v>
      </c>
      <c r="V258" s="148" t="s">
        <v>1183</v>
      </c>
      <c r="W258" s="149">
        <v>46156</v>
      </c>
      <c r="X258" s="150" t="s">
        <v>1194</v>
      </c>
      <c r="Y258" s="151" t="s">
        <v>236</v>
      </c>
      <c r="Z258" s="152" t="s">
        <v>1195</v>
      </c>
      <c r="AA258" s="153">
        <v>5860</v>
      </c>
      <c r="AB258" s="153" t="s">
        <v>245</v>
      </c>
      <c r="AC258" s="153" t="s">
        <v>239</v>
      </c>
      <c r="AD258" s="154">
        <v>5860</v>
      </c>
      <c r="AE258" s="155">
        <v>1113</v>
      </c>
      <c r="AF258" s="155">
        <v>6973</v>
      </c>
      <c r="AG258" s="155">
        <v>586000</v>
      </c>
      <c r="AH258" s="155">
        <v>697340</v>
      </c>
      <c r="AI258" s="156" t="s">
        <v>1191</v>
      </c>
      <c r="AJ258" s="157">
        <v>46156</v>
      </c>
      <c r="AK258" s="158" t="s">
        <v>1186</v>
      </c>
      <c r="AL258" s="159" t="s">
        <v>236</v>
      </c>
      <c r="AM258" s="160" t="s">
        <v>1187</v>
      </c>
      <c r="AN258" s="161">
        <v>8040</v>
      </c>
      <c r="AO258" s="161" t="s">
        <v>245</v>
      </c>
      <c r="AP258" s="162" t="s">
        <v>239</v>
      </c>
      <c r="AQ258" s="163">
        <v>8040</v>
      </c>
      <c r="AR258" s="164">
        <v>1528</v>
      </c>
      <c r="AS258" s="164">
        <v>9568</v>
      </c>
      <c r="AT258" s="164">
        <v>804000</v>
      </c>
      <c r="AU258" s="164">
        <v>956760</v>
      </c>
      <c r="AV258" s="165">
        <f t="shared" si="135"/>
        <v>8528</v>
      </c>
      <c r="AW258" s="165">
        <f t="shared" si="136"/>
        <v>852800</v>
      </c>
      <c r="AX258" s="165">
        <f t="shared" si="137"/>
        <v>137182</v>
      </c>
      <c r="AY258" s="166">
        <v>0.16089999999999999</v>
      </c>
      <c r="AZ258" s="5"/>
      <c r="BA258" s="7"/>
      <c r="BB258" s="7"/>
    </row>
    <row r="259" spans="1:54" ht="135" x14ac:dyDescent="0.25">
      <c r="A259" s="137" t="s">
        <v>1180</v>
      </c>
      <c r="B259" s="137" t="s">
        <v>1180</v>
      </c>
      <c r="C259" s="137"/>
      <c r="D259" s="137" t="s">
        <v>1196</v>
      </c>
      <c r="E259" s="137" t="s">
        <v>1197</v>
      </c>
      <c r="F259" s="139" t="s">
        <v>233</v>
      </c>
      <c r="G259" s="140">
        <v>50</v>
      </c>
      <c r="H259" s="139" t="s">
        <v>51</v>
      </c>
      <c r="I259" s="141" t="s">
        <v>1183</v>
      </c>
      <c r="J259" s="142">
        <v>46156</v>
      </c>
      <c r="K259" s="143" t="s">
        <v>1184</v>
      </c>
      <c r="L259" s="144" t="s">
        <v>236</v>
      </c>
      <c r="M259" s="142" t="s">
        <v>1185</v>
      </c>
      <c r="N259" s="145">
        <v>14000</v>
      </c>
      <c r="O259" s="145" t="s">
        <v>245</v>
      </c>
      <c r="P259" s="145" t="s">
        <v>239</v>
      </c>
      <c r="Q259" s="146">
        <v>14000</v>
      </c>
      <c r="R259" s="147">
        <v>2660</v>
      </c>
      <c r="S259" s="147">
        <v>16660</v>
      </c>
      <c r="T259" s="147">
        <v>700000</v>
      </c>
      <c r="U259" s="147">
        <v>833000</v>
      </c>
      <c r="V259" s="148" t="s">
        <v>1183</v>
      </c>
      <c r="W259" s="149">
        <v>46156</v>
      </c>
      <c r="X259" s="150" t="s">
        <v>1194</v>
      </c>
      <c r="Y259" s="151" t="s">
        <v>236</v>
      </c>
      <c r="Z259" s="152" t="s">
        <v>1195</v>
      </c>
      <c r="AA259" s="153">
        <v>11890</v>
      </c>
      <c r="AB259" s="153" t="s">
        <v>245</v>
      </c>
      <c r="AC259" s="153" t="s">
        <v>239</v>
      </c>
      <c r="AD259" s="154">
        <v>11890</v>
      </c>
      <c r="AE259" s="155">
        <v>2259</v>
      </c>
      <c r="AF259" s="155">
        <v>14149</v>
      </c>
      <c r="AG259" s="155">
        <v>594500</v>
      </c>
      <c r="AH259" s="155">
        <v>707455</v>
      </c>
      <c r="AI259" s="156" t="s">
        <v>1183</v>
      </c>
      <c r="AJ259" s="157">
        <v>46156</v>
      </c>
      <c r="AK259" s="158" t="s">
        <v>1186</v>
      </c>
      <c r="AL259" s="159" t="s">
        <v>1198</v>
      </c>
      <c r="AM259" s="160" t="s">
        <v>1187</v>
      </c>
      <c r="AN259" s="161">
        <v>15000</v>
      </c>
      <c r="AO259" s="161" t="s">
        <v>245</v>
      </c>
      <c r="AP259" s="162" t="s">
        <v>239</v>
      </c>
      <c r="AQ259" s="163">
        <v>15000</v>
      </c>
      <c r="AR259" s="164">
        <v>2850</v>
      </c>
      <c r="AS259" s="164">
        <v>17850</v>
      </c>
      <c r="AT259" s="164">
        <v>750000</v>
      </c>
      <c r="AU259" s="164">
        <v>892500</v>
      </c>
      <c r="AV259" s="165">
        <f t="shared" si="135"/>
        <v>16220</v>
      </c>
      <c r="AW259" s="165">
        <f t="shared" si="136"/>
        <v>811000</v>
      </c>
      <c r="AX259" s="165">
        <f t="shared" si="137"/>
        <v>94466</v>
      </c>
      <c r="AY259" s="166">
        <v>0.11650000000000001</v>
      </c>
      <c r="AZ259" s="5"/>
      <c r="BA259" s="7"/>
      <c r="BB259" s="7"/>
    </row>
    <row r="260" spans="1:54" ht="67.5" x14ac:dyDescent="0.25">
      <c r="A260" s="137" t="s">
        <v>1199</v>
      </c>
      <c r="B260" s="137" t="s">
        <v>1199</v>
      </c>
      <c r="C260" s="137"/>
      <c r="D260" s="137" t="s">
        <v>1200</v>
      </c>
      <c r="E260" s="137" t="s">
        <v>1201</v>
      </c>
      <c r="F260" s="139" t="s">
        <v>233</v>
      </c>
      <c r="G260" s="140">
        <v>30</v>
      </c>
      <c r="H260" s="139" t="s">
        <v>335</v>
      </c>
      <c r="I260" s="141" t="s">
        <v>247</v>
      </c>
      <c r="J260" s="142">
        <v>46170</v>
      </c>
      <c r="K260" s="143" t="s">
        <v>1202</v>
      </c>
      <c r="L260" s="144" t="s">
        <v>241</v>
      </c>
      <c r="M260" s="142" t="s">
        <v>1202</v>
      </c>
      <c r="N260" s="145">
        <v>30000</v>
      </c>
      <c r="O260" s="145" t="s">
        <v>245</v>
      </c>
      <c r="P260" s="145" t="s">
        <v>239</v>
      </c>
      <c r="Q260" s="146">
        <v>30000</v>
      </c>
      <c r="R260" s="147">
        <v>5700</v>
      </c>
      <c r="S260" s="147">
        <v>35700</v>
      </c>
      <c r="T260" s="147">
        <v>900000</v>
      </c>
      <c r="U260" s="147">
        <v>1071000</v>
      </c>
      <c r="V260" s="148" t="s">
        <v>247</v>
      </c>
      <c r="W260" s="149">
        <v>46170</v>
      </c>
      <c r="X260" s="150" t="s">
        <v>1203</v>
      </c>
      <c r="Y260" s="151" t="s">
        <v>241</v>
      </c>
      <c r="Z260" s="152" t="s">
        <v>1204</v>
      </c>
      <c r="AA260" s="153">
        <v>26890</v>
      </c>
      <c r="AB260" s="153" t="s">
        <v>245</v>
      </c>
      <c r="AC260" s="153" t="s">
        <v>239</v>
      </c>
      <c r="AD260" s="154">
        <v>26890</v>
      </c>
      <c r="AE260" s="155">
        <v>5109</v>
      </c>
      <c r="AF260" s="155">
        <v>31999</v>
      </c>
      <c r="AG260" s="155">
        <v>806700</v>
      </c>
      <c r="AH260" s="155">
        <v>959973</v>
      </c>
      <c r="AI260" s="156" t="s">
        <v>247</v>
      </c>
      <c r="AJ260" s="157">
        <v>46170</v>
      </c>
      <c r="AK260" s="158" t="s">
        <v>1205</v>
      </c>
      <c r="AL260" s="159" t="s">
        <v>241</v>
      </c>
      <c r="AM260" s="160" t="s">
        <v>1205</v>
      </c>
      <c r="AN260" s="161">
        <v>30000</v>
      </c>
      <c r="AO260" s="161" t="s">
        <v>245</v>
      </c>
      <c r="AP260" s="162" t="s">
        <v>265</v>
      </c>
      <c r="AQ260" s="163">
        <v>30000</v>
      </c>
      <c r="AR260" s="164" t="s">
        <v>1142</v>
      </c>
      <c r="AS260" s="164">
        <v>30000</v>
      </c>
      <c r="AT260" s="164">
        <v>900000</v>
      </c>
      <c r="AU260" s="164">
        <v>900000</v>
      </c>
      <c r="AV260" s="165">
        <f t="shared" ref="AV260:AV282" si="184">IF(A260="","",ROUND(AVERAGE(S260,AF260,AS260),0))</f>
        <v>32566</v>
      </c>
      <c r="AW260" s="165">
        <f t="shared" ref="AW260:AW282" si="185">IF(A260="","",AV260*G260)</f>
        <v>976980</v>
      </c>
      <c r="AX260" s="165">
        <f t="shared" ref="AX260:AX282" si="186">IF(N260="","",ROUND(STDEV(U260,AH260,AU260),0))</f>
        <v>86761</v>
      </c>
      <c r="AY260" s="166">
        <v>8.8800000000000004E-2</v>
      </c>
      <c r="AZ260" s="5"/>
      <c r="BA260" s="7"/>
      <c r="BB260" s="7"/>
    </row>
    <row r="261" spans="1:54" ht="94.5" x14ac:dyDescent="0.25">
      <c r="A261" s="137" t="s">
        <v>1199</v>
      </c>
      <c r="B261" s="137" t="s">
        <v>1199</v>
      </c>
      <c r="C261" s="137"/>
      <c r="D261" s="137" t="s">
        <v>1206</v>
      </c>
      <c r="E261" s="137" t="s">
        <v>1207</v>
      </c>
      <c r="F261" s="139" t="s">
        <v>1208</v>
      </c>
      <c r="G261" s="140">
        <v>42</v>
      </c>
      <c r="H261" s="139" t="s">
        <v>51</v>
      </c>
      <c r="I261" s="141" t="s">
        <v>247</v>
      </c>
      <c r="J261" s="142">
        <v>46170</v>
      </c>
      <c r="K261" s="143" t="s">
        <v>1209</v>
      </c>
      <c r="L261" s="144" t="s">
        <v>241</v>
      </c>
      <c r="M261" s="142" t="s">
        <v>1210</v>
      </c>
      <c r="N261" s="145">
        <v>6900</v>
      </c>
      <c r="O261" s="145" t="s">
        <v>238</v>
      </c>
      <c r="P261" s="145" t="s">
        <v>239</v>
      </c>
      <c r="Q261" s="146">
        <v>5798.32</v>
      </c>
      <c r="R261" s="147">
        <v>1102</v>
      </c>
      <c r="S261" s="147">
        <v>6900</v>
      </c>
      <c r="T261" s="147">
        <v>243529</v>
      </c>
      <c r="U261" s="147">
        <v>289800</v>
      </c>
      <c r="V261" s="148" t="s">
        <v>247</v>
      </c>
      <c r="W261" s="149">
        <v>46170</v>
      </c>
      <c r="X261" s="150" t="s">
        <v>1211</v>
      </c>
      <c r="Y261" s="151" t="s">
        <v>241</v>
      </c>
      <c r="Z261" s="152" t="s">
        <v>1212</v>
      </c>
      <c r="AA261" s="153">
        <v>6600</v>
      </c>
      <c r="AB261" s="153" t="s">
        <v>238</v>
      </c>
      <c r="AC261" s="153" t="s">
        <v>239</v>
      </c>
      <c r="AD261" s="154">
        <v>5546.22</v>
      </c>
      <c r="AE261" s="155">
        <v>1054</v>
      </c>
      <c r="AF261" s="155">
        <v>6600</v>
      </c>
      <c r="AG261" s="155">
        <v>232941</v>
      </c>
      <c r="AH261" s="155">
        <v>277200</v>
      </c>
      <c r="AI261" s="156" t="s">
        <v>247</v>
      </c>
      <c r="AJ261" s="157">
        <v>46170</v>
      </c>
      <c r="AK261" s="158" t="s">
        <v>1213</v>
      </c>
      <c r="AL261" s="159" t="s">
        <v>241</v>
      </c>
      <c r="AM261" s="160" t="s">
        <v>930</v>
      </c>
      <c r="AN261" s="161">
        <v>6900</v>
      </c>
      <c r="AO261" s="161" t="s">
        <v>238</v>
      </c>
      <c r="AP261" s="162" t="s">
        <v>239</v>
      </c>
      <c r="AQ261" s="163">
        <v>5798.32</v>
      </c>
      <c r="AR261" s="164">
        <v>1102</v>
      </c>
      <c r="AS261" s="164">
        <v>6900</v>
      </c>
      <c r="AT261" s="164">
        <v>243529</v>
      </c>
      <c r="AU261" s="164">
        <v>289800</v>
      </c>
      <c r="AV261" s="165">
        <f t="shared" si="184"/>
        <v>6800</v>
      </c>
      <c r="AW261" s="165">
        <f t="shared" si="185"/>
        <v>285600</v>
      </c>
      <c r="AX261" s="165">
        <f t="shared" si="186"/>
        <v>7275</v>
      </c>
      <c r="AY261" s="166">
        <v>2.5499999999999998E-2</v>
      </c>
      <c r="AZ261" s="5"/>
      <c r="BA261" s="7"/>
      <c r="BB261" s="7"/>
    </row>
    <row r="262" spans="1:54" ht="94.5" x14ac:dyDescent="0.25">
      <c r="A262" s="137" t="s">
        <v>1199</v>
      </c>
      <c r="B262" s="137" t="s">
        <v>1199</v>
      </c>
      <c r="C262" s="137"/>
      <c r="D262" s="137" t="s">
        <v>1214</v>
      </c>
      <c r="E262" s="137" t="s">
        <v>1215</v>
      </c>
      <c r="F262" s="139" t="s">
        <v>233</v>
      </c>
      <c r="G262" s="140">
        <v>30</v>
      </c>
      <c r="H262" s="139" t="s">
        <v>51</v>
      </c>
      <c r="I262" s="141" t="s">
        <v>247</v>
      </c>
      <c r="J262" s="142">
        <v>46170</v>
      </c>
      <c r="K262" s="143" t="s">
        <v>1216</v>
      </c>
      <c r="L262" s="144" t="s">
        <v>241</v>
      </c>
      <c r="M262" s="142" t="s">
        <v>1217</v>
      </c>
      <c r="N262" s="145">
        <v>21023</v>
      </c>
      <c r="O262" s="145" t="s">
        <v>238</v>
      </c>
      <c r="P262" s="145" t="s">
        <v>239</v>
      </c>
      <c r="Q262" s="146">
        <v>17666.39</v>
      </c>
      <c r="R262" s="147">
        <v>3357</v>
      </c>
      <c r="S262" s="147">
        <v>21023</v>
      </c>
      <c r="T262" s="147">
        <v>529992</v>
      </c>
      <c r="U262" s="147">
        <v>630690</v>
      </c>
      <c r="V262" s="148" t="s">
        <v>247</v>
      </c>
      <c r="W262" s="149">
        <v>46170</v>
      </c>
      <c r="X262" s="150" t="s">
        <v>1218</v>
      </c>
      <c r="Y262" s="151" t="s">
        <v>241</v>
      </c>
      <c r="Z262" s="152" t="s">
        <v>1219</v>
      </c>
      <c r="AA262" s="153">
        <v>24300</v>
      </c>
      <c r="AB262" s="153" t="s">
        <v>238</v>
      </c>
      <c r="AC262" s="153" t="s">
        <v>239</v>
      </c>
      <c r="AD262" s="154">
        <v>20420.169999999998</v>
      </c>
      <c r="AE262" s="155">
        <v>3880</v>
      </c>
      <c r="AF262" s="155">
        <v>24300</v>
      </c>
      <c r="AG262" s="155">
        <v>612605</v>
      </c>
      <c r="AH262" s="155">
        <v>729000</v>
      </c>
      <c r="AI262" s="156" t="s">
        <v>247</v>
      </c>
      <c r="AJ262" s="157">
        <v>46170</v>
      </c>
      <c r="AK262" s="158" t="s">
        <v>1220</v>
      </c>
      <c r="AL262" s="159" t="s">
        <v>241</v>
      </c>
      <c r="AM262" s="160" t="s">
        <v>1059</v>
      </c>
      <c r="AN262" s="161">
        <v>22000</v>
      </c>
      <c r="AO262" s="161" t="s">
        <v>238</v>
      </c>
      <c r="AP262" s="162" t="s">
        <v>239</v>
      </c>
      <c r="AQ262" s="163">
        <v>18487.39</v>
      </c>
      <c r="AR262" s="164">
        <v>3513</v>
      </c>
      <c r="AS262" s="164">
        <v>22000</v>
      </c>
      <c r="AT262" s="164">
        <v>554622</v>
      </c>
      <c r="AU262" s="164">
        <v>660000</v>
      </c>
      <c r="AV262" s="165">
        <f t="shared" si="184"/>
        <v>22441</v>
      </c>
      <c r="AW262" s="165">
        <f t="shared" si="185"/>
        <v>673230</v>
      </c>
      <c r="AX262" s="165">
        <f t="shared" si="186"/>
        <v>50473</v>
      </c>
      <c r="AY262" s="166">
        <v>7.4999999999999997E-2</v>
      </c>
      <c r="AZ262" s="5"/>
      <c r="BA262" s="7"/>
      <c r="BB262" s="7"/>
    </row>
    <row r="263" spans="1:54" ht="108" x14ac:dyDescent="0.25">
      <c r="A263" s="137" t="s">
        <v>1199</v>
      </c>
      <c r="B263" s="137" t="s">
        <v>1199</v>
      </c>
      <c r="C263" s="137"/>
      <c r="D263" s="137" t="s">
        <v>1221</v>
      </c>
      <c r="E263" s="137" t="s">
        <v>1221</v>
      </c>
      <c r="F263" s="139" t="s">
        <v>1222</v>
      </c>
      <c r="G263" s="140">
        <v>12</v>
      </c>
      <c r="H263" s="139" t="s">
        <v>51</v>
      </c>
      <c r="I263" s="141" t="s">
        <v>247</v>
      </c>
      <c r="J263" s="142">
        <v>46170</v>
      </c>
      <c r="K263" s="143" t="s">
        <v>1223</v>
      </c>
      <c r="L263" s="144" t="s">
        <v>241</v>
      </c>
      <c r="M263" s="142" t="s">
        <v>1224</v>
      </c>
      <c r="N263" s="145">
        <v>16900</v>
      </c>
      <c r="O263" s="145" t="s">
        <v>238</v>
      </c>
      <c r="P263" s="145" t="s">
        <v>239</v>
      </c>
      <c r="Q263" s="146">
        <v>14201.68</v>
      </c>
      <c r="R263" s="147">
        <v>2698</v>
      </c>
      <c r="S263" s="147">
        <v>16900</v>
      </c>
      <c r="T263" s="147">
        <v>170420</v>
      </c>
      <c r="U263" s="147">
        <v>202800</v>
      </c>
      <c r="V263" s="148" t="s">
        <v>247</v>
      </c>
      <c r="W263" s="149">
        <v>46170</v>
      </c>
      <c r="X263" s="150" t="s">
        <v>1225</v>
      </c>
      <c r="Y263" s="151" t="s">
        <v>241</v>
      </c>
      <c r="Z263" s="152" t="s">
        <v>1225</v>
      </c>
      <c r="AA263" s="153">
        <v>15000</v>
      </c>
      <c r="AB263" s="153" t="s">
        <v>245</v>
      </c>
      <c r="AC263" s="153" t="s">
        <v>239</v>
      </c>
      <c r="AD263" s="154">
        <v>15000</v>
      </c>
      <c r="AE263" s="155">
        <v>2850</v>
      </c>
      <c r="AF263" s="155">
        <v>17850</v>
      </c>
      <c r="AG263" s="155">
        <v>180000</v>
      </c>
      <c r="AH263" s="155">
        <v>214200</v>
      </c>
      <c r="AI263" s="156" t="s">
        <v>247</v>
      </c>
      <c r="AJ263" s="157">
        <v>46170</v>
      </c>
      <c r="AK263" s="158" t="s">
        <v>1226</v>
      </c>
      <c r="AL263" s="159" t="s">
        <v>241</v>
      </c>
      <c r="AM263" s="160" t="s">
        <v>1227</v>
      </c>
      <c r="AN263" s="161">
        <v>15200</v>
      </c>
      <c r="AO263" s="161" t="s">
        <v>238</v>
      </c>
      <c r="AP263" s="162" t="s">
        <v>239</v>
      </c>
      <c r="AQ263" s="163">
        <v>12773.11</v>
      </c>
      <c r="AR263" s="164">
        <v>2427</v>
      </c>
      <c r="AS263" s="164">
        <v>15200</v>
      </c>
      <c r="AT263" s="164">
        <v>153277</v>
      </c>
      <c r="AU263" s="164">
        <v>182400</v>
      </c>
      <c r="AV263" s="165">
        <f t="shared" si="184"/>
        <v>16650</v>
      </c>
      <c r="AW263" s="165">
        <f t="shared" si="185"/>
        <v>199800</v>
      </c>
      <c r="AX263" s="165">
        <f t="shared" si="186"/>
        <v>16111</v>
      </c>
      <c r="AY263" s="166">
        <v>8.0600000000000005E-2</v>
      </c>
      <c r="AZ263" s="5"/>
      <c r="BA263" s="7"/>
      <c r="BB263" s="7"/>
    </row>
    <row r="264" spans="1:54" ht="40.5" x14ac:dyDescent="0.25">
      <c r="A264" s="137" t="s">
        <v>1199</v>
      </c>
      <c r="B264" s="137" t="s">
        <v>1199</v>
      </c>
      <c r="C264" s="137"/>
      <c r="D264" s="137" t="s">
        <v>1228</v>
      </c>
      <c r="E264" s="137" t="s">
        <v>1229</v>
      </c>
      <c r="F264" s="139" t="s">
        <v>233</v>
      </c>
      <c r="G264" s="140">
        <v>30</v>
      </c>
      <c r="H264" s="139" t="s">
        <v>335</v>
      </c>
      <c r="I264" s="141" t="s">
        <v>247</v>
      </c>
      <c r="J264" s="142">
        <v>46170</v>
      </c>
      <c r="K264" s="143" t="s">
        <v>1230</v>
      </c>
      <c r="L264" s="144" t="s">
        <v>241</v>
      </c>
      <c r="M264" s="142" t="s">
        <v>1230</v>
      </c>
      <c r="N264" s="145">
        <v>35000</v>
      </c>
      <c r="O264" s="145" t="s">
        <v>245</v>
      </c>
      <c r="P264" s="145" t="s">
        <v>265</v>
      </c>
      <c r="Q264" s="146">
        <v>35000</v>
      </c>
      <c r="R264" s="147" t="s">
        <v>1142</v>
      </c>
      <c r="S264" s="147">
        <v>35000</v>
      </c>
      <c r="T264" s="147">
        <v>1050000</v>
      </c>
      <c r="U264" s="147">
        <v>1050000</v>
      </c>
      <c r="V264" s="148" t="s">
        <v>247</v>
      </c>
      <c r="W264" s="149">
        <v>46170</v>
      </c>
      <c r="X264" s="150" t="s">
        <v>1231</v>
      </c>
      <c r="Y264" s="151" t="s">
        <v>241</v>
      </c>
      <c r="Z264" s="152" t="s">
        <v>1232</v>
      </c>
      <c r="AA264" s="153">
        <v>36000</v>
      </c>
      <c r="AB264" s="153" t="s">
        <v>245</v>
      </c>
      <c r="AC264" s="153" t="s">
        <v>239</v>
      </c>
      <c r="AD264" s="154">
        <v>36000</v>
      </c>
      <c r="AE264" s="155">
        <v>6840</v>
      </c>
      <c r="AF264" s="155">
        <v>42840</v>
      </c>
      <c r="AG264" s="155">
        <v>1080000</v>
      </c>
      <c r="AH264" s="155">
        <v>1285200</v>
      </c>
      <c r="AI264" s="156" t="s">
        <v>247</v>
      </c>
      <c r="AJ264" s="157">
        <v>46170</v>
      </c>
      <c r="AK264" s="158" t="s">
        <v>1233</v>
      </c>
      <c r="AL264" s="159" t="s">
        <v>241</v>
      </c>
      <c r="AM264" s="160" t="s">
        <v>1234</v>
      </c>
      <c r="AN264" s="161">
        <v>35000</v>
      </c>
      <c r="AO264" s="161" t="s">
        <v>245</v>
      </c>
      <c r="AP264" s="162" t="s">
        <v>239</v>
      </c>
      <c r="AQ264" s="163">
        <v>35000</v>
      </c>
      <c r="AR264" s="164">
        <v>6650</v>
      </c>
      <c r="AS264" s="164">
        <v>41650</v>
      </c>
      <c r="AT264" s="164">
        <v>1050000</v>
      </c>
      <c r="AU264" s="164">
        <v>1249500</v>
      </c>
      <c r="AV264" s="165">
        <f t="shared" si="184"/>
        <v>39830</v>
      </c>
      <c r="AW264" s="165">
        <f t="shared" si="185"/>
        <v>1194900</v>
      </c>
      <c r="AX264" s="165">
        <f t="shared" si="186"/>
        <v>126750</v>
      </c>
      <c r="AY264" s="166">
        <v>0.1061</v>
      </c>
      <c r="AZ264" s="5"/>
      <c r="BA264" s="7"/>
      <c r="BB264" s="7"/>
    </row>
    <row r="265" spans="1:54" ht="81" x14ac:dyDescent="0.25">
      <c r="A265" s="137" t="s">
        <v>1199</v>
      </c>
      <c r="B265" s="137" t="s">
        <v>1199</v>
      </c>
      <c r="C265" s="137"/>
      <c r="D265" s="137" t="s">
        <v>1235</v>
      </c>
      <c r="E265" s="137" t="s">
        <v>1236</v>
      </c>
      <c r="F265" s="139" t="s">
        <v>233</v>
      </c>
      <c r="G265" s="140">
        <v>30</v>
      </c>
      <c r="H265" s="139" t="s">
        <v>51</v>
      </c>
      <c r="I265" s="141" t="s">
        <v>247</v>
      </c>
      <c r="J265" s="142">
        <v>46175</v>
      </c>
      <c r="K265" s="143" t="s">
        <v>1237</v>
      </c>
      <c r="L265" s="144" t="s">
        <v>241</v>
      </c>
      <c r="M265" s="142" t="s">
        <v>1237</v>
      </c>
      <c r="N265" s="145">
        <v>5200</v>
      </c>
      <c r="O265" s="145" t="s">
        <v>245</v>
      </c>
      <c r="P265" s="145" t="s">
        <v>239</v>
      </c>
      <c r="Q265" s="146">
        <v>5200</v>
      </c>
      <c r="R265" s="147">
        <v>988</v>
      </c>
      <c r="S265" s="147">
        <v>6188</v>
      </c>
      <c r="T265" s="147">
        <v>156000</v>
      </c>
      <c r="U265" s="147">
        <v>185640</v>
      </c>
      <c r="V265" s="148" t="s">
        <v>247</v>
      </c>
      <c r="W265" s="149">
        <v>46175</v>
      </c>
      <c r="X265" s="150" t="s">
        <v>1238</v>
      </c>
      <c r="Y265" s="151" t="s">
        <v>241</v>
      </c>
      <c r="Z265" s="152" t="s">
        <v>1239</v>
      </c>
      <c r="AA265" s="153">
        <v>5400</v>
      </c>
      <c r="AB265" s="153" t="s">
        <v>245</v>
      </c>
      <c r="AC265" s="153" t="s">
        <v>239</v>
      </c>
      <c r="AD265" s="154">
        <v>5400</v>
      </c>
      <c r="AE265" s="155">
        <v>1026</v>
      </c>
      <c r="AF265" s="155">
        <v>6426</v>
      </c>
      <c r="AG265" s="155">
        <v>162000</v>
      </c>
      <c r="AH265" s="155">
        <v>192780</v>
      </c>
      <c r="AI265" s="156" t="s">
        <v>247</v>
      </c>
      <c r="AJ265" s="157">
        <v>46175</v>
      </c>
      <c r="AK265" s="158" t="s">
        <v>1240</v>
      </c>
      <c r="AL265" s="159" t="s">
        <v>241</v>
      </c>
      <c r="AM265" s="160" t="s">
        <v>1240</v>
      </c>
      <c r="AN265" s="161">
        <v>5610</v>
      </c>
      <c r="AO265" s="161" t="s">
        <v>245</v>
      </c>
      <c r="AP265" s="162" t="s">
        <v>239</v>
      </c>
      <c r="AQ265" s="163">
        <v>5610</v>
      </c>
      <c r="AR265" s="164">
        <v>1066</v>
      </c>
      <c r="AS265" s="164">
        <v>6676</v>
      </c>
      <c r="AT265" s="164">
        <v>168300</v>
      </c>
      <c r="AU265" s="164">
        <v>200277</v>
      </c>
      <c r="AV265" s="165">
        <f t="shared" si="184"/>
        <v>6430</v>
      </c>
      <c r="AW265" s="165">
        <f t="shared" si="185"/>
        <v>192900</v>
      </c>
      <c r="AX265" s="165">
        <f t="shared" si="186"/>
        <v>7319</v>
      </c>
      <c r="AY265" s="166">
        <v>3.7900000000000003E-2</v>
      </c>
      <c r="AZ265" s="5"/>
      <c r="BA265" s="7"/>
      <c r="BB265" s="7"/>
    </row>
    <row r="266" spans="1:54" ht="108" x14ac:dyDescent="0.25">
      <c r="A266" s="137" t="s">
        <v>1199</v>
      </c>
      <c r="B266" s="137" t="s">
        <v>1199</v>
      </c>
      <c r="C266" s="137"/>
      <c r="D266" s="137" t="s">
        <v>1241</v>
      </c>
      <c r="E266" s="137" t="s">
        <v>1242</v>
      </c>
      <c r="F266" s="139" t="s">
        <v>233</v>
      </c>
      <c r="G266" s="140">
        <v>2</v>
      </c>
      <c r="H266" s="139" t="s">
        <v>51</v>
      </c>
      <c r="I266" s="141" t="s">
        <v>247</v>
      </c>
      <c r="J266" s="142">
        <v>46170</v>
      </c>
      <c r="K266" s="143" t="s">
        <v>1243</v>
      </c>
      <c r="L266" s="144" t="s">
        <v>241</v>
      </c>
      <c r="M266" s="142" t="s">
        <v>1243</v>
      </c>
      <c r="N266" s="145">
        <v>10900</v>
      </c>
      <c r="O266" s="145" t="s">
        <v>238</v>
      </c>
      <c r="P266" s="145" t="s">
        <v>239</v>
      </c>
      <c r="Q266" s="146">
        <v>9159.66</v>
      </c>
      <c r="R266" s="147">
        <v>1740</v>
      </c>
      <c r="S266" s="147">
        <v>10900</v>
      </c>
      <c r="T266" s="147">
        <v>18319</v>
      </c>
      <c r="U266" s="147">
        <v>21800</v>
      </c>
      <c r="V266" s="148" t="s">
        <v>247</v>
      </c>
      <c r="W266" s="149">
        <v>46170</v>
      </c>
      <c r="X266" s="150" t="s">
        <v>1244</v>
      </c>
      <c r="Y266" s="151" t="s">
        <v>241</v>
      </c>
      <c r="Z266" s="152" t="s">
        <v>1245</v>
      </c>
      <c r="AA266" s="153">
        <v>11800</v>
      </c>
      <c r="AB266" s="153" t="s">
        <v>238</v>
      </c>
      <c r="AC266" s="153" t="s">
        <v>239</v>
      </c>
      <c r="AD266" s="154">
        <v>9915.9699999999993</v>
      </c>
      <c r="AE266" s="155">
        <v>1884</v>
      </c>
      <c r="AF266" s="155">
        <v>11800</v>
      </c>
      <c r="AG266" s="155">
        <v>19832</v>
      </c>
      <c r="AH266" s="155">
        <v>23600</v>
      </c>
      <c r="AI266" s="156" t="s">
        <v>247</v>
      </c>
      <c r="AJ266" s="157">
        <v>46170</v>
      </c>
      <c r="AK266" s="158" t="s">
        <v>1246</v>
      </c>
      <c r="AL266" s="159" t="s">
        <v>241</v>
      </c>
      <c r="AM266" s="160" t="s">
        <v>1247</v>
      </c>
      <c r="AN266" s="161">
        <v>11800</v>
      </c>
      <c r="AO266" s="161" t="s">
        <v>238</v>
      </c>
      <c r="AP266" s="162" t="s">
        <v>239</v>
      </c>
      <c r="AQ266" s="163">
        <v>9915.9699999999993</v>
      </c>
      <c r="AR266" s="164">
        <v>1884</v>
      </c>
      <c r="AS266" s="164">
        <v>11800</v>
      </c>
      <c r="AT266" s="164">
        <v>19832</v>
      </c>
      <c r="AU266" s="164">
        <v>23600</v>
      </c>
      <c r="AV266" s="165">
        <f t="shared" si="184"/>
        <v>11500</v>
      </c>
      <c r="AW266" s="165">
        <f t="shared" si="185"/>
        <v>23000</v>
      </c>
      <c r="AX266" s="165">
        <f t="shared" si="186"/>
        <v>1039</v>
      </c>
      <c r="AY266" s="166">
        <v>4.5199999999999997E-2</v>
      </c>
      <c r="AZ266" s="5"/>
      <c r="BA266" s="7"/>
      <c r="BB266" s="7"/>
    </row>
    <row r="267" spans="1:54" ht="67.5" x14ac:dyDescent="0.25">
      <c r="A267" s="137" t="s">
        <v>1248</v>
      </c>
      <c r="B267" s="137" t="s">
        <v>1248</v>
      </c>
      <c r="C267" s="137"/>
      <c r="D267" s="137" t="s">
        <v>1249</v>
      </c>
      <c r="E267" s="137" t="s">
        <v>1250</v>
      </c>
      <c r="F267" s="139" t="s">
        <v>233</v>
      </c>
      <c r="G267" s="140">
        <v>3</v>
      </c>
      <c r="H267" s="139" t="s">
        <v>51</v>
      </c>
      <c r="I267" s="141" t="s">
        <v>247</v>
      </c>
      <c r="J267" s="142">
        <v>46181</v>
      </c>
      <c r="K267" s="143" t="s">
        <v>1251</v>
      </c>
      <c r="L267" s="144" t="s">
        <v>236</v>
      </c>
      <c r="M267" s="142" t="s">
        <v>1252</v>
      </c>
      <c r="N267" s="145">
        <v>150000</v>
      </c>
      <c r="O267" s="145" t="s">
        <v>245</v>
      </c>
      <c r="P267" s="145" t="s">
        <v>239</v>
      </c>
      <c r="Q267" s="146">
        <v>150000</v>
      </c>
      <c r="R267" s="147">
        <v>28500</v>
      </c>
      <c r="S267" s="147">
        <v>178500</v>
      </c>
      <c r="T267" s="147">
        <v>450000</v>
      </c>
      <c r="U267" s="147">
        <v>535500</v>
      </c>
      <c r="V267" s="148" t="s">
        <v>247</v>
      </c>
      <c r="W267" s="149">
        <v>46181</v>
      </c>
      <c r="X267" s="150" t="s">
        <v>1253</v>
      </c>
      <c r="Y267" s="151" t="s">
        <v>236</v>
      </c>
      <c r="Z267" s="152" t="s">
        <v>1253</v>
      </c>
      <c r="AA267" s="153">
        <v>120000</v>
      </c>
      <c r="AB267" s="153" t="s">
        <v>245</v>
      </c>
      <c r="AC267" s="153" t="s">
        <v>239</v>
      </c>
      <c r="AD267" s="154">
        <v>120000</v>
      </c>
      <c r="AE267" s="155">
        <v>22800</v>
      </c>
      <c r="AF267" s="155">
        <v>142800</v>
      </c>
      <c r="AG267" s="155">
        <v>360000</v>
      </c>
      <c r="AH267" s="155">
        <v>428400</v>
      </c>
      <c r="AI267" s="156" t="s">
        <v>247</v>
      </c>
      <c r="AJ267" s="157">
        <v>46181</v>
      </c>
      <c r="AK267" s="158" t="s">
        <v>1254</v>
      </c>
      <c r="AL267" s="159" t="s">
        <v>236</v>
      </c>
      <c r="AM267" s="160" t="s">
        <v>1254</v>
      </c>
      <c r="AN267" s="161">
        <v>160000</v>
      </c>
      <c r="AO267" s="161" t="s">
        <v>245</v>
      </c>
      <c r="AP267" s="162" t="s">
        <v>239</v>
      </c>
      <c r="AQ267" s="163">
        <v>160000</v>
      </c>
      <c r="AR267" s="164">
        <v>30400</v>
      </c>
      <c r="AS267" s="164">
        <v>190400</v>
      </c>
      <c r="AT267" s="164">
        <v>480000</v>
      </c>
      <c r="AU267" s="164">
        <v>571200</v>
      </c>
      <c r="AV267" s="165">
        <f t="shared" si="184"/>
        <v>170567</v>
      </c>
      <c r="AW267" s="165">
        <f t="shared" si="185"/>
        <v>511701</v>
      </c>
      <c r="AX267" s="165">
        <f t="shared" si="186"/>
        <v>74315</v>
      </c>
      <c r="AY267" s="166">
        <v>0.1452</v>
      </c>
      <c r="AZ267" s="5"/>
      <c r="BA267" s="7"/>
      <c r="BB267" s="7"/>
    </row>
    <row r="268" spans="1:54" ht="40.5" x14ac:dyDescent="0.25">
      <c r="A268" s="192" t="s">
        <v>1255</v>
      </c>
      <c r="B268" s="192" t="s">
        <v>1255</v>
      </c>
      <c r="C268" s="193"/>
      <c r="D268" s="137" t="s">
        <v>1256</v>
      </c>
      <c r="E268" s="137" t="s">
        <v>1257</v>
      </c>
      <c r="F268" s="194" t="s">
        <v>233</v>
      </c>
      <c r="G268" s="195">
        <v>20</v>
      </c>
      <c r="H268" s="195" t="s">
        <v>51</v>
      </c>
      <c r="I268" s="196" t="s">
        <v>428</v>
      </c>
      <c r="J268" s="197">
        <v>46218</v>
      </c>
      <c r="K268" s="198" t="s">
        <v>1258</v>
      </c>
      <c r="L268" s="199" t="s">
        <v>241</v>
      </c>
      <c r="M268" s="199" t="s">
        <v>930</v>
      </c>
      <c r="N268" s="200">
        <v>79000</v>
      </c>
      <c r="O268" s="199" t="s">
        <v>238</v>
      </c>
      <c r="P268" s="199" t="s">
        <v>239</v>
      </c>
      <c r="Q268" s="201">
        <v>66386.55</v>
      </c>
      <c r="R268" s="202">
        <v>12613</v>
      </c>
      <c r="S268" s="202">
        <v>79000</v>
      </c>
      <c r="T268" s="203">
        <v>1327731</v>
      </c>
      <c r="U268" s="203">
        <v>1580000</v>
      </c>
      <c r="V268" s="204" t="s">
        <v>428</v>
      </c>
      <c r="W268" s="205">
        <v>46218</v>
      </c>
      <c r="X268" s="206" t="s">
        <v>1259</v>
      </c>
      <c r="Y268" s="207" t="s">
        <v>241</v>
      </c>
      <c r="Z268" s="207" t="s">
        <v>1097</v>
      </c>
      <c r="AA268" s="208">
        <v>79000</v>
      </c>
      <c r="AB268" s="207" t="s">
        <v>238</v>
      </c>
      <c r="AC268" s="207" t="s">
        <v>239</v>
      </c>
      <c r="AD268" s="209">
        <v>66386.55</v>
      </c>
      <c r="AE268" s="210">
        <v>12613</v>
      </c>
      <c r="AF268" s="210">
        <v>79000</v>
      </c>
      <c r="AG268" s="211">
        <v>1327731</v>
      </c>
      <c r="AH268" s="211">
        <v>1580000</v>
      </c>
      <c r="AI268" s="212" t="s">
        <v>428</v>
      </c>
      <c r="AJ268" s="213">
        <v>46218</v>
      </c>
      <c r="AK268" s="214" t="s">
        <v>1260</v>
      </c>
      <c r="AL268" s="212" t="s">
        <v>241</v>
      </c>
      <c r="AM268" s="212" t="s">
        <v>1261</v>
      </c>
      <c r="AN268" s="215">
        <v>79000</v>
      </c>
      <c r="AO268" s="212" t="s">
        <v>238</v>
      </c>
      <c r="AP268" s="212" t="s">
        <v>239</v>
      </c>
      <c r="AQ268" s="216">
        <v>66386.55</v>
      </c>
      <c r="AR268" s="217">
        <v>12613</v>
      </c>
      <c r="AS268" s="217">
        <v>79000</v>
      </c>
      <c r="AT268" s="218">
        <v>1327731</v>
      </c>
      <c r="AU268" s="218">
        <v>1580000</v>
      </c>
      <c r="AV268" s="165">
        <f t="shared" si="184"/>
        <v>79000</v>
      </c>
      <c r="AW268" s="165">
        <f t="shared" si="185"/>
        <v>1580000</v>
      </c>
      <c r="AX268" s="165">
        <f t="shared" si="186"/>
        <v>0</v>
      </c>
      <c r="AY268" s="219">
        <v>0</v>
      </c>
    </row>
    <row r="269" spans="1:54" ht="108" x14ac:dyDescent="0.25">
      <c r="A269" s="192" t="s">
        <v>1255</v>
      </c>
      <c r="B269" s="192" t="s">
        <v>1255</v>
      </c>
      <c r="C269" s="193"/>
      <c r="D269" s="137" t="s">
        <v>1262</v>
      </c>
      <c r="E269" s="137" t="s">
        <v>1263</v>
      </c>
      <c r="F269" s="194" t="s">
        <v>233</v>
      </c>
      <c r="G269" s="195">
        <v>19</v>
      </c>
      <c r="H269" s="195" t="s">
        <v>51</v>
      </c>
      <c r="I269" s="196" t="s">
        <v>428</v>
      </c>
      <c r="J269" s="197">
        <v>46224</v>
      </c>
      <c r="K269" s="198" t="s">
        <v>1264</v>
      </c>
      <c r="L269" s="199" t="s">
        <v>241</v>
      </c>
      <c r="M269" s="199" t="s">
        <v>1265</v>
      </c>
      <c r="N269" s="200">
        <v>2230000</v>
      </c>
      <c r="O269" s="199" t="s">
        <v>245</v>
      </c>
      <c r="P269" s="199" t="s">
        <v>239</v>
      </c>
      <c r="Q269" s="220">
        <v>2230000</v>
      </c>
      <c r="R269" s="221">
        <v>423700</v>
      </c>
      <c r="S269" s="221">
        <v>2653700</v>
      </c>
      <c r="T269" s="221">
        <v>42370000</v>
      </c>
      <c r="U269" s="203">
        <v>50420300</v>
      </c>
      <c r="V269" s="204" t="s">
        <v>428</v>
      </c>
      <c r="W269" s="205">
        <v>46225</v>
      </c>
      <c r="X269" s="206" t="s">
        <v>1266</v>
      </c>
      <c r="Y269" s="207" t="s">
        <v>241</v>
      </c>
      <c r="Z269" s="207" t="s">
        <v>1267</v>
      </c>
      <c r="AA269" s="208">
        <v>2220000</v>
      </c>
      <c r="AB269" s="207" t="s">
        <v>245</v>
      </c>
      <c r="AC269" s="207" t="s">
        <v>239</v>
      </c>
      <c r="AD269" s="209">
        <v>2220000</v>
      </c>
      <c r="AE269" s="210">
        <v>421800</v>
      </c>
      <c r="AF269" s="210">
        <v>2641800</v>
      </c>
      <c r="AG269" s="211">
        <v>42180000</v>
      </c>
      <c r="AH269" s="211">
        <v>50194200</v>
      </c>
      <c r="AI269" s="212" t="s">
        <v>428</v>
      </c>
      <c r="AJ269" s="213">
        <v>46225</v>
      </c>
      <c r="AK269" s="214" t="s">
        <v>1268</v>
      </c>
      <c r="AL269" s="212" t="s">
        <v>241</v>
      </c>
      <c r="AM269" s="212" t="s">
        <v>1269</v>
      </c>
      <c r="AN269" s="215">
        <v>2302000</v>
      </c>
      <c r="AO269" s="212" t="s">
        <v>245</v>
      </c>
      <c r="AP269" s="212" t="s">
        <v>239</v>
      </c>
      <c r="AQ269" s="216">
        <v>2302000</v>
      </c>
      <c r="AR269" s="217">
        <v>437380</v>
      </c>
      <c r="AS269" s="217">
        <v>2739380</v>
      </c>
      <c r="AT269" s="218">
        <v>43738000</v>
      </c>
      <c r="AU269" s="218">
        <v>52048220</v>
      </c>
      <c r="AV269" s="165">
        <f t="shared" si="184"/>
        <v>2678293</v>
      </c>
      <c r="AW269" s="165">
        <f t="shared" si="185"/>
        <v>50887567</v>
      </c>
      <c r="AX269" s="165">
        <f t="shared" si="186"/>
        <v>1011487</v>
      </c>
      <c r="AY269" s="219">
        <v>1.9900000000000001E-2</v>
      </c>
    </row>
    <row r="270" spans="1:54" ht="135" x14ac:dyDescent="0.25">
      <c r="A270" s="192" t="s">
        <v>1255</v>
      </c>
      <c r="B270" s="192" t="s">
        <v>1255</v>
      </c>
      <c r="C270" s="193"/>
      <c r="D270" s="137" t="s">
        <v>1270</v>
      </c>
      <c r="E270" s="137" t="s">
        <v>1271</v>
      </c>
      <c r="F270" s="194" t="s">
        <v>233</v>
      </c>
      <c r="G270" s="195">
        <v>60</v>
      </c>
      <c r="H270" s="195" t="s">
        <v>51</v>
      </c>
      <c r="I270" s="196" t="s">
        <v>428</v>
      </c>
      <c r="J270" s="197">
        <v>46217</v>
      </c>
      <c r="K270" s="198" t="s">
        <v>1272</v>
      </c>
      <c r="L270" s="199" t="s">
        <v>241</v>
      </c>
      <c r="M270" s="199" t="s">
        <v>930</v>
      </c>
      <c r="N270" s="200">
        <v>179900</v>
      </c>
      <c r="O270" s="199" t="s">
        <v>238</v>
      </c>
      <c r="P270" s="199" t="s">
        <v>239</v>
      </c>
      <c r="Q270" s="201">
        <v>151176.47</v>
      </c>
      <c r="R270" s="202">
        <v>28724</v>
      </c>
      <c r="S270" s="202">
        <v>179900</v>
      </c>
      <c r="T270" s="203">
        <v>9070588</v>
      </c>
      <c r="U270" s="203">
        <v>10794000</v>
      </c>
      <c r="V270" s="204" t="s">
        <v>428</v>
      </c>
      <c r="W270" s="205">
        <v>46217</v>
      </c>
      <c r="X270" s="206" t="s">
        <v>1273</v>
      </c>
      <c r="Y270" s="207" t="s">
        <v>241</v>
      </c>
      <c r="Z270" s="207" t="s">
        <v>1097</v>
      </c>
      <c r="AA270" s="208">
        <v>179900</v>
      </c>
      <c r="AB270" s="207" t="s">
        <v>238</v>
      </c>
      <c r="AC270" s="207" t="s">
        <v>239</v>
      </c>
      <c r="AD270" s="209">
        <v>151176.47</v>
      </c>
      <c r="AE270" s="210">
        <v>28724</v>
      </c>
      <c r="AF270" s="210">
        <v>179900</v>
      </c>
      <c r="AG270" s="211">
        <v>9070588</v>
      </c>
      <c r="AH270" s="211">
        <v>10794000</v>
      </c>
      <c r="AI270" s="212" t="s">
        <v>428</v>
      </c>
      <c r="AJ270" s="213">
        <v>46217</v>
      </c>
      <c r="AK270" s="214" t="s">
        <v>1274</v>
      </c>
      <c r="AL270" s="212" t="s">
        <v>241</v>
      </c>
      <c r="AM270" s="212" t="s">
        <v>1275</v>
      </c>
      <c r="AN270" s="215">
        <v>189900</v>
      </c>
      <c r="AO270" s="212" t="s">
        <v>238</v>
      </c>
      <c r="AP270" s="212" t="s">
        <v>239</v>
      </c>
      <c r="AQ270" s="216">
        <v>159579.82999999999</v>
      </c>
      <c r="AR270" s="217">
        <v>30320</v>
      </c>
      <c r="AS270" s="217">
        <v>189900</v>
      </c>
      <c r="AT270" s="218">
        <v>9574790</v>
      </c>
      <c r="AU270" s="218">
        <v>11394000</v>
      </c>
      <c r="AV270" s="165">
        <f t="shared" si="184"/>
        <v>183233</v>
      </c>
      <c r="AW270" s="165">
        <f t="shared" si="185"/>
        <v>10993980</v>
      </c>
      <c r="AX270" s="165">
        <f t="shared" si="186"/>
        <v>346410</v>
      </c>
      <c r="AY270" s="219">
        <v>3.15E-2</v>
      </c>
    </row>
    <row r="271" spans="1:54" ht="148.5" x14ac:dyDescent="0.25">
      <c r="A271" s="192" t="s">
        <v>1255</v>
      </c>
      <c r="B271" s="192" t="s">
        <v>1255</v>
      </c>
      <c r="C271" s="193"/>
      <c r="D271" s="137" t="s">
        <v>1276</v>
      </c>
      <c r="E271" s="137" t="s">
        <v>1277</v>
      </c>
      <c r="F271" s="194" t="s">
        <v>233</v>
      </c>
      <c r="G271" s="195">
        <v>4</v>
      </c>
      <c r="H271" s="195" t="s">
        <v>51</v>
      </c>
      <c r="I271" s="196" t="s">
        <v>428</v>
      </c>
      <c r="J271" s="197">
        <v>46231</v>
      </c>
      <c r="K271" s="198" t="s">
        <v>1278</v>
      </c>
      <c r="L271" s="199" t="s">
        <v>236</v>
      </c>
      <c r="M271" s="199" t="s">
        <v>1279</v>
      </c>
      <c r="N271" s="200">
        <v>613000</v>
      </c>
      <c r="O271" s="199" t="s">
        <v>238</v>
      </c>
      <c r="P271" s="199" t="s">
        <v>239</v>
      </c>
      <c r="Q271" s="201">
        <v>515126.05</v>
      </c>
      <c r="R271" s="202">
        <v>97874</v>
      </c>
      <c r="S271" s="202">
        <v>613000</v>
      </c>
      <c r="T271" s="203">
        <v>2060504</v>
      </c>
      <c r="U271" s="203">
        <v>2452000</v>
      </c>
      <c r="V271" s="204" t="s">
        <v>428</v>
      </c>
      <c r="W271" s="205">
        <v>46217</v>
      </c>
      <c r="X271" s="206" t="s">
        <v>1280</v>
      </c>
      <c r="Y271" s="207" t="s">
        <v>236</v>
      </c>
      <c r="Z271" s="207" t="s">
        <v>1281</v>
      </c>
      <c r="AA271" s="208">
        <v>519900</v>
      </c>
      <c r="AB271" s="207" t="s">
        <v>238</v>
      </c>
      <c r="AC271" s="207" t="s">
        <v>239</v>
      </c>
      <c r="AD271" s="209">
        <v>436890.76</v>
      </c>
      <c r="AE271" s="210">
        <v>83009</v>
      </c>
      <c r="AF271" s="210">
        <v>519900</v>
      </c>
      <c r="AG271" s="211">
        <v>1747563</v>
      </c>
      <c r="AH271" s="211">
        <v>2079600</v>
      </c>
      <c r="AI271" s="212" t="s">
        <v>428</v>
      </c>
      <c r="AJ271" s="213">
        <v>46217</v>
      </c>
      <c r="AK271" s="214" t="s">
        <v>1282</v>
      </c>
      <c r="AL271" s="212" t="s">
        <v>241</v>
      </c>
      <c r="AM271" s="212" t="s">
        <v>1097</v>
      </c>
      <c r="AN271" s="215">
        <v>419000</v>
      </c>
      <c r="AO271" s="212" t="s">
        <v>238</v>
      </c>
      <c r="AP271" s="212" t="s">
        <v>239</v>
      </c>
      <c r="AQ271" s="216">
        <v>352100.84</v>
      </c>
      <c r="AR271" s="217">
        <v>66899</v>
      </c>
      <c r="AS271" s="217">
        <v>419000</v>
      </c>
      <c r="AT271" s="218">
        <v>1408403</v>
      </c>
      <c r="AU271" s="218">
        <v>1676000</v>
      </c>
      <c r="AV271" s="165">
        <f t="shared" si="184"/>
        <v>517300</v>
      </c>
      <c r="AW271" s="165">
        <f t="shared" si="185"/>
        <v>2069200</v>
      </c>
      <c r="AX271" s="165">
        <f t="shared" si="186"/>
        <v>388105</v>
      </c>
      <c r="AY271" s="219">
        <v>0.18759999999999999</v>
      </c>
    </row>
    <row r="272" spans="1:54" ht="216" x14ac:dyDescent="0.25">
      <c r="A272" s="192" t="s">
        <v>1255</v>
      </c>
      <c r="B272" s="192" t="s">
        <v>1255</v>
      </c>
      <c r="C272" s="193"/>
      <c r="D272" s="137" t="s">
        <v>1283</v>
      </c>
      <c r="E272" s="137" t="s">
        <v>1284</v>
      </c>
      <c r="F272" s="194" t="s">
        <v>233</v>
      </c>
      <c r="G272" s="195">
        <v>8</v>
      </c>
      <c r="H272" s="195" t="s">
        <v>51</v>
      </c>
      <c r="I272" s="196" t="s">
        <v>234</v>
      </c>
      <c r="J272" s="197">
        <v>46204</v>
      </c>
      <c r="K272" s="198" t="s">
        <v>1285</v>
      </c>
      <c r="L272" s="199" t="s">
        <v>241</v>
      </c>
      <c r="M272" s="199" t="s">
        <v>1286</v>
      </c>
      <c r="N272" s="200">
        <v>449900</v>
      </c>
      <c r="O272" s="199" t="s">
        <v>238</v>
      </c>
      <c r="P272" s="199" t="s">
        <v>239</v>
      </c>
      <c r="Q272" s="201">
        <v>378067.23</v>
      </c>
      <c r="R272" s="202">
        <v>71833</v>
      </c>
      <c r="S272" s="202">
        <v>449900</v>
      </c>
      <c r="T272" s="203">
        <v>3024538</v>
      </c>
      <c r="U272" s="203">
        <v>3599200</v>
      </c>
      <c r="V272" s="204" t="s">
        <v>234</v>
      </c>
      <c r="W272" s="205">
        <v>46204</v>
      </c>
      <c r="X272" s="206" t="s">
        <v>1287</v>
      </c>
      <c r="Y272" s="207" t="s">
        <v>241</v>
      </c>
      <c r="Z272" s="207" t="s">
        <v>930</v>
      </c>
      <c r="AA272" s="208">
        <v>349900</v>
      </c>
      <c r="AB272" s="207" t="s">
        <v>238</v>
      </c>
      <c r="AC272" s="207" t="s">
        <v>239</v>
      </c>
      <c r="AD272" s="209">
        <v>294033.61</v>
      </c>
      <c r="AE272" s="210">
        <v>55866</v>
      </c>
      <c r="AF272" s="210">
        <v>349900</v>
      </c>
      <c r="AG272" s="211">
        <v>2352269</v>
      </c>
      <c r="AH272" s="211">
        <v>2799200</v>
      </c>
      <c r="AI272" s="212" t="s">
        <v>234</v>
      </c>
      <c r="AJ272" s="213">
        <v>46204</v>
      </c>
      <c r="AK272" s="214" t="s">
        <v>1288</v>
      </c>
      <c r="AL272" s="212" t="s">
        <v>241</v>
      </c>
      <c r="AM272" s="212" t="s">
        <v>1289</v>
      </c>
      <c r="AN272" s="215">
        <v>399900</v>
      </c>
      <c r="AO272" s="212" t="s">
        <v>238</v>
      </c>
      <c r="AP272" s="212" t="s">
        <v>239</v>
      </c>
      <c r="AQ272" s="216">
        <v>336050.42</v>
      </c>
      <c r="AR272" s="217">
        <v>63850</v>
      </c>
      <c r="AS272" s="217">
        <v>399900</v>
      </c>
      <c r="AT272" s="218">
        <v>2688403</v>
      </c>
      <c r="AU272" s="218">
        <v>3199200</v>
      </c>
      <c r="AV272" s="165">
        <f t="shared" si="184"/>
        <v>399900</v>
      </c>
      <c r="AW272" s="165">
        <f t="shared" si="185"/>
        <v>3199200</v>
      </c>
      <c r="AX272" s="165">
        <f t="shared" si="186"/>
        <v>400000</v>
      </c>
      <c r="AY272" s="219">
        <v>0.125</v>
      </c>
    </row>
    <row r="273" spans="1:51" ht="40.5" x14ac:dyDescent="0.25">
      <c r="A273" s="192" t="s">
        <v>1255</v>
      </c>
      <c r="B273" s="192" t="s">
        <v>1255</v>
      </c>
      <c r="C273" s="193"/>
      <c r="D273" s="137" t="s">
        <v>1290</v>
      </c>
      <c r="E273" s="137" t="s">
        <v>1291</v>
      </c>
      <c r="F273" s="194" t="s">
        <v>233</v>
      </c>
      <c r="G273" s="195">
        <v>500</v>
      </c>
      <c r="H273" s="195" t="s">
        <v>51</v>
      </c>
      <c r="I273" s="196" t="s">
        <v>428</v>
      </c>
      <c r="J273" s="197">
        <v>46217</v>
      </c>
      <c r="K273" s="198" t="s">
        <v>1292</v>
      </c>
      <c r="L273" s="199" t="s">
        <v>241</v>
      </c>
      <c r="M273" s="199" t="s">
        <v>1293</v>
      </c>
      <c r="N273" s="200">
        <v>44900</v>
      </c>
      <c r="O273" s="199" t="s">
        <v>238</v>
      </c>
      <c r="P273" s="199" t="s">
        <v>239</v>
      </c>
      <c r="Q273" s="201">
        <v>37731.089999999997</v>
      </c>
      <c r="R273" s="202">
        <v>7169</v>
      </c>
      <c r="S273" s="202">
        <v>44900</v>
      </c>
      <c r="T273" s="203">
        <v>18865546</v>
      </c>
      <c r="U273" s="203">
        <v>22450000</v>
      </c>
      <c r="V273" s="204" t="s">
        <v>428</v>
      </c>
      <c r="W273" s="205">
        <v>46217</v>
      </c>
      <c r="X273" s="206" t="s">
        <v>1294</v>
      </c>
      <c r="Y273" s="207" t="s">
        <v>241</v>
      </c>
      <c r="Z273" s="207" t="s">
        <v>1295</v>
      </c>
      <c r="AA273" s="208">
        <v>51200</v>
      </c>
      <c r="AB273" s="207" t="s">
        <v>238</v>
      </c>
      <c r="AC273" s="207" t="s">
        <v>239</v>
      </c>
      <c r="AD273" s="209">
        <v>43025.21</v>
      </c>
      <c r="AE273" s="210">
        <v>8175</v>
      </c>
      <c r="AF273" s="210">
        <v>51200</v>
      </c>
      <c r="AG273" s="211">
        <v>21512605</v>
      </c>
      <c r="AH273" s="211">
        <v>25600000</v>
      </c>
      <c r="AI273" s="212" t="s">
        <v>428</v>
      </c>
      <c r="AJ273" s="213">
        <v>46217</v>
      </c>
      <c r="AK273" s="214" t="s">
        <v>1296</v>
      </c>
      <c r="AL273" s="212" t="s">
        <v>241</v>
      </c>
      <c r="AM273" s="212" t="s">
        <v>1275</v>
      </c>
      <c r="AN273" s="215">
        <v>39900</v>
      </c>
      <c r="AO273" s="212" t="s">
        <v>238</v>
      </c>
      <c r="AP273" s="212" t="s">
        <v>239</v>
      </c>
      <c r="AQ273" s="216">
        <v>33529.410000000003</v>
      </c>
      <c r="AR273" s="217">
        <v>6371</v>
      </c>
      <c r="AS273" s="217">
        <v>39900</v>
      </c>
      <c r="AT273" s="218">
        <v>16764706</v>
      </c>
      <c r="AU273" s="218">
        <v>19950000</v>
      </c>
      <c r="AV273" s="165">
        <f t="shared" si="184"/>
        <v>45333</v>
      </c>
      <c r="AW273" s="165">
        <f t="shared" si="185"/>
        <v>22666500</v>
      </c>
      <c r="AX273" s="165">
        <f t="shared" si="186"/>
        <v>2831225</v>
      </c>
      <c r="AY273" s="219">
        <v>0.1249</v>
      </c>
    </row>
    <row r="274" spans="1:51" ht="108" x14ac:dyDescent="0.25">
      <c r="A274" s="192" t="s">
        <v>1255</v>
      </c>
      <c r="B274" s="192" t="s">
        <v>1255</v>
      </c>
      <c r="C274" s="137">
        <v>44111905</v>
      </c>
      <c r="D274" s="137" t="s">
        <v>1297</v>
      </c>
      <c r="E274" s="137" t="s">
        <v>1298</v>
      </c>
      <c r="F274" s="194" t="s">
        <v>233</v>
      </c>
      <c r="G274" s="195">
        <v>5</v>
      </c>
      <c r="H274" s="195" t="s">
        <v>51</v>
      </c>
      <c r="I274" s="196" t="s">
        <v>428</v>
      </c>
      <c r="J274" s="197">
        <v>46217</v>
      </c>
      <c r="K274" s="198" t="s">
        <v>1299</v>
      </c>
      <c r="L274" s="199" t="s">
        <v>241</v>
      </c>
      <c r="M274" s="199" t="s">
        <v>930</v>
      </c>
      <c r="N274" s="200">
        <v>280000</v>
      </c>
      <c r="O274" s="199" t="s">
        <v>238</v>
      </c>
      <c r="P274" s="199" t="s">
        <v>239</v>
      </c>
      <c r="Q274" s="201">
        <v>235294.12</v>
      </c>
      <c r="R274" s="202">
        <v>44706</v>
      </c>
      <c r="S274" s="202">
        <v>280000</v>
      </c>
      <c r="T274" s="203">
        <v>1176471</v>
      </c>
      <c r="U274" s="203">
        <v>1400000</v>
      </c>
      <c r="V274" s="204" t="s">
        <v>428</v>
      </c>
      <c r="W274" s="205">
        <v>46217</v>
      </c>
      <c r="X274" s="206" t="s">
        <v>1300</v>
      </c>
      <c r="Y274" s="207" t="s">
        <v>236</v>
      </c>
      <c r="Z274" s="207" t="s">
        <v>941</v>
      </c>
      <c r="AA274" s="208">
        <v>229900</v>
      </c>
      <c r="AB274" s="207" t="s">
        <v>238</v>
      </c>
      <c r="AC274" s="207" t="s">
        <v>239</v>
      </c>
      <c r="AD274" s="209">
        <v>193193.28</v>
      </c>
      <c r="AE274" s="210">
        <v>36707</v>
      </c>
      <c r="AF274" s="210">
        <v>229900</v>
      </c>
      <c r="AG274" s="211">
        <v>965966</v>
      </c>
      <c r="AH274" s="211">
        <v>1149500</v>
      </c>
      <c r="AI274" s="212" t="s">
        <v>428</v>
      </c>
      <c r="AJ274" s="213">
        <v>46217</v>
      </c>
      <c r="AK274" s="214" t="s">
        <v>1301</v>
      </c>
      <c r="AL274" s="212" t="s">
        <v>236</v>
      </c>
      <c r="AM274" s="212" t="s">
        <v>1097</v>
      </c>
      <c r="AN274" s="215">
        <v>284900</v>
      </c>
      <c r="AO274" s="212" t="s">
        <v>238</v>
      </c>
      <c r="AP274" s="212" t="s">
        <v>239</v>
      </c>
      <c r="AQ274" s="216">
        <v>239411.76</v>
      </c>
      <c r="AR274" s="217">
        <v>45488</v>
      </c>
      <c r="AS274" s="217">
        <v>284900</v>
      </c>
      <c r="AT274" s="218">
        <v>1197059</v>
      </c>
      <c r="AU274" s="218">
        <v>1424500</v>
      </c>
      <c r="AV274" s="165">
        <f t="shared" si="184"/>
        <v>264933</v>
      </c>
      <c r="AW274" s="165">
        <f t="shared" si="185"/>
        <v>1324665</v>
      </c>
      <c r="AX274" s="165">
        <f t="shared" si="186"/>
        <v>152193</v>
      </c>
      <c r="AY274" s="219">
        <v>0.1149</v>
      </c>
    </row>
    <row r="275" spans="1:51" ht="162" x14ac:dyDescent="0.25">
      <c r="A275" s="192" t="s">
        <v>1255</v>
      </c>
      <c r="B275" s="192" t="s">
        <v>1255</v>
      </c>
      <c r="C275" s="193"/>
      <c r="D275" s="195" t="s">
        <v>1302</v>
      </c>
      <c r="E275" s="195" t="s">
        <v>1303</v>
      </c>
      <c r="F275" s="194" t="s">
        <v>233</v>
      </c>
      <c r="G275" s="195">
        <v>12</v>
      </c>
      <c r="H275" s="195" t="s">
        <v>51</v>
      </c>
      <c r="I275" s="196" t="s">
        <v>428</v>
      </c>
      <c r="J275" s="197">
        <v>46224</v>
      </c>
      <c r="K275" s="198" t="s">
        <v>1304</v>
      </c>
      <c r="L275" s="199" t="s">
        <v>241</v>
      </c>
      <c r="M275" s="199" t="s">
        <v>1305</v>
      </c>
      <c r="N275" s="200">
        <v>540000</v>
      </c>
      <c r="O275" s="199" t="s">
        <v>238</v>
      </c>
      <c r="P275" s="199" t="s">
        <v>239</v>
      </c>
      <c r="Q275" s="201">
        <v>453781.51</v>
      </c>
      <c r="R275" s="202">
        <v>86218</v>
      </c>
      <c r="S275" s="202">
        <v>540000</v>
      </c>
      <c r="T275" s="203">
        <v>5445378</v>
      </c>
      <c r="U275" s="203">
        <v>6480000</v>
      </c>
      <c r="V275" s="204" t="s">
        <v>428</v>
      </c>
      <c r="W275" s="205">
        <v>46224</v>
      </c>
      <c r="X275" s="206" t="s">
        <v>1306</v>
      </c>
      <c r="Y275" s="207" t="s">
        <v>241</v>
      </c>
      <c r="Z275" s="207" t="s">
        <v>930</v>
      </c>
      <c r="AA275" s="208">
        <v>608000</v>
      </c>
      <c r="AB275" s="207" t="s">
        <v>238</v>
      </c>
      <c r="AC275" s="207" t="s">
        <v>239</v>
      </c>
      <c r="AD275" s="209">
        <v>510924.37</v>
      </c>
      <c r="AE275" s="210">
        <v>97076</v>
      </c>
      <c r="AF275" s="210">
        <v>608000</v>
      </c>
      <c r="AG275" s="211">
        <v>6131092</v>
      </c>
      <c r="AH275" s="211">
        <v>7296000</v>
      </c>
      <c r="AI275" s="212" t="s">
        <v>428</v>
      </c>
      <c r="AJ275" s="213">
        <v>46224</v>
      </c>
      <c r="AK275" s="214" t="s">
        <v>1307</v>
      </c>
      <c r="AL275" s="212" t="s">
        <v>241</v>
      </c>
      <c r="AM275" s="212" t="s">
        <v>1308</v>
      </c>
      <c r="AN275" s="215">
        <v>608000</v>
      </c>
      <c r="AO275" s="212" t="s">
        <v>238</v>
      </c>
      <c r="AP275" s="212" t="s">
        <v>239</v>
      </c>
      <c r="AQ275" s="216">
        <v>510924.37</v>
      </c>
      <c r="AR275" s="217">
        <v>97076</v>
      </c>
      <c r="AS275" s="217">
        <v>608000</v>
      </c>
      <c r="AT275" s="218">
        <v>6131092</v>
      </c>
      <c r="AU275" s="218">
        <v>7296000</v>
      </c>
      <c r="AV275" s="165">
        <f t="shared" si="184"/>
        <v>585333</v>
      </c>
      <c r="AW275" s="165">
        <f t="shared" si="185"/>
        <v>7023996</v>
      </c>
      <c r="AX275" s="165">
        <f t="shared" si="186"/>
        <v>471118</v>
      </c>
      <c r="AY275" s="219">
        <v>6.7100000000000007E-2</v>
      </c>
    </row>
    <row r="276" spans="1:51" ht="148.5" x14ac:dyDescent="0.25">
      <c r="A276" s="192" t="s">
        <v>1255</v>
      </c>
      <c r="B276" s="192" t="s">
        <v>1255</v>
      </c>
      <c r="C276" s="193"/>
      <c r="D276" s="195" t="s">
        <v>1309</v>
      </c>
      <c r="E276" s="195" t="s">
        <v>1310</v>
      </c>
      <c r="F276" s="194" t="s">
        <v>233</v>
      </c>
      <c r="G276" s="195">
        <v>4</v>
      </c>
      <c r="H276" s="195" t="s">
        <v>51</v>
      </c>
      <c r="I276" s="196" t="s">
        <v>428</v>
      </c>
      <c r="J276" s="197">
        <v>46217</v>
      </c>
      <c r="K276" s="198" t="s">
        <v>1311</v>
      </c>
      <c r="L276" s="199" t="s">
        <v>241</v>
      </c>
      <c r="M276" s="199" t="s">
        <v>1312</v>
      </c>
      <c r="N276" s="200">
        <v>973750</v>
      </c>
      <c r="O276" s="199" t="s">
        <v>238</v>
      </c>
      <c r="P276" s="199" t="s">
        <v>239</v>
      </c>
      <c r="Q276" s="201">
        <v>818277.31</v>
      </c>
      <c r="R276" s="202">
        <v>155473</v>
      </c>
      <c r="S276" s="202">
        <v>973750</v>
      </c>
      <c r="T276" s="203">
        <v>3273109</v>
      </c>
      <c r="U276" s="203">
        <v>3895000</v>
      </c>
      <c r="V276" s="204" t="s">
        <v>428</v>
      </c>
      <c r="W276" s="205">
        <v>46217</v>
      </c>
      <c r="X276" s="206" t="s">
        <v>1313</v>
      </c>
      <c r="Y276" s="207" t="s">
        <v>241</v>
      </c>
      <c r="Z276" s="207" t="s">
        <v>1314</v>
      </c>
      <c r="AA276" s="208">
        <v>1050000</v>
      </c>
      <c r="AB276" s="207" t="s">
        <v>238</v>
      </c>
      <c r="AC276" s="207" t="s">
        <v>239</v>
      </c>
      <c r="AD276" s="209">
        <v>882352.94</v>
      </c>
      <c r="AE276" s="210">
        <v>167647</v>
      </c>
      <c r="AF276" s="210">
        <v>1050000</v>
      </c>
      <c r="AG276" s="211">
        <v>3529412</v>
      </c>
      <c r="AH276" s="211">
        <v>4200000</v>
      </c>
      <c r="AI276" s="212" t="s">
        <v>428</v>
      </c>
      <c r="AJ276" s="213">
        <v>46217</v>
      </c>
      <c r="AK276" s="214" t="s">
        <v>1315</v>
      </c>
      <c r="AL276" s="212" t="s">
        <v>241</v>
      </c>
      <c r="AM276" s="212" t="s">
        <v>1316</v>
      </c>
      <c r="AN276" s="215">
        <v>1149000</v>
      </c>
      <c r="AO276" s="212" t="s">
        <v>238</v>
      </c>
      <c r="AP276" s="212" t="s">
        <v>239</v>
      </c>
      <c r="AQ276" s="216">
        <v>965546.22</v>
      </c>
      <c r="AR276" s="217">
        <v>183454</v>
      </c>
      <c r="AS276" s="217">
        <v>1149000</v>
      </c>
      <c r="AT276" s="218">
        <v>3862185</v>
      </c>
      <c r="AU276" s="218">
        <v>4596000</v>
      </c>
      <c r="AV276" s="165">
        <f t="shared" si="184"/>
        <v>1057583</v>
      </c>
      <c r="AW276" s="165">
        <f t="shared" si="185"/>
        <v>4230332</v>
      </c>
      <c r="AX276" s="165">
        <f t="shared" si="186"/>
        <v>351483</v>
      </c>
      <c r="AY276" s="219">
        <v>8.3099999999999993E-2</v>
      </c>
    </row>
    <row r="277" spans="1:51" ht="189" x14ac:dyDescent="0.25">
      <c r="A277" s="192" t="s">
        <v>1255</v>
      </c>
      <c r="B277" s="192" t="s">
        <v>1255</v>
      </c>
      <c r="C277" s="193"/>
      <c r="D277" s="195" t="s">
        <v>1317</v>
      </c>
      <c r="E277" s="195" t="s">
        <v>1318</v>
      </c>
      <c r="F277" s="194" t="s">
        <v>233</v>
      </c>
      <c r="G277" s="195">
        <v>14</v>
      </c>
      <c r="H277" s="195" t="s">
        <v>51</v>
      </c>
      <c r="I277" s="196" t="s">
        <v>428</v>
      </c>
      <c r="J277" s="197">
        <v>46217</v>
      </c>
      <c r="K277" s="198" t="s">
        <v>1319</v>
      </c>
      <c r="L277" s="199" t="s">
        <v>241</v>
      </c>
      <c r="M277" s="199" t="s">
        <v>1097</v>
      </c>
      <c r="N277" s="200">
        <v>3399900</v>
      </c>
      <c r="O277" s="199" t="s">
        <v>238</v>
      </c>
      <c r="P277" s="199" t="s">
        <v>239</v>
      </c>
      <c r="Q277" s="201">
        <v>2857058.82</v>
      </c>
      <c r="R277" s="202">
        <v>542841</v>
      </c>
      <c r="S277" s="202">
        <v>3399900</v>
      </c>
      <c r="T277" s="203">
        <v>39998824</v>
      </c>
      <c r="U277" s="203">
        <v>47598600</v>
      </c>
      <c r="V277" s="204" t="s">
        <v>428</v>
      </c>
      <c r="W277" s="205">
        <v>46217</v>
      </c>
      <c r="X277" s="206" t="s">
        <v>1320</v>
      </c>
      <c r="Y277" s="207" t="s">
        <v>236</v>
      </c>
      <c r="Z277" s="207" t="s">
        <v>1316</v>
      </c>
      <c r="AA277" s="208">
        <v>3429000</v>
      </c>
      <c r="AB277" s="207" t="s">
        <v>238</v>
      </c>
      <c r="AC277" s="207" t="s">
        <v>239</v>
      </c>
      <c r="AD277" s="209">
        <v>2881512.61</v>
      </c>
      <c r="AE277" s="210">
        <v>547487</v>
      </c>
      <c r="AF277" s="210">
        <v>3429000</v>
      </c>
      <c r="AG277" s="211">
        <v>40341176</v>
      </c>
      <c r="AH277" s="211">
        <v>48006000</v>
      </c>
      <c r="AI277" s="212" t="s">
        <v>428</v>
      </c>
      <c r="AJ277" s="213">
        <v>46217</v>
      </c>
      <c r="AK277" s="214" t="s">
        <v>1321</v>
      </c>
      <c r="AL277" s="212" t="s">
        <v>236</v>
      </c>
      <c r="AM277" s="212" t="s">
        <v>930</v>
      </c>
      <c r="AN277" s="215">
        <v>3199900</v>
      </c>
      <c r="AO277" s="212" t="s">
        <v>238</v>
      </c>
      <c r="AP277" s="212" t="s">
        <v>239</v>
      </c>
      <c r="AQ277" s="216">
        <v>2688991.6</v>
      </c>
      <c r="AR277" s="217">
        <v>510908</v>
      </c>
      <c r="AS277" s="217">
        <v>3199900</v>
      </c>
      <c r="AT277" s="218">
        <v>37645882</v>
      </c>
      <c r="AU277" s="218">
        <v>44798600</v>
      </c>
      <c r="AV277" s="165">
        <f t="shared" si="184"/>
        <v>3342933</v>
      </c>
      <c r="AW277" s="165">
        <f t="shared" si="185"/>
        <v>46801062</v>
      </c>
      <c r="AX277" s="165">
        <f t="shared" si="186"/>
        <v>1746109</v>
      </c>
      <c r="AY277" s="219">
        <v>3.73E-2</v>
      </c>
    </row>
    <row r="278" spans="1:51" ht="54" x14ac:dyDescent="0.25">
      <c r="A278" s="192" t="s">
        <v>1255</v>
      </c>
      <c r="B278" s="192" t="s">
        <v>1255</v>
      </c>
      <c r="C278" s="193"/>
      <c r="D278" s="195" t="s">
        <v>1322</v>
      </c>
      <c r="E278" s="195" t="s">
        <v>1323</v>
      </c>
      <c r="F278" s="194" t="s">
        <v>233</v>
      </c>
      <c r="G278" s="195">
        <v>14</v>
      </c>
      <c r="H278" s="195" t="s">
        <v>51</v>
      </c>
      <c r="I278" s="196" t="s">
        <v>428</v>
      </c>
      <c r="J278" s="197">
        <v>46231</v>
      </c>
      <c r="K278" s="198" t="s">
        <v>1324</v>
      </c>
      <c r="L278" s="199" t="s">
        <v>236</v>
      </c>
      <c r="M278" s="199" t="s">
        <v>1325</v>
      </c>
      <c r="N278" s="200">
        <v>490000</v>
      </c>
      <c r="O278" s="199" t="s">
        <v>238</v>
      </c>
      <c r="P278" s="199" t="s">
        <v>239</v>
      </c>
      <c r="Q278" s="201">
        <v>411764.71</v>
      </c>
      <c r="R278" s="202">
        <v>78235</v>
      </c>
      <c r="S278" s="202">
        <v>490000</v>
      </c>
      <c r="T278" s="203">
        <v>5764706</v>
      </c>
      <c r="U278" s="203">
        <v>6860000</v>
      </c>
      <c r="V278" s="204" t="s">
        <v>428</v>
      </c>
      <c r="W278" s="205">
        <v>46218</v>
      </c>
      <c r="X278" s="206" t="s">
        <v>1326</v>
      </c>
      <c r="Y278" s="207" t="s">
        <v>236</v>
      </c>
      <c r="Z278" s="207" t="s">
        <v>1327</v>
      </c>
      <c r="AA278" s="208">
        <v>413686</v>
      </c>
      <c r="AB278" s="207" t="s">
        <v>245</v>
      </c>
      <c r="AC278" s="207" t="s">
        <v>239</v>
      </c>
      <c r="AD278" s="209">
        <v>413686</v>
      </c>
      <c r="AE278" s="210">
        <v>78600</v>
      </c>
      <c r="AF278" s="210">
        <v>492286</v>
      </c>
      <c r="AG278" s="211">
        <v>5791604</v>
      </c>
      <c r="AH278" s="211">
        <v>6892009</v>
      </c>
      <c r="AI278" s="212" t="s">
        <v>428</v>
      </c>
      <c r="AJ278" s="213">
        <v>46218</v>
      </c>
      <c r="AK278" s="214" t="s">
        <v>1328</v>
      </c>
      <c r="AL278" s="212" t="s">
        <v>241</v>
      </c>
      <c r="AM278" s="212" t="s">
        <v>1316</v>
      </c>
      <c r="AN278" s="215">
        <v>499900</v>
      </c>
      <c r="AO278" s="212" t="s">
        <v>238</v>
      </c>
      <c r="AP278" s="212" t="s">
        <v>239</v>
      </c>
      <c r="AQ278" s="216">
        <v>420084.03</v>
      </c>
      <c r="AR278" s="217">
        <v>79816</v>
      </c>
      <c r="AS278" s="217">
        <v>499900</v>
      </c>
      <c r="AT278" s="218">
        <v>5881176</v>
      </c>
      <c r="AU278" s="218">
        <v>6998600</v>
      </c>
      <c r="AV278" s="165">
        <f t="shared" si="184"/>
        <v>494062</v>
      </c>
      <c r="AW278" s="165">
        <f t="shared" si="185"/>
        <v>6916868</v>
      </c>
      <c r="AX278" s="165">
        <f t="shared" si="186"/>
        <v>72567</v>
      </c>
      <c r="AY278" s="219">
        <v>1.0500000000000001E-2</v>
      </c>
    </row>
    <row r="279" spans="1:51" ht="54" x14ac:dyDescent="0.25">
      <c r="A279" s="192" t="s">
        <v>1255</v>
      </c>
      <c r="B279" s="192" t="s">
        <v>1255</v>
      </c>
      <c r="C279" s="193"/>
      <c r="D279" s="195" t="s">
        <v>1329</v>
      </c>
      <c r="E279" s="195" t="s">
        <v>1330</v>
      </c>
      <c r="F279" s="194" t="s">
        <v>233</v>
      </c>
      <c r="G279" s="195">
        <v>9</v>
      </c>
      <c r="H279" s="195" t="s">
        <v>51</v>
      </c>
      <c r="I279" s="196" t="s">
        <v>428</v>
      </c>
      <c r="J279" s="197">
        <v>46217</v>
      </c>
      <c r="K279" s="198" t="s">
        <v>1331</v>
      </c>
      <c r="L279" s="199" t="s">
        <v>241</v>
      </c>
      <c r="M279" s="199" t="s">
        <v>1097</v>
      </c>
      <c r="N279" s="200">
        <v>215900</v>
      </c>
      <c r="O279" s="199" t="s">
        <v>238</v>
      </c>
      <c r="P279" s="199" t="s">
        <v>239</v>
      </c>
      <c r="Q279" s="201">
        <v>181428.57</v>
      </c>
      <c r="R279" s="202">
        <v>34471</v>
      </c>
      <c r="S279" s="202">
        <v>215900</v>
      </c>
      <c r="T279" s="203">
        <v>1632857</v>
      </c>
      <c r="U279" s="203">
        <v>1943100</v>
      </c>
      <c r="V279" s="204" t="s">
        <v>428</v>
      </c>
      <c r="W279" s="205">
        <v>46217</v>
      </c>
      <c r="X279" s="206" t="s">
        <v>1332</v>
      </c>
      <c r="Y279" s="207" t="s">
        <v>241</v>
      </c>
      <c r="Z279" s="207" t="s">
        <v>1333</v>
      </c>
      <c r="AA279" s="208">
        <v>210000</v>
      </c>
      <c r="AB279" s="207" t="s">
        <v>245</v>
      </c>
      <c r="AC279" s="207" t="s">
        <v>239</v>
      </c>
      <c r="AD279" s="209">
        <v>210000</v>
      </c>
      <c r="AE279" s="210">
        <v>39900</v>
      </c>
      <c r="AF279" s="210">
        <v>249900</v>
      </c>
      <c r="AG279" s="211">
        <v>1890000</v>
      </c>
      <c r="AH279" s="211">
        <v>2249100</v>
      </c>
      <c r="AI279" s="212" t="s">
        <v>428</v>
      </c>
      <c r="AJ279" s="213">
        <v>46217</v>
      </c>
      <c r="AK279" s="214" t="s">
        <v>1334</v>
      </c>
      <c r="AL279" s="212" t="s">
        <v>241</v>
      </c>
      <c r="AM279" s="212" t="s">
        <v>1335</v>
      </c>
      <c r="AN279" s="215">
        <v>288001</v>
      </c>
      <c r="AO279" s="212" t="s">
        <v>238</v>
      </c>
      <c r="AP279" s="212" t="s">
        <v>239</v>
      </c>
      <c r="AQ279" s="216">
        <v>242017.65</v>
      </c>
      <c r="AR279" s="217">
        <v>45983</v>
      </c>
      <c r="AS279" s="217">
        <v>288001</v>
      </c>
      <c r="AT279" s="218">
        <v>2178159</v>
      </c>
      <c r="AU279" s="218">
        <v>2592009</v>
      </c>
      <c r="AV279" s="165">
        <f t="shared" si="184"/>
        <v>251267</v>
      </c>
      <c r="AW279" s="165">
        <f t="shared" si="185"/>
        <v>2261403</v>
      </c>
      <c r="AX279" s="165">
        <f t="shared" si="186"/>
        <v>324629</v>
      </c>
      <c r="AY279" s="219">
        <v>0.14360000000000001</v>
      </c>
    </row>
    <row r="280" spans="1:51" ht="121.5" x14ac:dyDescent="0.25">
      <c r="A280" s="192" t="s">
        <v>1255</v>
      </c>
      <c r="B280" s="192" t="s">
        <v>1255</v>
      </c>
      <c r="C280" s="193"/>
      <c r="D280" s="195" t="s">
        <v>1336</v>
      </c>
      <c r="E280" s="195" t="s">
        <v>1337</v>
      </c>
      <c r="F280" s="194" t="s">
        <v>233</v>
      </c>
      <c r="G280" s="195">
        <v>2</v>
      </c>
      <c r="H280" s="195" t="s">
        <v>51</v>
      </c>
      <c r="I280" s="196" t="s">
        <v>428</v>
      </c>
      <c r="J280" s="197">
        <v>46217</v>
      </c>
      <c r="K280" s="198" t="s">
        <v>1338</v>
      </c>
      <c r="L280" s="199" t="s">
        <v>241</v>
      </c>
      <c r="M280" s="199" t="s">
        <v>930</v>
      </c>
      <c r="N280" s="200">
        <v>2369900</v>
      </c>
      <c r="O280" s="199" t="s">
        <v>238</v>
      </c>
      <c r="P280" s="199" t="s">
        <v>239</v>
      </c>
      <c r="Q280" s="201">
        <v>1991512.61</v>
      </c>
      <c r="R280" s="202">
        <v>378387</v>
      </c>
      <c r="S280" s="202">
        <v>2369900</v>
      </c>
      <c r="T280" s="203">
        <v>3983025</v>
      </c>
      <c r="U280" s="203">
        <v>4739800</v>
      </c>
      <c r="V280" s="204" t="s">
        <v>428</v>
      </c>
      <c r="W280" s="205">
        <v>46217</v>
      </c>
      <c r="X280" s="206" t="s">
        <v>1339</v>
      </c>
      <c r="Y280" s="207" t="s">
        <v>241</v>
      </c>
      <c r="Z280" s="207" t="s">
        <v>1293</v>
      </c>
      <c r="AA280" s="208">
        <v>2600000</v>
      </c>
      <c r="AB280" s="207" t="s">
        <v>238</v>
      </c>
      <c r="AC280" s="207" t="s">
        <v>239</v>
      </c>
      <c r="AD280" s="209">
        <v>2184873.9500000002</v>
      </c>
      <c r="AE280" s="210">
        <v>415126</v>
      </c>
      <c r="AF280" s="210">
        <v>2600000</v>
      </c>
      <c r="AG280" s="211">
        <v>4369748</v>
      </c>
      <c r="AH280" s="211">
        <v>5200000</v>
      </c>
      <c r="AI280" s="212" t="s">
        <v>428</v>
      </c>
      <c r="AJ280" s="213">
        <v>46217</v>
      </c>
      <c r="AK280" s="214" t="s">
        <v>1340</v>
      </c>
      <c r="AL280" s="212" t="s">
        <v>241</v>
      </c>
      <c r="AM280" s="212" t="s">
        <v>1097</v>
      </c>
      <c r="AN280" s="215">
        <v>1975900</v>
      </c>
      <c r="AO280" s="212" t="s">
        <v>238</v>
      </c>
      <c r="AP280" s="212" t="s">
        <v>239</v>
      </c>
      <c r="AQ280" s="216">
        <v>1660420.17</v>
      </c>
      <c r="AR280" s="217">
        <v>315480</v>
      </c>
      <c r="AS280" s="217">
        <v>1975900</v>
      </c>
      <c r="AT280" s="218">
        <v>3320840</v>
      </c>
      <c r="AU280" s="218">
        <v>3951800</v>
      </c>
      <c r="AV280" s="165">
        <f t="shared" si="184"/>
        <v>2315267</v>
      </c>
      <c r="AW280" s="165">
        <f t="shared" si="185"/>
        <v>4630534</v>
      </c>
      <c r="AX280" s="165">
        <f t="shared" si="186"/>
        <v>631233</v>
      </c>
      <c r="AY280" s="219">
        <v>0.1363</v>
      </c>
    </row>
    <row r="281" spans="1:51" ht="54" x14ac:dyDescent="0.25">
      <c r="A281" s="192" t="s">
        <v>1255</v>
      </c>
      <c r="B281" s="192" t="s">
        <v>1255</v>
      </c>
      <c r="C281" s="193"/>
      <c r="D281" s="195" t="s">
        <v>1341</v>
      </c>
      <c r="E281" s="195" t="s">
        <v>1342</v>
      </c>
      <c r="F281" s="194" t="s">
        <v>233</v>
      </c>
      <c r="G281" s="195">
        <v>12</v>
      </c>
      <c r="H281" s="195" t="s">
        <v>51</v>
      </c>
      <c r="I281" s="222" t="s">
        <v>428</v>
      </c>
      <c r="J281" s="223">
        <v>46231</v>
      </c>
      <c r="K281" s="224" t="s">
        <v>1343</v>
      </c>
      <c r="L281" s="222" t="s">
        <v>236</v>
      </c>
      <c r="M281" s="225" t="s">
        <v>1344</v>
      </c>
      <c r="N281" s="226">
        <v>374900</v>
      </c>
      <c r="O281" s="222" t="s">
        <v>238</v>
      </c>
      <c r="P281" s="222" t="s">
        <v>239</v>
      </c>
      <c r="Q281" s="201">
        <v>315042.02</v>
      </c>
      <c r="R281" s="202">
        <v>59858</v>
      </c>
      <c r="S281" s="202">
        <v>374900</v>
      </c>
      <c r="T281" s="203">
        <v>3780504</v>
      </c>
      <c r="U281" s="203">
        <v>4498800</v>
      </c>
      <c r="V281" s="227" t="s">
        <v>428</v>
      </c>
      <c r="W281" s="228">
        <v>46231</v>
      </c>
      <c r="X281" s="229" t="s">
        <v>1345</v>
      </c>
      <c r="Y281" s="227" t="s">
        <v>236</v>
      </c>
      <c r="Z281" s="230" t="s">
        <v>1316</v>
      </c>
      <c r="AA281" s="231">
        <v>374900</v>
      </c>
      <c r="AB281" s="227" t="s">
        <v>238</v>
      </c>
      <c r="AC281" s="227" t="s">
        <v>239</v>
      </c>
      <c r="AD281" s="209">
        <v>315042.02</v>
      </c>
      <c r="AE281" s="210">
        <v>59858</v>
      </c>
      <c r="AF281" s="210">
        <v>374900</v>
      </c>
      <c r="AG281" s="211">
        <v>3780504</v>
      </c>
      <c r="AH281" s="211">
        <v>4498800</v>
      </c>
      <c r="AI281" s="212" t="s">
        <v>428</v>
      </c>
      <c r="AJ281" s="213">
        <v>46217</v>
      </c>
      <c r="AK281" s="214" t="s">
        <v>1346</v>
      </c>
      <c r="AL281" s="212" t="s">
        <v>241</v>
      </c>
      <c r="AM281" s="212" t="s">
        <v>1347</v>
      </c>
      <c r="AN281" s="215">
        <v>389000</v>
      </c>
      <c r="AO281" s="212" t="s">
        <v>238</v>
      </c>
      <c r="AP281" s="212" t="s">
        <v>239</v>
      </c>
      <c r="AQ281" s="216">
        <v>326890.76</v>
      </c>
      <c r="AR281" s="217">
        <v>62109</v>
      </c>
      <c r="AS281" s="217">
        <v>389000</v>
      </c>
      <c r="AT281" s="218">
        <v>3922689</v>
      </c>
      <c r="AU281" s="218">
        <v>4668000</v>
      </c>
      <c r="AV281" s="165">
        <f t="shared" si="184"/>
        <v>379600</v>
      </c>
      <c r="AW281" s="165">
        <f t="shared" si="185"/>
        <v>4555200</v>
      </c>
      <c r="AX281" s="165">
        <f t="shared" si="186"/>
        <v>97688</v>
      </c>
      <c r="AY281" s="219">
        <v>2.1399999999999999E-2</v>
      </c>
    </row>
    <row r="282" spans="1:51" ht="121.5" x14ac:dyDescent="0.25">
      <c r="A282" s="192" t="s">
        <v>1255</v>
      </c>
      <c r="B282" s="192" t="s">
        <v>1255</v>
      </c>
      <c r="C282" s="193"/>
      <c r="D282" s="195" t="s">
        <v>1348</v>
      </c>
      <c r="E282" s="195" t="s">
        <v>1349</v>
      </c>
      <c r="F282" s="194" t="s">
        <v>233</v>
      </c>
      <c r="G282" s="195">
        <v>11</v>
      </c>
      <c r="H282" s="195" t="s">
        <v>51</v>
      </c>
      <c r="I282" s="196" t="s">
        <v>428</v>
      </c>
      <c r="J282" s="197">
        <v>46217</v>
      </c>
      <c r="K282" s="198" t="s">
        <v>1350</v>
      </c>
      <c r="L282" s="199" t="s">
        <v>236</v>
      </c>
      <c r="M282" s="199" t="s">
        <v>1351</v>
      </c>
      <c r="N282" s="200">
        <v>2359000</v>
      </c>
      <c r="O282" s="199" t="s">
        <v>238</v>
      </c>
      <c r="P282" s="199" t="s">
        <v>239</v>
      </c>
      <c r="Q282" s="201">
        <v>1982352.94</v>
      </c>
      <c r="R282" s="202">
        <v>376647</v>
      </c>
      <c r="S282" s="202">
        <v>2359000</v>
      </c>
      <c r="T282" s="203">
        <v>21805882</v>
      </c>
      <c r="U282" s="203">
        <v>25949000</v>
      </c>
      <c r="V282" s="204" t="s">
        <v>428</v>
      </c>
      <c r="W282" s="205">
        <v>46217</v>
      </c>
      <c r="X282" s="206" t="s">
        <v>1352</v>
      </c>
      <c r="Y282" s="207" t="s">
        <v>236</v>
      </c>
      <c r="Z282" s="207" t="s">
        <v>1344</v>
      </c>
      <c r="AA282" s="208">
        <v>2399900</v>
      </c>
      <c r="AB282" s="207" t="s">
        <v>238</v>
      </c>
      <c r="AC282" s="207" t="s">
        <v>239</v>
      </c>
      <c r="AD282" s="209">
        <v>2016722.69</v>
      </c>
      <c r="AE282" s="210">
        <v>383177</v>
      </c>
      <c r="AF282" s="210">
        <v>2399900</v>
      </c>
      <c r="AG282" s="211">
        <v>22183950</v>
      </c>
      <c r="AH282" s="211">
        <v>26398900</v>
      </c>
      <c r="AI282" s="212" t="s">
        <v>428</v>
      </c>
      <c r="AJ282" s="213">
        <v>46217</v>
      </c>
      <c r="AK282" s="214" t="s">
        <v>1353</v>
      </c>
      <c r="AL282" s="212" t="s">
        <v>241</v>
      </c>
      <c r="AM282" s="212" t="s">
        <v>1354</v>
      </c>
      <c r="AN282" s="215">
        <v>2340000</v>
      </c>
      <c r="AO282" s="212" t="s">
        <v>238</v>
      </c>
      <c r="AP282" s="212" t="s">
        <v>239</v>
      </c>
      <c r="AQ282" s="216">
        <v>1966386.55</v>
      </c>
      <c r="AR282" s="217">
        <v>373613</v>
      </c>
      <c r="AS282" s="217">
        <v>2340000</v>
      </c>
      <c r="AT282" s="218">
        <v>21630252</v>
      </c>
      <c r="AU282" s="218">
        <v>25740000</v>
      </c>
      <c r="AV282" s="165">
        <f t="shared" si="184"/>
        <v>2366300</v>
      </c>
      <c r="AW282" s="165">
        <f t="shared" si="185"/>
        <v>26029300</v>
      </c>
      <c r="AX282" s="165">
        <f t="shared" si="186"/>
        <v>336710</v>
      </c>
      <c r="AY282" s="219">
        <v>1.29E-2</v>
      </c>
    </row>
    <row r="411" spans="52:54" ht="135" x14ac:dyDescent="0.25">
      <c r="AZ411" s="13"/>
      <c r="BA411" s="13" t="s">
        <v>1355</v>
      </c>
      <c r="BB411" s="13" t="s">
        <v>1356</v>
      </c>
    </row>
    <row r="412" spans="52:54" ht="90" x14ac:dyDescent="0.25">
      <c r="AZ412" s="13"/>
      <c r="BA412" s="13" t="s">
        <v>1357</v>
      </c>
      <c r="BB412" s="13" t="s">
        <v>1358</v>
      </c>
    </row>
    <row r="413" spans="52:54" x14ac:dyDescent="0.25">
      <c r="AZ413" s="359"/>
      <c r="BA413" s="360" t="s">
        <v>1357</v>
      </c>
      <c r="BB413" s="360" t="s">
        <v>1358</v>
      </c>
    </row>
    <row r="414" spans="52:54" x14ac:dyDescent="0.25">
      <c r="AZ414" s="359"/>
      <c r="BA414" s="360"/>
      <c r="BB414" s="360"/>
    </row>
    <row r="415" spans="52:54" x14ac:dyDescent="0.25">
      <c r="AZ415" s="359"/>
      <c r="BA415" s="360"/>
      <c r="BB415" s="360"/>
    </row>
    <row r="416" spans="52:54" x14ac:dyDescent="0.25">
      <c r="AZ416" s="359"/>
      <c r="BA416" s="360" t="s">
        <v>1357</v>
      </c>
      <c r="BB416" s="360" t="s">
        <v>1358</v>
      </c>
    </row>
    <row r="417" spans="52:54" x14ac:dyDescent="0.25">
      <c r="AZ417" s="359"/>
      <c r="BA417" s="360"/>
      <c r="BB417" s="360"/>
    </row>
    <row r="418" spans="52:54" ht="90" x14ac:dyDescent="0.25">
      <c r="AZ418" s="13"/>
      <c r="BA418" s="13" t="s">
        <v>1357</v>
      </c>
      <c r="BB418" s="13" t="s">
        <v>1358</v>
      </c>
    </row>
    <row r="419" spans="52:54" x14ac:dyDescent="0.25">
      <c r="AZ419" s="359"/>
      <c r="BA419" s="360" t="s">
        <v>1357</v>
      </c>
      <c r="BB419" s="360" t="s">
        <v>1358</v>
      </c>
    </row>
    <row r="420" spans="52:54" x14ac:dyDescent="0.25">
      <c r="AZ420" s="359"/>
      <c r="BA420" s="360"/>
      <c r="BB420" s="360"/>
    </row>
    <row r="421" spans="52:54" x14ac:dyDescent="0.25">
      <c r="AZ421" s="359"/>
      <c r="BA421" s="360"/>
      <c r="BB421" s="360"/>
    </row>
    <row r="422" spans="52:54" x14ac:dyDescent="0.25">
      <c r="AZ422" s="359"/>
      <c r="BA422" s="360"/>
      <c r="BB422" s="360"/>
    </row>
    <row r="423" spans="52:54" x14ac:dyDescent="0.25">
      <c r="AZ423" s="359"/>
      <c r="BA423" s="360"/>
      <c r="BB423" s="360"/>
    </row>
    <row r="424" spans="52:54" x14ac:dyDescent="0.25">
      <c r="AZ424" s="359"/>
      <c r="BA424" s="360"/>
      <c r="BB424" s="360"/>
    </row>
    <row r="425" spans="52:54" ht="90" x14ac:dyDescent="0.25">
      <c r="AZ425" s="13"/>
      <c r="BA425" s="13" t="s">
        <v>1357</v>
      </c>
      <c r="BB425" s="13" t="s">
        <v>1358</v>
      </c>
    </row>
    <row r="426" spans="52:54" ht="90" x14ac:dyDescent="0.25">
      <c r="AZ426" s="13"/>
      <c r="BA426" s="13" t="s">
        <v>1357</v>
      </c>
      <c r="BB426" s="13" t="s">
        <v>1358</v>
      </c>
    </row>
    <row r="427" spans="52:54" ht="90" x14ac:dyDescent="0.25">
      <c r="AZ427" s="13"/>
      <c r="BA427" s="13" t="s">
        <v>1357</v>
      </c>
      <c r="BB427" s="13" t="s">
        <v>1358</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2" priority="2" stopIfTrue="1" operator="greaterThan">
      <formula>0.2</formula>
    </cfRule>
  </conditionalFormatting>
  <conditionalFormatting sqref="D194:D236 D3:D192">
    <cfRule type="duplicateValues" dxfId="1" priority="3"/>
  </conditionalFormatting>
  <conditionalFormatting sqref="D193">
    <cfRule type="duplicateValues" dxfId="0"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Estudio_Mercado</vt:lpstr>
      <vt:lpstr>Estudio_Mercado_VF</vt:lpstr>
      <vt:lpstr>TablaD_3Provedores</vt:lpstr>
      <vt:lpstr>Tres_Entidad</vt:lpstr>
      <vt:lpstr>TablaDinamicaTres_Entidad</vt:lpstr>
      <vt:lpstr>Lista</vt:lpstr>
      <vt:lpstr>FORMATO DE OFERTA ECONÓMICA</vt:lpstr>
      <vt:lpstr>listaBolsa</vt:lpstr>
      <vt:lpstr>Estudio_Mercado!Área_de_impresión</vt:lpstr>
      <vt:lpstr>Estudio_Mercado_VF!Área_de_impresión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Andrés Felipe Currea Rojas</cp:lastModifiedBy>
  <cp:revision/>
  <dcterms:created xsi:type="dcterms:W3CDTF">2025-03-14T01:33:22Z</dcterms:created>
  <dcterms:modified xsi:type="dcterms:W3CDTF">2026-10-09T21:22:30Z</dcterms:modified>
  <cp:category/>
  <cp:contentStatus/>
</cp:coreProperties>
</file>