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pivotTables/pivotTable3.xml" ContentType="application/vnd.openxmlformats-officedocument.spreadsheetml.pivotTable+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codeName="{3D1A710C-6663-3D7B-7F91-EC182F24A4BC}"/>
  <workbookPr updateLinks="never" codeName="ThisWorkbook"/>
  <mc:AlternateContent xmlns:mc="http://schemas.openxmlformats.org/markup-compatibility/2006">
    <mc:Choice Requires="x15">
      <x15ac:absPath xmlns:x15ac="http://schemas.microsoft.com/office/spreadsheetml/2010/11/ac" url="C:\Users\hernando.gonzalez\Desktop\HEGA\FORMULACIONES DEPORTE\BANCO DE INICIATIVAS\ULTIMAS VERSIONES\"/>
    </mc:Choice>
  </mc:AlternateContent>
  <xr:revisionPtr revIDLastSave="0" documentId="13_ncr:1_{8567D0AF-787C-4D82-85F2-4A8EF5A26F79}" xr6:coauthVersionLast="36" xr6:coauthVersionMax="36" xr10:uidLastSave="{00000000-0000-0000-0000-000000000000}"/>
  <bookViews>
    <workbookView xWindow="0" yWindow="0" windowWidth="28800" windowHeight="10755" activeTab="5" xr2:uid="{6AE49A48-5C1E-49FE-96E4-86AAF7CA509A}"/>
  </bookViews>
  <sheets>
    <sheet name="Estudio_Mercado" sheetId="4" r:id="rId1"/>
    <sheet name="TablaD_3Provedores" sheetId="9" state="hidden" r:id="rId2"/>
    <sheet name="Tres_Entidad" sheetId="7" state="hidden" r:id="rId3"/>
    <sheet name="TablaDinamicaTres_Entidad" sheetId="8" state="hidden" r:id="rId4"/>
    <sheet name="Lista" sheetId="2" state="hidden" r:id="rId5"/>
    <sheet name="FORMATO DE OFERTA ECONÓMICA" sheetId="11" r:id="rId6"/>
  </sheets>
  <externalReferences>
    <externalReference r:id="rId7"/>
  </externalReferences>
  <definedNames>
    <definedName name="_xlnm._FilterDatabase" localSheetId="0" hidden="1">Estudio_Mercado!$A$10:$CV$33</definedName>
    <definedName name="_xlnm._FilterDatabase" localSheetId="5" hidden="1">'FORMATO DE OFERTA ECONÓMICA'!$D$11:$E$25</definedName>
    <definedName name="_xleta.ROUND" hidden="1" xlm="1">#NAME?</definedName>
    <definedName name="_xlnm.Print_Area" localSheetId="0">Estudio_Mercado!$A$1:$AE$64</definedName>
  </definedNames>
  <calcPr calcId="191028"/>
  <pivotCaches>
    <pivotCache cacheId="18" r:id="rId8"/>
    <pivotCache cacheId="19" r:id="rId9"/>
    <pivotCache cacheId="20" r:id="rId10"/>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7" i="11" l="1"/>
  <c r="D37" i="11"/>
  <c r="E37" i="11"/>
  <c r="F37" i="11"/>
  <c r="C38" i="11"/>
  <c r="D38" i="11"/>
  <c r="E38" i="11"/>
  <c r="F38" i="11"/>
  <c r="C39" i="11"/>
  <c r="D39" i="11"/>
  <c r="E39" i="11"/>
  <c r="F39" i="11"/>
  <c r="C40" i="11"/>
  <c r="D40" i="11"/>
  <c r="E40" i="11"/>
  <c r="F40" i="11"/>
  <c r="C41" i="11"/>
  <c r="D41" i="11"/>
  <c r="E41" i="11"/>
  <c r="F41" i="11"/>
  <c r="B12" i="11"/>
  <c r="C12" i="11"/>
  <c r="D12" i="11"/>
  <c r="E12" i="11"/>
  <c r="I12" i="11"/>
  <c r="B13" i="11"/>
  <c r="C13" i="11"/>
  <c r="D13" i="11"/>
  <c r="E13" i="11"/>
  <c r="I13" i="11"/>
  <c r="B14" i="11"/>
  <c r="C14" i="11"/>
  <c r="D14" i="11"/>
  <c r="E14" i="11"/>
  <c r="I14" i="11"/>
  <c r="B15" i="11"/>
  <c r="C15" i="11"/>
  <c r="D15" i="11"/>
  <c r="E15" i="11"/>
  <c r="I15" i="11"/>
  <c r="B16" i="11"/>
  <c r="C16" i="11"/>
  <c r="E16" i="11"/>
  <c r="I16" i="11"/>
  <c r="B17" i="11"/>
  <c r="C17" i="11"/>
  <c r="E17" i="11"/>
  <c r="I17" i="11"/>
  <c r="B18" i="11"/>
  <c r="C18" i="11"/>
  <c r="E18" i="11"/>
  <c r="I18" i="11"/>
  <c r="B19" i="11"/>
  <c r="C19" i="11"/>
  <c r="E19" i="11"/>
  <c r="I19" i="11"/>
  <c r="B20" i="11"/>
  <c r="C20" i="11"/>
  <c r="E20" i="11"/>
  <c r="I20" i="11"/>
  <c r="B21" i="11"/>
  <c r="C21" i="11"/>
  <c r="E21" i="11"/>
  <c r="I21" i="11"/>
  <c r="B22" i="11"/>
  <c r="C22" i="11"/>
  <c r="E22" i="11"/>
  <c r="I22" i="11"/>
  <c r="B23" i="11"/>
  <c r="C23" i="11"/>
  <c r="E23" i="11"/>
  <c r="I23" i="11"/>
  <c r="B24" i="11"/>
  <c r="C24" i="11"/>
  <c r="E24" i="11"/>
  <c r="I24" i="11"/>
  <c r="B25" i="11"/>
  <c r="C25" i="11"/>
  <c r="E25" i="11"/>
  <c r="I25" i="11"/>
  <c r="B26" i="11"/>
  <c r="C26" i="11"/>
  <c r="E26" i="11"/>
  <c r="I26" i="11"/>
  <c r="B27" i="11"/>
  <c r="C27" i="11"/>
  <c r="E27" i="11"/>
  <c r="I27" i="11"/>
  <c r="B28" i="11"/>
  <c r="C28" i="11"/>
  <c r="E28" i="11"/>
  <c r="I28" i="11"/>
  <c r="B29" i="11"/>
  <c r="C29" i="11"/>
  <c r="E29" i="11"/>
  <c r="I29" i="11"/>
  <c r="B30" i="11"/>
  <c r="C30" i="11"/>
  <c r="E30" i="11"/>
  <c r="I30" i="11"/>
  <c r="B31" i="11"/>
  <c r="C31" i="11"/>
  <c r="E31" i="11"/>
  <c r="I31" i="11"/>
  <c r="B32" i="11"/>
  <c r="C32" i="11"/>
  <c r="D32" i="11"/>
  <c r="E32" i="11"/>
  <c r="I32" i="11"/>
  <c r="J38" i="4"/>
  <c r="L15" i="4"/>
  <c r="J15" i="4"/>
  <c r="V15" i="4"/>
  <c r="V14" i="4"/>
  <c r="R22" i="4"/>
  <c r="P22" i="4"/>
  <c r="Q22" i="4" s="1"/>
  <c r="P15" i="4"/>
  <c r="P14" i="4"/>
  <c r="W32" i="4"/>
  <c r="Q32" i="4"/>
  <c r="V13" i="4"/>
  <c r="J13" i="4"/>
  <c r="CD12" i="4"/>
  <c r="CE12" i="4"/>
  <c r="CD13" i="4"/>
  <c r="CE13" i="4"/>
  <c r="CD14" i="4"/>
  <c r="CE14" i="4"/>
  <c r="CD15" i="4"/>
  <c r="CE15" i="4"/>
  <c r="CD22" i="4"/>
  <c r="CE22" i="4"/>
  <c r="CD26" i="4"/>
  <c r="CE26" i="4"/>
  <c r="CD29" i="4"/>
  <c r="CD30" i="4"/>
  <c r="CE30" i="4"/>
  <c r="CD32" i="4"/>
  <c r="CE32" i="4"/>
  <c r="CG12" i="4"/>
  <c r="CH12" i="4"/>
  <c r="CG13" i="4"/>
  <c r="CH13" i="4"/>
  <c r="CG14" i="4"/>
  <c r="CH14" i="4"/>
  <c r="CG15" i="4"/>
  <c r="CH15" i="4"/>
  <c r="CG22" i="4"/>
  <c r="CH22" i="4"/>
  <c r="CG26" i="4"/>
  <c r="CH26" i="4"/>
  <c r="CG29" i="4"/>
  <c r="CG30" i="4"/>
  <c r="CH30" i="4"/>
  <c r="CG32" i="4"/>
  <c r="CH32" i="4"/>
  <c r="CH11" i="4"/>
  <c r="CG11" i="4"/>
  <c r="CK12" i="4"/>
  <c r="CK13" i="4"/>
  <c r="CK14" i="4"/>
  <c r="CK15" i="4"/>
  <c r="CK17" i="4"/>
  <c r="CK21" i="4"/>
  <c r="CK22" i="4"/>
  <c r="CK26" i="4"/>
  <c r="CK27" i="4"/>
  <c r="CK29" i="4"/>
  <c r="CK30" i="4"/>
  <c r="CK32" i="4"/>
  <c r="CK11" i="4"/>
  <c r="CJ11" i="4"/>
  <c r="CE11" i="4"/>
  <c r="CD11" i="4"/>
  <c r="CL32" i="4"/>
  <c r="M32" i="4"/>
  <c r="CL15" i="4" l="1"/>
  <c r="CL14" i="4"/>
  <c r="CL13" i="4"/>
  <c r="CL12" i="4"/>
  <c r="CL11" i="4"/>
  <c r="X14" i="4"/>
  <c r="X15" i="4"/>
  <c r="R14" i="4"/>
  <c r="R15" i="4"/>
  <c r="L14" i="4"/>
  <c r="X13" i="4"/>
  <c r="R13" i="4"/>
  <c r="P13" i="4"/>
  <c r="Q13" i="4" s="1"/>
  <c r="S13" i="4" s="1"/>
  <c r="L13" i="4"/>
  <c r="X12" i="4"/>
  <c r="R12" i="4"/>
  <c r="L12" i="4"/>
  <c r="X11" i="4"/>
  <c r="R11" i="4"/>
  <c r="L11" i="4"/>
  <c r="J11" i="4"/>
  <c r="Q11" i="4"/>
  <c r="S11" i="4" s="1"/>
  <c r="J12" i="4"/>
  <c r="K12" i="4" s="1"/>
  <c r="M12" i="4" s="1"/>
  <c r="P12" i="4"/>
  <c r="K14" i="4"/>
  <c r="Q14" i="4"/>
  <c r="S14" i="4" s="1"/>
  <c r="W14" i="4"/>
  <c r="Y14" i="4" s="1"/>
  <c r="K15" i="4"/>
  <c r="Q15" i="4"/>
  <c r="S15" i="4" s="1"/>
  <c r="W15" i="4"/>
  <c r="Y15" i="4" s="1"/>
  <c r="CM11" i="4" l="1"/>
  <c r="Z14" i="4"/>
  <c r="Z15" i="4"/>
  <c r="M15" i="4"/>
  <c r="AB15" i="4" s="1"/>
  <c r="M14" i="4"/>
  <c r="AB14" i="4" s="1"/>
  <c r="K13" i="4"/>
  <c r="W13" i="4"/>
  <c r="Y13" i="4" s="1"/>
  <c r="W12" i="4"/>
  <c r="Y12" i="4" s="1"/>
  <c r="Q12" i="4"/>
  <c r="S12" i="4" s="1"/>
  <c r="W11" i="4"/>
  <c r="Y11" i="4" s="1"/>
  <c r="K11" i="4"/>
  <c r="AA14" i="4" l="1"/>
  <c r="AC14" i="4" s="1"/>
  <c r="F14" i="11"/>
  <c r="K14" i="11" s="1"/>
  <c r="G14" i="11"/>
  <c r="AA15" i="4"/>
  <c r="F15" i="11"/>
  <c r="K15" i="11" s="1"/>
  <c r="G15" i="11"/>
  <c r="AB12" i="4"/>
  <c r="Z13" i="4"/>
  <c r="M13" i="4"/>
  <c r="AB13" i="4" s="1"/>
  <c r="AC15" i="4"/>
  <c r="Z12" i="4"/>
  <c r="Z11" i="4"/>
  <c r="AA11" i="4" s="1"/>
  <c r="M11" i="4"/>
  <c r="AB11" i="4" s="1"/>
  <c r="CD17" i="4"/>
  <c r="CD21" i="4"/>
  <c r="CK18" i="4"/>
  <c r="CD18" i="4"/>
  <c r="CD28" i="4"/>
  <c r="CD20" i="4"/>
  <c r="CK23" i="4"/>
  <c r="CD23" i="4"/>
  <c r="CG27" i="4"/>
  <c r="CD27" i="4"/>
  <c r="CD25" i="4"/>
  <c r="CG31" i="4"/>
  <c r="CD31" i="4"/>
  <c r="CK19" i="4"/>
  <c r="CG19" i="4"/>
  <c r="CD19" i="4"/>
  <c r="AA12" i="4" l="1"/>
  <c r="F12" i="11"/>
  <c r="K12" i="11" s="1"/>
  <c r="G12" i="11"/>
  <c r="AA13" i="4"/>
  <c r="G13" i="11" s="1"/>
  <c r="F13" i="11"/>
  <c r="K13" i="11" s="1"/>
  <c r="L15" i="11"/>
  <c r="M15" i="11"/>
  <c r="J15" i="11"/>
  <c r="J14" i="11"/>
  <c r="L14" i="11"/>
  <c r="M14" i="11"/>
  <c r="AC12" i="4"/>
  <c r="CG21" i="4"/>
  <c r="CG25" i="4"/>
  <c r="CG28" i="4"/>
  <c r="CG16" i="4"/>
  <c r="CG24" i="4"/>
  <c r="CG18" i="4"/>
  <c r="CG23" i="4"/>
  <c r="CD24" i="4"/>
  <c r="CD16" i="4"/>
  <c r="CG17" i="4"/>
  <c r="CH29" i="4"/>
  <c r="CG20" i="4"/>
  <c r="CE29" i="4"/>
  <c r="AC11" i="4"/>
  <c r="AC13" i="4"/>
  <c r="E7" i="11"/>
  <c r="D16" i="11"/>
  <c r="J16" i="4"/>
  <c r="D17" i="11"/>
  <c r="D18" i="11"/>
  <c r="D19" i="11"/>
  <c r="J19" i="4"/>
  <c r="D20" i="11"/>
  <c r="J20" i="4"/>
  <c r="D21" i="11"/>
  <c r="J21" i="4"/>
  <c r="D22" i="11"/>
  <c r="D23" i="11"/>
  <c r="J23" i="4"/>
  <c r="K23" i="4" s="1"/>
  <c r="D24" i="11"/>
  <c r="J24" i="4"/>
  <c r="D25" i="11"/>
  <c r="J25" i="4"/>
  <c r="D26" i="11"/>
  <c r="D27" i="11"/>
  <c r="J27" i="4"/>
  <c r="D28" i="11"/>
  <c r="J28" i="4"/>
  <c r="K28" i="4" s="1"/>
  <c r="D29" i="11"/>
  <c r="J29" i="4"/>
  <c r="D30" i="11"/>
  <c r="D31" i="11"/>
  <c r="J31" i="4"/>
  <c r="L13" i="11" l="1"/>
  <c r="M13" i="11"/>
  <c r="J13" i="11"/>
  <c r="J12" i="11"/>
  <c r="L12" i="11"/>
  <c r="M12" i="11"/>
  <c r="CE20" i="4"/>
  <c r="CE27" i="4"/>
  <c r="CE28" i="4"/>
  <c r="CL26" i="4"/>
  <c r="CH31" i="4"/>
  <c r="CE18" i="4"/>
  <c r="CH19" i="4"/>
  <c r="CL22" i="4"/>
  <c r="CK28" i="4"/>
  <c r="CH25" i="4"/>
  <c r="CH27" i="4"/>
  <c r="CH28" i="4"/>
  <c r="CK25" i="4"/>
  <c r="CK31" i="4"/>
  <c r="CH17" i="4"/>
  <c r="CE17" i="4"/>
  <c r="CE31" i="4"/>
  <c r="CH21" i="4"/>
  <c r="CH18" i="4"/>
  <c r="CE23" i="4"/>
  <c r="CE21" i="4"/>
  <c r="CL30" i="4"/>
  <c r="CH20" i="4"/>
  <c r="CE25" i="4"/>
  <c r="CH16" i="4"/>
  <c r="CH24" i="4"/>
  <c r="CE16" i="4"/>
  <c r="CE24" i="4"/>
  <c r="CK24" i="4"/>
  <c r="CK16" i="4"/>
  <c r="CE19" i="4"/>
  <c r="CK20" i="4"/>
  <c r="CL29" i="4"/>
  <c r="CH23" i="4"/>
  <c r="K16" i="4"/>
  <c r="M16" i="4" s="1"/>
  <c r="L16" i="4"/>
  <c r="J18" i="4"/>
  <c r="K18" i="4" s="1"/>
  <c r="M18" i="4" s="1"/>
  <c r="L18" i="4"/>
  <c r="J17" i="4"/>
  <c r="K17" i="4" s="1"/>
  <c r="M17" i="4" s="1"/>
  <c r="L17" i="4"/>
  <c r="K19" i="4"/>
  <c r="K21" i="4"/>
  <c r="K31" i="4"/>
  <c r="K32" i="4"/>
  <c r="Z32" i="4" s="1"/>
  <c r="K25" i="4"/>
  <c r="K20" i="4"/>
  <c r="K27" i="4"/>
  <c r="K29" i="4"/>
  <c r="K24" i="4"/>
  <c r="AA32" i="4" l="1"/>
  <c r="F32" i="11"/>
  <c r="K32" i="11" s="1"/>
  <c r="G32" i="11"/>
  <c r="CL27" i="4"/>
  <c r="CL21" i="4"/>
  <c r="CL20" i="4"/>
  <c r="CL17" i="4"/>
  <c r="C11" i="11"/>
  <c r="V16" i="4"/>
  <c r="L19" i="4"/>
  <c r="P19" i="4"/>
  <c r="W19" i="4"/>
  <c r="Y19" i="4" s="1"/>
  <c r="M20" i="4"/>
  <c r="L20" i="4"/>
  <c r="P20" i="4"/>
  <c r="V20" i="4"/>
  <c r="L21" i="4"/>
  <c r="P21" i="4"/>
  <c r="S22" i="4"/>
  <c r="V22" i="4"/>
  <c r="L23" i="4"/>
  <c r="M23" i="4"/>
  <c r="P23" i="4"/>
  <c r="X23" i="4"/>
  <c r="L24" i="4"/>
  <c r="V24" i="4"/>
  <c r="L25" i="4"/>
  <c r="P25" i="4"/>
  <c r="V25" i="4"/>
  <c r="P26" i="4"/>
  <c r="V26" i="4"/>
  <c r="W26" i="4" s="1"/>
  <c r="Y26" i="4" s="1"/>
  <c r="L27" i="4"/>
  <c r="P27" i="4"/>
  <c r="L28" i="4"/>
  <c r="M28" i="4"/>
  <c r="P28" i="4"/>
  <c r="V28" i="4"/>
  <c r="W28" i="4" s="1"/>
  <c r="Y28" i="4" s="1"/>
  <c r="L29" i="4"/>
  <c r="R29" i="4"/>
  <c r="X29" i="4"/>
  <c r="P30" i="4"/>
  <c r="Q30" i="4" s="1"/>
  <c r="X30" i="4"/>
  <c r="L31" i="4"/>
  <c r="M31" i="4"/>
  <c r="P31" i="4"/>
  <c r="X31" i="4"/>
  <c r="CA12" i="4"/>
  <c r="CB12" i="4"/>
  <c r="CC12" i="4"/>
  <c r="CF12" i="4"/>
  <c r="CI12" i="4"/>
  <c r="CJ12" i="4"/>
  <c r="CM12" i="4"/>
  <c r="CA13" i="4"/>
  <c r="CB13" i="4"/>
  <c r="CC13" i="4"/>
  <c r="CF13" i="4"/>
  <c r="CI13" i="4"/>
  <c r="CJ13" i="4"/>
  <c r="CM13" i="4"/>
  <c r="CA14" i="4"/>
  <c r="CB14" i="4"/>
  <c r="CC14" i="4"/>
  <c r="CF14" i="4"/>
  <c r="CI14" i="4"/>
  <c r="CJ14" i="4"/>
  <c r="CM14" i="4"/>
  <c r="CA15" i="4"/>
  <c r="CB15" i="4"/>
  <c r="CC15" i="4"/>
  <c r="CF15" i="4"/>
  <c r="CI15" i="4"/>
  <c r="CJ15" i="4"/>
  <c r="CM15" i="4"/>
  <c r="CA16" i="4"/>
  <c r="CB16" i="4"/>
  <c r="CC16" i="4"/>
  <c r="CF16" i="4"/>
  <c r="CI16" i="4"/>
  <c r="CJ16" i="4"/>
  <c r="CA17" i="4"/>
  <c r="CB17" i="4"/>
  <c r="CC17" i="4"/>
  <c r="CF17" i="4"/>
  <c r="CI17" i="4"/>
  <c r="CJ17" i="4"/>
  <c r="CA18" i="4"/>
  <c r="CB18" i="4"/>
  <c r="CC18" i="4"/>
  <c r="CF18" i="4"/>
  <c r="CI18" i="4"/>
  <c r="CJ18" i="4"/>
  <c r="CA19" i="4"/>
  <c r="CB19" i="4"/>
  <c r="CC19" i="4"/>
  <c r="CF19" i="4"/>
  <c r="CI19" i="4"/>
  <c r="CJ19" i="4"/>
  <c r="CA20" i="4"/>
  <c r="CB20" i="4"/>
  <c r="CC20" i="4"/>
  <c r="CF20" i="4"/>
  <c r="CI20" i="4"/>
  <c r="CJ20" i="4"/>
  <c r="CA21" i="4"/>
  <c r="CB21" i="4"/>
  <c r="CC21" i="4"/>
  <c r="CF21" i="4"/>
  <c r="CI21" i="4"/>
  <c r="CJ21" i="4"/>
  <c r="CA22" i="4"/>
  <c r="CB22" i="4"/>
  <c r="CC22" i="4"/>
  <c r="CF22" i="4"/>
  <c r="CI22" i="4"/>
  <c r="CJ22" i="4"/>
  <c r="CM22" i="4"/>
  <c r="CA23" i="4"/>
  <c r="CB23" i="4"/>
  <c r="CC23" i="4"/>
  <c r="CF23" i="4"/>
  <c r="CI23" i="4"/>
  <c r="CJ23" i="4"/>
  <c r="CA24" i="4"/>
  <c r="CB24" i="4"/>
  <c r="CC24" i="4"/>
  <c r="CF24" i="4"/>
  <c r="CI24" i="4"/>
  <c r="CJ24" i="4"/>
  <c r="CA25" i="4"/>
  <c r="CB25" i="4"/>
  <c r="CC25" i="4"/>
  <c r="CF25" i="4"/>
  <c r="CI25" i="4"/>
  <c r="CJ25" i="4"/>
  <c r="CA26" i="4"/>
  <c r="CB26" i="4"/>
  <c r="CC26" i="4"/>
  <c r="CF26" i="4"/>
  <c r="CI26" i="4"/>
  <c r="CJ26" i="4"/>
  <c r="CM26" i="4"/>
  <c r="CA27" i="4"/>
  <c r="CB27" i="4"/>
  <c r="CC27" i="4"/>
  <c r="CF27" i="4"/>
  <c r="CI27" i="4"/>
  <c r="CJ27" i="4"/>
  <c r="CA28" i="4"/>
  <c r="CB28" i="4"/>
  <c r="CC28" i="4"/>
  <c r="CF28" i="4"/>
  <c r="CI28" i="4"/>
  <c r="CJ28" i="4"/>
  <c r="CA29" i="4"/>
  <c r="CB29" i="4"/>
  <c r="CC29" i="4"/>
  <c r="CF29" i="4"/>
  <c r="CI29" i="4"/>
  <c r="CJ29" i="4"/>
  <c r="CM29" i="4"/>
  <c r="CA30" i="4"/>
  <c r="CB30" i="4"/>
  <c r="CC30" i="4"/>
  <c r="CF30" i="4"/>
  <c r="CI30" i="4"/>
  <c r="CJ30" i="4"/>
  <c r="CM30" i="4"/>
  <c r="CA31" i="4"/>
  <c r="CB31" i="4"/>
  <c r="CC31" i="4"/>
  <c r="CF31" i="4"/>
  <c r="CI31" i="4"/>
  <c r="CJ31" i="4"/>
  <c r="CA32" i="4"/>
  <c r="CB32" i="4"/>
  <c r="CC32" i="4"/>
  <c r="CF32" i="4"/>
  <c r="CI32" i="4"/>
  <c r="CJ32" i="4"/>
  <c r="CM32" i="4"/>
  <c r="CI11" i="4"/>
  <c r="CF11" i="4"/>
  <c r="CC11" i="4"/>
  <c r="CB11" i="4"/>
  <c r="CA11" i="4"/>
  <c r="L32" i="11" l="1"/>
  <c r="J32" i="11"/>
  <c r="M32" i="11"/>
  <c r="CL31" i="4"/>
  <c r="CL28" i="4"/>
  <c r="R24" i="4"/>
  <c r="P24" i="4"/>
  <c r="Q24" i="4" s="1"/>
  <c r="S24" i="4" s="1"/>
  <c r="CL25" i="4"/>
  <c r="CM25" i="4"/>
  <c r="R16" i="4"/>
  <c r="P16" i="4"/>
  <c r="Q16" i="4" s="1"/>
  <c r="S16" i="4" s="1"/>
  <c r="CL18" i="4"/>
  <c r="CL16" i="4"/>
  <c r="CL24" i="4"/>
  <c r="CL19" i="4"/>
  <c r="CL23" i="4"/>
  <c r="CM27" i="4"/>
  <c r="CM19" i="4"/>
  <c r="CM17" i="4"/>
  <c r="CM18" i="4"/>
  <c r="CM28" i="4"/>
  <c r="X19" i="4"/>
  <c r="W16" i="4"/>
  <c r="Y16" i="4" s="1"/>
  <c r="X16" i="4"/>
  <c r="R31" i="4"/>
  <c r="S30" i="4"/>
  <c r="R30" i="4"/>
  <c r="X26" i="4"/>
  <c r="R25" i="4"/>
  <c r="X22" i="4"/>
  <c r="R21" i="4"/>
  <c r="R19" i="4"/>
  <c r="W18" i="4"/>
  <c r="Y18" i="4" s="1"/>
  <c r="X18" i="4"/>
  <c r="P18" i="4"/>
  <c r="Q18" i="4" s="1"/>
  <c r="S18" i="4" s="1"/>
  <c r="R18" i="4"/>
  <c r="P17" i="4"/>
  <c r="Q17" i="4" s="1"/>
  <c r="S17" i="4" s="1"/>
  <c r="R17" i="4"/>
  <c r="X28" i="4"/>
  <c r="P29" i="4"/>
  <c r="Q29" i="4" s="1"/>
  <c r="S29" i="4" s="1"/>
  <c r="Q31" i="4"/>
  <c r="S31" i="4" s="1"/>
  <c r="V29" i="4"/>
  <c r="W29" i="4" s="1"/>
  <c r="Y29" i="4" s="1"/>
  <c r="V30" i="4"/>
  <c r="W30" i="4" s="1"/>
  <c r="Y30" i="4" s="1"/>
  <c r="Q19" i="4"/>
  <c r="S19" i="4" s="1"/>
  <c r="R26" i="4"/>
  <c r="X20" i="4"/>
  <c r="R27" i="4"/>
  <c r="Q27" i="4"/>
  <c r="S27" i="4" s="1"/>
  <c r="X25" i="4"/>
  <c r="R23" i="4"/>
  <c r="M29" i="4"/>
  <c r="M19" i="4"/>
  <c r="M24" i="4"/>
  <c r="M21" i="4"/>
  <c r="X24" i="4"/>
  <c r="R28" i="4"/>
  <c r="R20" i="4"/>
  <c r="Q28" i="4"/>
  <c r="S28" i="4" s="1"/>
  <c r="AB28" i="4" s="1"/>
  <c r="Q20" i="4"/>
  <c r="S20" i="4" s="1"/>
  <c r="W24" i="4"/>
  <c r="Y24" i="4" s="1"/>
  <c r="Q21" i="4"/>
  <c r="S21" i="4" s="1"/>
  <c r="W20" i="4"/>
  <c r="Y20" i="4" s="1"/>
  <c r="Q25" i="4"/>
  <c r="S25" i="4" s="1"/>
  <c r="Q23" i="4"/>
  <c r="S23" i="4" s="1"/>
  <c r="W22" i="4"/>
  <c r="Y22" i="4" s="1"/>
  <c r="W23" i="4"/>
  <c r="Y23" i="4" s="1"/>
  <c r="M25" i="4"/>
  <c r="V31" i="4"/>
  <c r="W31" i="4" s="1"/>
  <c r="Y31" i="4" s="1"/>
  <c r="M27" i="4"/>
  <c r="Q26" i="4"/>
  <c r="Z26" i="4" s="1"/>
  <c r="W25" i="4"/>
  <c r="Y25" i="4" s="1"/>
  <c r="CS12" i="4"/>
  <c r="CS13" i="4"/>
  <c r="CS14" i="4"/>
  <c r="CS20" i="4"/>
  <c r="CS21" i="4"/>
  <c r="CS23" i="4"/>
  <c r="CS26" i="4"/>
  <c r="CS27" i="4"/>
  <c r="CS28" i="4"/>
  <c r="CS29" i="4"/>
  <c r="CS30" i="4"/>
  <c r="CS32" i="4"/>
  <c r="CS31" i="4"/>
  <c r="CN31" i="4"/>
  <c r="CN30" i="4"/>
  <c r="CN29" i="4"/>
  <c r="CN27" i="4"/>
  <c r="CN26" i="4"/>
  <c r="CS25" i="4"/>
  <c r="CS24" i="4"/>
  <c r="CN24" i="4"/>
  <c r="CN22" i="4"/>
  <c r="CS18" i="4"/>
  <c r="CN18" i="4"/>
  <c r="CS17" i="4"/>
  <c r="CS16" i="4"/>
  <c r="CS15" i="4"/>
  <c r="CN15" i="4"/>
  <c r="CN14" i="4"/>
  <c r="CN13" i="4"/>
  <c r="CN12" i="4"/>
  <c r="CN11" i="4"/>
  <c r="CN16" i="4"/>
  <c r="CN17" i="4"/>
  <c r="CN19" i="4"/>
  <c r="CS19" i="4"/>
  <c r="CN20" i="4"/>
  <c r="CN21" i="4"/>
  <c r="CS22" i="4"/>
  <c r="CN23" i="4"/>
  <c r="CN25" i="4"/>
  <c r="CN28" i="4"/>
  <c r="CN32" i="4"/>
  <c r="CU13" i="4"/>
  <c r="CT17" i="4"/>
  <c r="CU17" i="4"/>
  <c r="CT19" i="4"/>
  <c r="CU20" i="4"/>
  <c r="CT22" i="4"/>
  <c r="CU22" i="4"/>
  <c r="CU24" i="4"/>
  <c r="CU25" i="4"/>
  <c r="CT26" i="4"/>
  <c r="CU26" i="4"/>
  <c r="CU27" i="4"/>
  <c r="CT29" i="4"/>
  <c r="CR15" i="4"/>
  <c r="CR16" i="4"/>
  <c r="CR19" i="4"/>
  <c r="CR21" i="4"/>
  <c r="CR22" i="4"/>
  <c r="CR28" i="4"/>
  <c r="CR31" i="4"/>
  <c r="CQ13" i="4"/>
  <c r="CP14" i="4"/>
  <c r="CQ14" i="4"/>
  <c r="CP17" i="4"/>
  <c r="CQ21" i="4"/>
  <c r="CQ22" i="4"/>
  <c r="CP23" i="4"/>
  <c r="CQ24" i="4"/>
  <c r="CP30" i="4"/>
  <c r="CQ30" i="4"/>
  <c r="CP31" i="4"/>
  <c r="CT11" i="4"/>
  <c r="CO14" i="4"/>
  <c r="CO16" i="4"/>
  <c r="CO17" i="4"/>
  <c r="CO23" i="4"/>
  <c r="CO28" i="4"/>
  <c r="CO30" i="4"/>
  <c r="CO31" i="4"/>
  <c r="CO32" i="4"/>
  <c r="F26" i="11" l="1"/>
  <c r="K26" i="11" s="1"/>
  <c r="Z30" i="4"/>
  <c r="AB30" i="4"/>
  <c r="CM16" i="4"/>
  <c r="CM24" i="4"/>
  <c r="CM21" i="4"/>
  <c r="CM23" i="4"/>
  <c r="CM31" i="4"/>
  <c r="CM20" i="4"/>
  <c r="AB16" i="4"/>
  <c r="AB31" i="4"/>
  <c r="AB22" i="4"/>
  <c r="AB20" i="4"/>
  <c r="AB29" i="4"/>
  <c r="S26" i="4"/>
  <c r="AB26" i="4" s="1"/>
  <c r="AB18" i="4"/>
  <c r="AB17" i="4"/>
  <c r="AB27" i="4"/>
  <c r="AB25" i="4"/>
  <c r="AB24" i="4"/>
  <c r="AB23" i="4"/>
  <c r="AB21" i="4"/>
  <c r="AB19" i="4"/>
  <c r="B11" i="11"/>
  <c r="CP12" i="4"/>
  <c r="CU12" i="4"/>
  <c r="CU15" i="4"/>
  <c r="CQ16" i="4"/>
  <c r="CO18" i="4"/>
  <c r="CQ19" i="4"/>
  <c r="CO21" i="4"/>
  <c r="CR23" i="4"/>
  <c r="CT24" i="4"/>
  <c r="CP25" i="4"/>
  <c r="CR26" i="4"/>
  <c r="CP28" i="4"/>
  <c r="CU28" i="4"/>
  <c r="CQ32" i="4"/>
  <c r="CT13" i="4"/>
  <c r="CU31" i="4"/>
  <c r="CQ12" i="4"/>
  <c r="CT21" i="4"/>
  <c r="CR12" i="4"/>
  <c r="CT12" i="4"/>
  <c r="CR14" i="4"/>
  <c r="CP16" i="4"/>
  <c r="CU19" i="4"/>
  <c r="CQ23" i="4"/>
  <c r="CO25" i="4"/>
  <c r="CT28" i="4"/>
  <c r="CR30" i="4"/>
  <c r="CP32" i="4"/>
  <c r="CT14" i="4"/>
  <c r="CP18" i="4"/>
  <c r="CU21" i="4"/>
  <c r="CQ25" i="4"/>
  <c r="CO27" i="4"/>
  <c r="CT30" i="4"/>
  <c r="CR32" i="4"/>
  <c r="CU14" i="4"/>
  <c r="CQ18" i="4"/>
  <c r="CO20" i="4"/>
  <c r="CT23" i="4"/>
  <c r="CR25" i="4"/>
  <c r="CP27" i="4"/>
  <c r="CU30" i="4"/>
  <c r="CO13" i="4"/>
  <c r="CT16" i="4"/>
  <c r="CR18" i="4"/>
  <c r="CP20" i="4"/>
  <c r="CU23" i="4"/>
  <c r="CQ27" i="4"/>
  <c r="CO29" i="4"/>
  <c r="CT32" i="4"/>
  <c r="CP13" i="4"/>
  <c r="CU16" i="4"/>
  <c r="CQ20" i="4"/>
  <c r="CO22" i="4"/>
  <c r="CT25" i="4"/>
  <c r="CR27" i="4"/>
  <c r="CP29" i="4"/>
  <c r="CU32" i="4"/>
  <c r="CO15" i="4"/>
  <c r="CT18" i="4"/>
  <c r="CR20" i="4"/>
  <c r="CP22" i="4"/>
  <c r="CQ29" i="4"/>
  <c r="CR13" i="4"/>
  <c r="CP15" i="4"/>
  <c r="CU18" i="4"/>
  <c r="CO24" i="4"/>
  <c r="CT27" i="4"/>
  <c r="CR29" i="4"/>
  <c r="CQ15" i="4"/>
  <c r="CT20" i="4"/>
  <c r="CP24" i="4"/>
  <c r="CQ31" i="4"/>
  <c r="CO26" i="4"/>
  <c r="CQ17" i="4"/>
  <c r="CO19" i="4"/>
  <c r="CR24" i="4"/>
  <c r="CP26" i="4"/>
  <c r="CU29" i="4"/>
  <c r="CO12" i="4"/>
  <c r="CT15" i="4"/>
  <c r="CR17" i="4"/>
  <c r="CP19" i="4"/>
  <c r="CQ26" i="4"/>
  <c r="CT31" i="4"/>
  <c r="CP21" i="4"/>
  <c r="CQ28" i="4"/>
  <c r="CU11" i="4"/>
  <c r="CP11" i="4"/>
  <c r="CQ11" i="4"/>
  <c r="CR11" i="4"/>
  <c r="CO11" i="4"/>
  <c r="CS11" i="4"/>
  <c r="F30" i="11" l="1"/>
  <c r="K30" i="11" s="1"/>
  <c r="J43" i="4"/>
  <c r="G41" i="11" s="1"/>
  <c r="J42" i="4"/>
  <c r="G40" i="11" s="1"/>
  <c r="J41" i="4"/>
  <c r="G39" i="11" s="1"/>
  <c r="J40" i="4"/>
  <c r="G38" i="11" s="1"/>
  <c r="J39" i="4"/>
  <c r="G37" i="11" s="1"/>
  <c r="Z16" i="4"/>
  <c r="Z17" i="4"/>
  <c r="Z18" i="4"/>
  <c r="Z19" i="4"/>
  <c r="Z20" i="4"/>
  <c r="Z21" i="4"/>
  <c r="Z22" i="4"/>
  <c r="Z23" i="4"/>
  <c r="Z24" i="4"/>
  <c r="Z25" i="4"/>
  <c r="AA26" i="4"/>
  <c r="G26" i="11" s="1"/>
  <c r="Z27" i="4"/>
  <c r="Z28" i="4"/>
  <c r="Z29" i="4"/>
  <c r="AA30" i="4"/>
  <c r="G30" i="11" s="1"/>
  <c r="Z31" i="4"/>
  <c r="AC32" i="4"/>
  <c r="CV32" i="4" s="1"/>
  <c r="J30" i="11" l="1"/>
  <c r="L30" i="11"/>
  <c r="M30" i="11"/>
  <c r="AA24" i="4"/>
  <c r="AC24" i="4" s="1"/>
  <c r="CV24" i="4" s="1"/>
  <c r="F24" i="11"/>
  <c r="K24" i="11" s="1"/>
  <c r="G24" i="11"/>
  <c r="AA23" i="4"/>
  <c r="AC23" i="4" s="1"/>
  <c r="CV23" i="4" s="1"/>
  <c r="F23" i="11"/>
  <c r="K23" i="11" s="1"/>
  <c r="G23" i="11"/>
  <c r="AA22" i="4"/>
  <c r="AC22" i="4" s="1"/>
  <c r="CV22" i="4" s="1"/>
  <c r="F22" i="11"/>
  <c r="K22" i="11" s="1"/>
  <c r="G22" i="11"/>
  <c r="AA21" i="4"/>
  <c r="AC21" i="4" s="1"/>
  <c r="CV21" i="4" s="1"/>
  <c r="F21" i="11"/>
  <c r="K21" i="11" s="1"/>
  <c r="G21" i="11"/>
  <c r="AA20" i="4"/>
  <c r="G20" i="11" s="1"/>
  <c r="F20" i="11"/>
  <c r="K20" i="11" s="1"/>
  <c r="AA19" i="4"/>
  <c r="G19" i="11" s="1"/>
  <c r="F19" i="11"/>
  <c r="K19" i="11" s="1"/>
  <c r="AA18" i="4"/>
  <c r="AC18" i="4" s="1"/>
  <c r="CV18" i="4" s="1"/>
  <c r="F18" i="11"/>
  <c r="K18" i="11" s="1"/>
  <c r="G18" i="11"/>
  <c r="AA17" i="4"/>
  <c r="AC17" i="4" s="1"/>
  <c r="CV17" i="4" s="1"/>
  <c r="F17" i="11"/>
  <c r="K17" i="11" s="1"/>
  <c r="G17" i="11"/>
  <c r="AA16" i="4"/>
  <c r="AC16" i="4" s="1"/>
  <c r="CV16" i="4" s="1"/>
  <c r="F16" i="11"/>
  <c r="K16" i="11" s="1"/>
  <c r="G16" i="11"/>
  <c r="AA31" i="4"/>
  <c r="AC31" i="4" s="1"/>
  <c r="CV31" i="4" s="1"/>
  <c r="G31" i="11"/>
  <c r="F31" i="11"/>
  <c r="K31" i="11" s="1"/>
  <c r="AA29" i="4"/>
  <c r="G29" i="11" s="1"/>
  <c r="F29" i="11"/>
  <c r="K29" i="11" s="1"/>
  <c r="AA28" i="4"/>
  <c r="AC28" i="4" s="1"/>
  <c r="CV28" i="4" s="1"/>
  <c r="F28" i="11"/>
  <c r="K28" i="11" s="1"/>
  <c r="G28" i="11"/>
  <c r="AA27" i="4"/>
  <c r="G27" i="11" s="1"/>
  <c r="F27" i="11"/>
  <c r="K27" i="11" s="1"/>
  <c r="M26" i="11"/>
  <c r="J26" i="11"/>
  <c r="L26" i="11"/>
  <c r="AA25" i="4"/>
  <c r="AC25" i="4" s="1"/>
  <c r="CV25" i="4" s="1"/>
  <c r="F25" i="11"/>
  <c r="K25" i="11" s="1"/>
  <c r="G25" i="11"/>
  <c r="AC26" i="4"/>
  <c r="CV26" i="4" s="1"/>
  <c r="AC30" i="4"/>
  <c r="CV30" i="4" s="1"/>
  <c r="CV15" i="4"/>
  <c r="CV13" i="4"/>
  <c r="CV14" i="4"/>
  <c r="CV12" i="4"/>
  <c r="AC27" i="4" l="1"/>
  <c r="CV27" i="4" s="1"/>
  <c r="AC29" i="4"/>
  <c r="CV29" i="4" s="1"/>
  <c r="L29" i="11"/>
  <c r="J29" i="11"/>
  <c r="M29" i="11"/>
  <c r="J20" i="11"/>
  <c r="L20" i="11"/>
  <c r="M20" i="11"/>
  <c r="L19" i="11"/>
  <c r="J19" i="11"/>
  <c r="M19" i="11"/>
  <c r="L31" i="11"/>
  <c r="M31" i="11"/>
  <c r="J31" i="11"/>
  <c r="J21" i="11"/>
  <c r="M21" i="11"/>
  <c r="L21" i="11"/>
  <c r="J22" i="11"/>
  <c r="L22" i="11"/>
  <c r="M22" i="11"/>
  <c r="AC19" i="4"/>
  <c r="CV19" i="4" s="1"/>
  <c r="J17" i="11"/>
  <c r="M17" i="11"/>
  <c r="L17" i="11"/>
  <c r="J27" i="11"/>
  <c r="L27" i="11"/>
  <c r="M27" i="11"/>
  <c r="J23" i="11"/>
  <c r="L23" i="11"/>
  <c r="M23" i="11"/>
  <c r="AC20" i="4"/>
  <c r="CV20" i="4" s="1"/>
  <c r="L18" i="11"/>
  <c r="M18" i="11"/>
  <c r="J18" i="11"/>
  <c r="J28" i="11"/>
  <c r="L28" i="11"/>
  <c r="M28" i="11"/>
  <c r="L24" i="11"/>
  <c r="J24" i="11"/>
  <c r="M24" i="11"/>
  <c r="J25" i="11"/>
  <c r="L25" i="11"/>
  <c r="M25" i="11"/>
  <c r="L16" i="11"/>
  <c r="J16" i="11"/>
  <c r="M16" i="11"/>
  <c r="K41" i="11"/>
  <c r="K40" i="11"/>
  <c r="K39" i="11"/>
  <c r="K38" i="11"/>
  <c r="K37" i="11"/>
  <c r="F36" i="11"/>
  <c r="K36" i="11" s="1"/>
  <c r="D36" i="11" l="1"/>
  <c r="C36" i="11"/>
  <c r="G36" i="11"/>
  <c r="M39" i="11" l="1"/>
  <c r="L39" i="11"/>
  <c r="J39" i="11"/>
  <c r="M37" i="11"/>
  <c r="L37" i="11"/>
  <c r="L36" i="11"/>
  <c r="M36" i="11"/>
  <c r="J41" i="11"/>
  <c r="M41" i="11"/>
  <c r="L41" i="11"/>
  <c r="J40" i="11"/>
  <c r="M40" i="11"/>
  <c r="L40" i="11"/>
  <c r="L38" i="11"/>
  <c r="J38" i="11"/>
  <c r="M38" i="11"/>
  <c r="J44" i="4"/>
  <c r="AB5" i="4" s="1"/>
  <c r="H42" i="11" l="1"/>
  <c r="H33" i="11"/>
  <c r="J37" i="11"/>
  <c r="E36" i="11"/>
  <c r="J36" i="11" s="1"/>
  <c r="E11" i="11" l="1"/>
  <c r="D11" i="11"/>
  <c r="I11" i="11" l="1"/>
  <c r="I8" i="11" s="1"/>
  <c r="AV97" i="7"/>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AM81" i="7" s="1"/>
  <c r="AN81" i="7" s="1"/>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AM44" i="7" l="1"/>
  <c r="AN44" i="7" s="1"/>
  <c r="AM83" i="7"/>
  <c r="AN83" i="7" s="1"/>
  <c r="AM76" i="7"/>
  <c r="AN76" i="7" s="1"/>
  <c r="AM27" i="7"/>
  <c r="AN27" i="7" s="1"/>
  <c r="AM14" i="7"/>
  <c r="AN14" i="7" s="1"/>
  <c r="AM57" i="7"/>
  <c r="AN57" i="7" s="1"/>
  <c r="AM96" i="7"/>
  <c r="AN96" i="7" s="1"/>
  <c r="AW73" i="7"/>
  <c r="AX73" i="7" s="1"/>
  <c r="AW13" i="7"/>
  <c r="AX13" i="7" s="1"/>
  <c r="AM54" i="7"/>
  <c r="AN54" i="7" s="1"/>
  <c r="AW23" i="7"/>
  <c r="AX23" i="7" s="1"/>
  <c r="AW32" i="7"/>
  <c r="AX32" i="7" s="1"/>
  <c r="AW38" i="7"/>
  <c r="AX38" i="7" s="1"/>
  <c r="AW18" i="7"/>
  <c r="AX18" i="7" s="1"/>
  <c r="AW26" i="7"/>
  <c r="AX26" i="7" s="1"/>
  <c r="AE30" i="7"/>
  <c r="AO30" i="7"/>
  <c r="AT30" i="7"/>
  <c r="AS30" i="7"/>
  <c r="AE47" i="7"/>
  <c r="AO47" i="7"/>
  <c r="AW49" i="7"/>
  <c r="AX49" i="7" s="1"/>
  <c r="AS52" i="7"/>
  <c r="AT52" i="7"/>
  <c r="AW71" i="7"/>
  <c r="AX71" i="7" s="1"/>
  <c r="AT80" i="7"/>
  <c r="AS80" i="7"/>
  <c r="AE86" i="7"/>
  <c r="AO86" i="7"/>
  <c r="AE92" i="7"/>
  <c r="AO92" i="7"/>
  <c r="AM92" i="7"/>
  <c r="AN92" i="7" s="1"/>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 r="CV11" i="4" l="1"/>
  <c r="F11" i="11"/>
  <c r="G11" i="11" l="1"/>
  <c r="G8" i="11" s="1"/>
  <c r="K11" i="11"/>
  <c r="AA33" i="4"/>
  <c r="AB4" i="4" s="1"/>
  <c r="L11" i="11" l="1"/>
  <c r="J11" i="11"/>
  <c r="AB6" i="4"/>
  <c r="AA38" i="4"/>
  <c r="M11" i="11"/>
  <c r="G2" i="11" l="1"/>
</calcChain>
</file>

<file path=xl/sharedStrings.xml><?xml version="1.0" encoding="utf-8"?>
<sst xmlns="http://schemas.openxmlformats.org/spreadsheetml/2006/main" count="521" uniqueCount="314">
  <si>
    <t>ALCALDÍA LOCAL DE SUBA - ESTUDIO DE MERCADO 2026</t>
  </si>
  <si>
    <t xml:space="preserve">Estudio de Mercado </t>
  </si>
  <si>
    <t>OBJETO DEL PROCESO DE CONTRATACIÓN</t>
  </si>
  <si>
    <t>PRESTAR LOS SERVICIOS PARA LA IMPLEMENTACIÓN DE INICIATIVAS DEPORTIVAS, RECREATIVAS Y DE ACTIVIDAD FÍSICA A COLECTIVOS Y ORGANIZACIONES DE CARÁCTER BARRIAL O VEREDAL QUE HARÁN PARTE DEL BANCO DE INICIATIVAS DE LA ALCALDÍA LOCAL DE SUBA</t>
  </si>
  <si>
    <t>FECHA DE ENTREGA DEL ESTUDIO DE MERCADO</t>
  </si>
  <si>
    <t>TOTAL ITEMS</t>
  </si>
  <si>
    <t>MODALIDAD CONTRATACIÓN</t>
  </si>
  <si>
    <t>Licitación Pública</t>
  </si>
  <si>
    <t>TOTAL RECURSO HUMANO</t>
  </si>
  <si>
    <t>PRESUPUESTO OFICIAL</t>
  </si>
  <si>
    <t>ESTRUCTURADOR</t>
  </si>
  <si>
    <t>REVISÓ</t>
  </si>
  <si>
    <t>MARCELA GONZÁLEZ</t>
  </si>
  <si>
    <t>TOTAL ESTUDIO DE MERCADO</t>
  </si>
  <si>
    <t>Elemento</t>
  </si>
  <si>
    <t>Descripción del elemento y / o actividad</t>
  </si>
  <si>
    <t>Empresa Cotizante cotización 1</t>
  </si>
  <si>
    <t>Valor Unitario sin IVA</t>
  </si>
  <si>
    <t>Empresa Cotizante cotización 2</t>
  </si>
  <si>
    <t>Valor unitario con IVA</t>
  </si>
  <si>
    <t>Empresa Cotizante cotización 3</t>
  </si>
  <si>
    <t>Valor unitario sin IVA</t>
  </si>
  <si>
    <t>Coeficiente de variación</t>
  </si>
  <si>
    <t>Cotización 1</t>
  </si>
  <si>
    <t>Cotización 2</t>
  </si>
  <si>
    <t>Cotización 3</t>
  </si>
  <si>
    <t>Promedio Simple</t>
  </si>
  <si>
    <t>CRUCE DE DATOS</t>
  </si>
  <si>
    <t>VALIDACIÓN</t>
  </si>
  <si>
    <t>Item</t>
  </si>
  <si>
    <t>Componente del anexo técnico</t>
  </si>
  <si>
    <t>Nombre del Elemento</t>
  </si>
  <si>
    <t>Unidad de medida</t>
  </si>
  <si>
    <t>Cantidad establecida según anexo técnico</t>
  </si>
  <si>
    <t>Compra Alquiler
Prestación Servicio</t>
  </si>
  <si>
    <t>Valor IVA / proyección IPC</t>
  </si>
  <si>
    <t>Valor total Sin IVA</t>
  </si>
  <si>
    <t>Valor total con IVA</t>
  </si>
  <si>
    <t>Valor IVA/ IPOCONSUMO</t>
  </si>
  <si>
    <t>Valor IVA</t>
  </si>
  <si>
    <t>Promedio valor unitario con IVA</t>
  </si>
  <si>
    <t>Promedio valor total con IVA</t>
  </si>
  <si>
    <t xml:space="preserve">Desviación estandar </t>
  </si>
  <si>
    <t xml:space="preserve">Observaciones </t>
  </si>
  <si>
    <t>NOMBRE</t>
  </si>
  <si>
    <t>DESCRIPCIÓN</t>
  </si>
  <si>
    <t>PROVEEDOR 1</t>
  </si>
  <si>
    <t>VALOR SIN IVA 1</t>
  </si>
  <si>
    <t>PROVEEDOR 2</t>
  </si>
  <si>
    <t>VALOR SIN IVA 2</t>
  </si>
  <si>
    <t>PROVEEDOR 3</t>
  </si>
  <si>
    <t>VALOR SIN IVA 3</t>
  </si>
  <si>
    <t>COEFICIENTE VARIACIÓN</t>
  </si>
  <si>
    <t xml:space="preserve">FASE DE EJECUCIÓN </t>
  </si>
  <si>
    <t>Estolas</t>
  </si>
  <si>
    <t>Compra de estolas para la graduación hechas en las siguientes telas de opciones  por tela Lino. de alta calidad, puntas en forma de pico, panel de frente en V mide 6” de largo, el panel trasero mide 14.5”. Debe tener la siguiente frase “Banco de Iniciativas 2026” (Bordado), con un logo institucional de los establecidos en el Manual de Imagen y Marcas de la Secretaría Distrital de Gobierno-SDG-(Bordado).</t>
  </si>
  <si>
    <t>Unidad</t>
  </si>
  <si>
    <t>Compra</t>
  </si>
  <si>
    <t>MAKRO BORDADOS</t>
  </si>
  <si>
    <t>DYN PRODUCCIONES</t>
  </si>
  <si>
    <t>ARKAGRAFICA</t>
  </si>
  <si>
    <t>Formatos de Inscripción.</t>
  </si>
  <si>
    <t>Formatos impresos en hoja tamaño carta a dos tintas Incluye logos institucionales y deberán contar con la aprobación de la Oficina de Prensa de la ALS.</t>
  </si>
  <si>
    <t>PRISMART PUBLICIDAD Y DISEÑO</t>
  </si>
  <si>
    <t>IMPULSA PUBLICIDAD</t>
  </si>
  <si>
    <t>LUNA NUEVA</t>
  </si>
  <si>
    <t>Plan de Medios</t>
  </si>
  <si>
    <t>Con el fin de lograr mayor difusión y divulgación de las actividades, llegar e impactar a los grupos poblacionales de juventud y adultez quienes consumen principalmente redes sociales como medio de información, el contratista deberá vincular al proyecto un profesional (comentarista, deportista, periodista, coach, CEO, actor, actriz) del marketing digital deportivo, especialmente en plataformas como Instagram, TikTok y YouTube, Facebook y WhatsApp con amplia capacidad de influir en las decisiones de su audiencia que cuente con mínimo 70.000 seguidores (en una sola plataforma) o 150.000 (sumado en varias plataformas) y con más de cinco (5) años de reconocimiento en Redes Sociales, preferiblemente con residencia en la Localidad de Suba, quien realizará diez (10) pautas de dos (2) minutos de duración y serán publicadas tanto en sus redes sociales como en las redes de la Alcaldía Local de Suba en donde se realice:
1. Socialización del Proyecto
2. Días, lugares y fechas de la Presentación Pública Inicial
3. Requisitos, días, lugares y fechas para las inscripciones
4. Colaboración con el Alcalde Local de Suba para incentivar la participación en el proyecto.
5. Acompañamiento a la jornada de entrega de los Incentivos a las 75 organizaciones seleccionadas y beneficiarias del proyecto.</t>
  </si>
  <si>
    <t>Prestaciòn de Servicios</t>
  </si>
  <si>
    <t>BRAD MEN</t>
  </si>
  <si>
    <t>AIRAMA DIGITAL S.A.S</t>
  </si>
  <si>
    <t>BOOKING &amp; EVENTOS</t>
  </si>
  <si>
    <t>Separadores de carpetas o libros</t>
  </si>
  <si>
    <t>Los separadores de carpetas o libros en papel de 75 gramos  tamaño carta</t>
  </si>
  <si>
    <t>PAPELERIA LA GRAN 12</t>
  </si>
  <si>
    <t>LA GRAN PAPELERIA</t>
  </si>
  <si>
    <t>LA GARZA</t>
  </si>
  <si>
    <t>ENCUENTRO CONMEMORATIVO BANCO DE INICIATIVAS RECREO DEPORTIVAS DE LA LOCALIDAD DE SUBA</t>
  </si>
  <si>
    <t>Muestras Artísticas y/o culturales</t>
  </si>
  <si>
    <t>Grupo de música folclórica (música del pacífico o carnaval de barranquilla o música andina o similar) compuesto por 3 a 5 integrantes y preferiblemente con 2 bailarines. Servicio por hora.</t>
  </si>
  <si>
    <t>PrestaciónServicio</t>
  </si>
  <si>
    <t>ESCALANDO FUTURO</t>
  </si>
  <si>
    <t>CORPORACION PRISMA GROUP</t>
  </si>
  <si>
    <t>SHOWS ESPECTACULOS Y PERFOMANCES</t>
  </si>
  <si>
    <t xml:space="preserve">FASE DE ALISTAMIENTO </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</si>
  <si>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</si>
  <si>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</si>
  <si>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INVERSIONES BECORATI E Y O SAS</t>
  </si>
  <si>
    <t>ENTERPRISE INVESTMENT DEVELOPMENT S.A.S.</t>
  </si>
  <si>
    <t>Estimación de precios con base en el proceso FDLSUBA-LP-013-2025 (140689) – Contrato 1000 – 2025, indexando el incremento de precios en el mercado con base en el Índice de Precios al Consumidor (IPC) para el mes de marzo de 2026, el cual fue de 5,56%.</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</si>
  <si>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</si>
  <si>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</si>
  <si>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Alquiler</t>
  </si>
  <si>
    <t xml:space="preserve">JAC PRADO PINZON </t>
  </si>
  <si>
    <t>JAC URBANIZACION EL LAGUITO DE SUBA</t>
  </si>
  <si>
    <t>Pendón Enrollable o Roll -Up</t>
  </si>
  <si>
    <t>Gráfica impresa en gran formato 4x0 en lona o PVC con medidas de 1mt x 2 mts con base de aluminio y estuche que permite almacenarlo y transportarlo</t>
  </si>
  <si>
    <t>DICOES GRUPÓ PUBLICITARIO SAS</t>
  </si>
  <si>
    <t>NEXUS ESTUDIO GRÁFICOS</t>
  </si>
  <si>
    <t>Angie Pachon (personalizado INK)</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</si>
  <si>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</si>
  <si>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</si>
  <si>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KIT</t>
  </si>
  <si>
    <t>SG DIGITAL S.A.S</t>
  </si>
  <si>
    <t>Memoria USB 8 GB</t>
  </si>
  <si>
    <t>Dispositivo de almacenamiento flash con interfaz 2.0 y cuerpo de plástico resistente o metal. Posee tapa protectora o sistema retráctil y chip de memoria de alta velocidad para transferencia de archivos. Memoria USB 8 GB</t>
  </si>
  <si>
    <t>Papeleria Alvarez</t>
  </si>
  <si>
    <t>Inver y Disrtibuciones Diamond</t>
  </si>
  <si>
    <t>Papeleria Paraiso</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</si>
  <si>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</si>
  <si>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</si>
  <si>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Presentador evento</t>
  </si>
  <si>
    <t>PRESENTADOR PARA EVENTO DIURNO O NOCTURNO CON EXPERIENCIA EN MANEJO DE PÚBLICO
(POR EVENTO O MAXIMO 8 HORAS).</t>
  </si>
  <si>
    <t>SERVICIO</t>
  </si>
  <si>
    <t>FUNCAS</t>
  </si>
  <si>
    <t>Certificado de participación</t>
  </si>
  <si>
    <t xml:space="preserve">Impresión a media carta 4 tintas en papel _x000D_
propalcote o kimberly 200 gr, tamaño 22x28 cm con nombres individuales o espacio para el mismo, refilados._x000D_
</t>
  </si>
  <si>
    <t>GUERRA EDITORES</t>
  </si>
  <si>
    <t>JEGAR PUBLICIDAD MISIONES</t>
  </si>
  <si>
    <t>Refrigerio Tipo 1</t>
  </si>
  <si>
    <t>Alquiler Sonido 2000 w 6 a 8 horas</t>
  </si>
  <si>
    <t>Alquiler de Sonido de 2000 watios con operario por un periodo de 6 a 8 horas 2 cabinas de sonido, 2 trípodes para cabinas, sistema de monitoreo, set de micrófono, 1 consola de sonido.</t>
  </si>
  <si>
    <t>D&amp;R PRODUCCIONES SAS</t>
  </si>
  <si>
    <t>ACTIVO2 EVENTOS</t>
  </si>
  <si>
    <t>EFECTO_MASIVO</t>
  </si>
  <si>
    <t>Alquiler planta electrica 200 KVA</t>
  </si>
  <si>
    <t>ALQUILER DE PLANTA ELÉCTRICA DE 200 KVA: PLANTA ELECTRICA DE 200 KVA INSONORIZADA, QUE INCLUYA TRANSPORTE, PARCIAL DE CORRIENTE DE 10 METROS, TRIFÁSICA, TIERRA Y NEUTRO CON OPERARIO DISPONIBLE JORNADA POR EVENTO O DÍA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</si>
  <si>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</si>
  <si>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</si>
  <si>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Mesas portafolio</t>
  </si>
  <si>
    <t>Alquiler de Mesa Portafolio Plegable 180cm  x 75 cm. Incluye transporte, instalación y entrega en el lugar requerido.</t>
  </si>
  <si>
    <t>LOGISTBOX L&amp;L SAS</t>
  </si>
  <si>
    <t>Alquiler de sillas</t>
  </si>
  <si>
    <t xml:space="preserve">Alquiler de sillas: sillas plástica tipo sin brazos de 46,7 cms de ancho x 50,5 cms de largo y 89 cms de alto incluido el transporte. </t>
  </si>
  <si>
    <t>R Y F</t>
  </si>
  <si>
    <t>COMERCIALIZADORA PROVENSA</t>
  </si>
  <si>
    <t>Dúo interpretes lenguaje de señas</t>
  </si>
  <si>
    <t xml:space="preserve">DUO DE INTÉRPRETES DE LENGUAJE DE SEÑAS O SIGNOS: MÍNIMO DE SEIS (6) MESES DE EXPERIENCIA CERTIFICADA. TURNOS DE 25 MINUTOS CADA UNO DURANTE LA DURACIÓN DEL EVENTO (SERVICIO POR EVENTO DE 3 A 4 HORAS) </t>
  </si>
  <si>
    <t>Alquiler Carpa 4 x 4</t>
  </si>
  <si>
    <t>Alquiler Carpa 4X4 con laterales. Incluye transporte, instalación y entrega en el lugar requerido, montaje y desmontaje, alquiler por día.</t>
  </si>
  <si>
    <t>On Music Eventos</t>
  </si>
  <si>
    <t>FAS EJECUCIÓN</t>
  </si>
  <si>
    <t>Incentivos Iniciativas Deportivas</t>
  </si>
  <si>
    <t>Entrega de incentivis a 75 inicitivas depotivas ciudadanas a razón de $15.000.000 C/U</t>
  </si>
  <si>
    <t>Total ítems Estudio de Mercado</t>
  </si>
  <si>
    <t>RECURSO HUMANO</t>
  </si>
  <si>
    <t>Perfil solicitado Recurso Humano</t>
  </si>
  <si>
    <t>Descripción del perfil - Recurso Humano</t>
  </si>
  <si>
    <t>Tiempo (meses)</t>
  </si>
  <si>
    <t>Tabla Honorarios
o 
Cotización</t>
  </si>
  <si>
    <t>Valor unitario (Tabla)</t>
  </si>
  <si>
    <t>Valor total</t>
  </si>
  <si>
    <t>Coordinador(a) general del proyecto.</t>
  </si>
  <si>
    <t>FORMACIÓN PROFESIONAL DE ACUERDO AL ÁREA DE CONOCIMIENTO DEL NÚCLEO BÁSICO DEL CONOCIMIENTO.
Área Básica del Conocimiento en Administración Deportiva y/o Profesional en Gestión Deportiva y/o Profesional en Ciencias del Deporte y/o Profesional en Deporte y Actividad Física y/o Licenciado en Educación Física y/o Recreación y Deporte y/o Profesional de la Cultura Física, Deporte y Recreación.
EXPERIENCIA PROFESIONAL: mínimo veinticuatro (24) meses de experiencia profesional, contados a partir de la expedición de la tarjeta profesional. 
EXPERIENCIA ESPECÍFICA: mínimo veinticuatro (24) meses de experiencia adicional relacionada como Coordinador y/o Supervisor y/o Gerente, en coordinación de eventos recreativos y/o deportivos dirigidos a jóvenes y/o persona mayor y/o población de enfoques diferenciales y/o población convencional.</t>
  </si>
  <si>
    <t>Persona</t>
  </si>
  <si>
    <t>Tabla</t>
  </si>
  <si>
    <t>Se toma como referencia los valores establecidos para cada perfil, con forme a lo señalado en el memorando 20254000408633 - "Valor de honorarios para contratos de prestación de servicios profesionales y de apoyo a la gestión – Vigencia 2026", emitido por la SUBSECRETARIA DE GESTIÓN INSTITUCIONAL, de la SDG), para efectos para establecer los costos frente al perfil mínimo requerido</t>
  </si>
  <si>
    <t>VALOR ESTUDIO DE MERCADO - 3 PROVEEDORES</t>
  </si>
  <si>
    <t>VALOR ESTUDIO DE MERCADO</t>
  </si>
  <si>
    <t>Asistente Administrativo</t>
  </si>
  <si>
    <t>FORMACIÓN PROFESIONAL DE ACUERDO AL ÁREA DE CONOCIMIENTO DEL NÚCLEO BÁSICO DEL CONOCIMIENTO.
Área Básica del Conocimiento en: Técnico (a) en sistemas o tecnólogo (a) en gestión comunitaria o tecnólogo (a) en promoción social o tecnólogo (a) en gestión de procesos sociales y comunitarios o tecnólogo (a) en gestión documental o tecnólogo (a) en logística, tecnólogo (a) en Asistencia Gerencial, tecnólogo (a) en Gestión Del Talento Humano, tecnólogo (a) en Administración de empresas.
EXPERIENCIA PROFESIONAL: mínimo treinta y seis (36) meses de experiencia profesional, contados a partir del grado.
EXPERIENCIA ESPECÍFICA: Mínimo de doce (12) meses en funciones relacionadas con la asistencia en proyectos sociales o recreo deportivos.
Preferiblemente que resida en la Localidad de Suba.</t>
  </si>
  <si>
    <t>Facilitador/a</t>
  </si>
  <si>
    <t xml:space="preserve">Título de bachiller. Experiencia: Mínimo seis (6) meses en trabajo comunitario y/o apoyo logístico en actividades sociales, recreativas o deportivas. Se sugiere que resida en la localidad de Suba. </t>
  </si>
  <si>
    <t>Evaluadores</t>
  </si>
  <si>
    <t>Perfil: Acreditar título profesional en alguna de las siguientes áreas: Educación física, Recreación, Deportes, Cultura física, deporte y recreación, Entrenamiento deportivo, Ciencias del Deporte, Administración deportiva y afines. 
Acreditar mínimo cuatro (4) años de experiencia profesional con alguno o varios de los siguientes campos: el deporte y/o la recreación y /o la actividad física y/o la administración deportiva y/o la gestión del deporte y/o educación física y/o gestión de proyectos deportivos y afines, a partir de la expedición de la tarjeta profesional. 
Experiencia específica: En mínimo doce (12) meses en evaluación de procesos deportivos o gestión de proyectos o iniciativas similares.</t>
  </si>
  <si>
    <t>Capacitadores(as)</t>
  </si>
  <si>
    <t>Perfil: Área Básica del Conocimiento Perfil: 
Profesional en Gestión Deportiva, en administración deportiva y/o Profesional en gestión deportiva y/o profesional en ciencias del deporte y/o profesional en deporte y actividad física y/o licenciado en educación física y/o recreación y deporte y/o profesional de la cultura física, deporte y recreación y /o Ingeniería (Industrial, o afines) y /o Administración de Empresas o áreas profesionales de las Ciencias social.
Experiencia General: Mínimo veinticuatro (24) meses de experiencia general.
Experiencia específica: Mínimo treinta y seis (36) meses de experiencia en: implementación de modelos de innovación social como las nuevas tecnologías y/o gestión de proyectos y/o talleres dirigidos a colectivos u organizaciones</t>
  </si>
  <si>
    <t>Profesional de Seguimiento</t>
  </si>
  <si>
    <t xml:space="preserve">Perfil: Área Básica del Conocimiento Perfil: 
Profesional en Gestión Deportiva, en administración deportiva y/o Profesional en gestión deportiva y/o profesional en ciencias del deporte y/o profesional en deporte y actividad física y/o licenciado en educación física y/o recreación y deporte y/o profesional de la cultura física, deporte y recreación y /o Ingeniería (Industrial, o afines) y /o Administración de Empresas o áreas profesionales de las Ciencias social.
Experiencia General: Mínimo veinticuatro (24) meses de experiencia general.
Experiencia específica: Mínimo treinta y seis (36) meses de experiencia en: implementación de modelos de innovación social como las nuevas tecnologías y/o gestión de proyectos y/o talleres dirigidos a colectivos u organizaciones. </t>
  </si>
  <si>
    <t>Total Recurso Humano</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</si>
  <si>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</si>
  <si>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</si>
  <si>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</si>
  <si>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</si>
  <si>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</si>
  <si>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</si>
  <si>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</si>
  <si>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</si>
  <si>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FECHA DE DILIGENCIAMIENTO DEL ESTUDIO DE MERCADO</t>
  </si>
  <si>
    <t>APROBÓ</t>
  </si>
  <si>
    <t>Procesos en Otras Entidades</t>
  </si>
  <si>
    <t>Media Geométrica</t>
  </si>
  <si>
    <t>Nombre Entidad</t>
  </si>
  <si>
    <t>Límite menor</t>
  </si>
  <si>
    <t>Límite mayor</t>
  </si>
  <si>
    <t>Valor Unitario Techo (IVA incluído)</t>
  </si>
  <si>
    <t>Valor Total Techo (IVA incluído)</t>
  </si>
  <si>
    <t>Cantidad</t>
  </si>
  <si>
    <t>Cargo</t>
  </si>
  <si>
    <t>Perfil</t>
  </si>
  <si>
    <t>% de dedicación</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</si>
  <si>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</si>
  <si>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</si>
  <si>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</si>
  <si>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</si>
  <si>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</si>
  <si>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</si>
  <si>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</si>
  <si>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</si>
  <si>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</si>
  <si>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</si>
  <si>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</si>
  <si>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</si>
  <si>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</si>
  <si>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</si>
  <si>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</si>
  <si>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</si>
  <si>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</si>
  <si>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</si>
  <si>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</si>
  <si>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</si>
  <si>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</si>
  <si>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</si>
  <si>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</si>
  <si>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</si>
  <si>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</si>
  <si>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</si>
  <si>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</si>
  <si>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</si>
  <si>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</si>
  <si>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</si>
  <si>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</si>
  <si>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</si>
  <si>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</si>
  <si>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</si>
  <si>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</si>
  <si>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</si>
  <si>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</si>
  <si>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</si>
  <si>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</si>
  <si>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</si>
  <si>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</si>
  <si>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</si>
  <si>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</si>
  <si>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</si>
  <si>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</si>
  <si>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</si>
  <si>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</si>
  <si>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</si>
  <si>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</si>
  <si>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</si>
  <si>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</si>
  <si>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</si>
  <si>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</si>
  <si>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</si>
  <si>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</si>
  <si>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</si>
  <si>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</si>
  <si>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</si>
  <si>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</si>
  <si>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</si>
  <si>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</si>
  <si>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</si>
  <si>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</si>
  <si>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</si>
  <si>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</si>
  <si>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</si>
  <si>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</si>
  <si>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</si>
  <si>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</si>
  <si>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</si>
  <si>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</si>
  <si>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</si>
  <si>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</si>
  <si>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</si>
  <si>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</si>
  <si>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</si>
  <si>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</si>
  <si>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</si>
  <si>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</si>
  <si>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</si>
  <si>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</si>
  <si>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</si>
  <si>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</si>
  <si>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</si>
  <si>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</si>
  <si>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</si>
  <si>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</si>
  <si>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</si>
  <si>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</si>
  <si>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</si>
  <si>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</si>
  <si>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</si>
  <si>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</si>
  <si>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</si>
  <si>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</si>
  <si>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</si>
  <si>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</si>
  <si>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</si>
  <si>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</si>
  <si>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</si>
  <si>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</si>
  <si>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Diferencia estudio- Oferta Económica</t>
  </si>
  <si>
    <t>ALCALDÍA LOCAL DE SUBA - FORMATO DE VALORES UNITARIOS</t>
  </si>
  <si>
    <t xml:space="preserve">OCULTAR ESTAS COLUMNAS EN EL MOMENTO DE PUBLICAR Y COLOCARLE CLAVE A LA HOJA!!! SON PARA LA EVALUACIÓN TÉCNICA </t>
  </si>
  <si>
    <t>VALOR TOTAL (sumatoria ítems)</t>
  </si>
  <si>
    <t>FDLS</t>
  </si>
  <si>
    <t>OFERENTE</t>
  </si>
  <si>
    <t>ÍTEM</t>
  </si>
  <si>
    <t>ÍTEMS O SERVICIOS</t>
  </si>
  <si>
    <t xml:space="preserve">CANTIDAD </t>
  </si>
  <si>
    <t>PRECIOS DE REFERENCIA TECHO RESULTANTE EN EL ESTUDIO DE MERCADO QUE NO PODRAN SUPERAR LOS PROPONENTES</t>
  </si>
  <si>
    <t>OFERTA:
RAZON SOCIAL:</t>
  </si>
  <si>
    <t>VALIDACIÓN DE LA OFERTA</t>
  </si>
  <si>
    <t>VALOR UNITARIO INCLUIDO IVA</t>
  </si>
  <si>
    <t>VALOR TOTAL INCLUIDO IVA</t>
  </si>
  <si>
    <t>VALOR TOTAL</t>
  </si>
  <si>
    <t>DIFERENCIA VALOR UNITARIO INCLUIDO IVA</t>
  </si>
  <si>
    <t>DIFERENCIA VALOR TOTAL</t>
  </si>
  <si>
    <t>TOTAL ÍTEMS</t>
  </si>
  <si>
    <t>NOMBRE DEL REPRESENTANTE LEGAL</t>
  </si>
  <si>
    <t>NOMBRE DE LA EMPRESA</t>
  </si>
  <si>
    <t>DIRECCION</t>
  </si>
  <si>
    <t>TELEFONOS DE CONTACTO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</si>
</sst>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240A]\ * #,##0_-;\-[$$-240A]\ * #,##0_-;_-[$$-240A]\ * &quot;-&quot;??_-;_-@_-"/>
    <numFmt numFmtId="166" formatCode="_-[$$-409]* #,##0.00_ ;_-[$$-409]* \-#,##0.00\ ;_-[$$-409]* &quot;-&quot;??_ ;_-@_ "/>
    <numFmt numFmtId="167" formatCode="_-&quot;$&quot;\ * #,##0.00_-;\-&quot;$&quot;\ * #,##0.00_-;_-&quot;$&quot;\ * &quot;-&quot;_-;_-@_-"/>
    <numFmt numFmtId="168" formatCode="_-[$$-409]* #,##0_ ;_-[$$-409]* \-#,##0\ ;_-[$$-409]* &quot;-&quot;??_ ;_-@_ "/>
  </numFmts>
  <fonts count="48">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sz val="16"/>
      <color theme="1"/>
      <name val="Aptos Narrow"/>
      <family val="2"/>
      <scheme val="minor"/>
    </font>
    <font>
      <b/>
      <sz val="18"/>
      <color theme="0"/>
      <name val="Aptos Narrow"/>
      <family val="2"/>
      <scheme val="minor"/>
    </font>
    <font>
      <b/>
      <sz val="28"/>
      <color theme="1"/>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b/>
      <sz val="12"/>
      <color theme="1"/>
      <name val="Arial"/>
      <family val="2"/>
    </font>
    <font>
      <sz val="12"/>
      <color theme="1"/>
      <name val="Arial"/>
      <family val="2"/>
    </font>
    <font>
      <sz val="11"/>
      <color theme="0"/>
      <name val="Garamond"/>
      <family val="1"/>
    </font>
    <font>
      <sz val="16"/>
      <color theme="0"/>
      <name val="Aptos Narrow"/>
      <family val="2"/>
      <scheme val="minor"/>
    </font>
    <font>
      <sz val="16"/>
      <name val="Aptos Narrow"/>
      <family val="2"/>
      <scheme val="minor"/>
    </font>
    <font>
      <sz val="24"/>
      <color rgb="FFFF0000"/>
      <name val="Aptos Narrow"/>
      <family val="2"/>
      <scheme val="minor"/>
    </font>
    <font>
      <sz val="9"/>
      <color theme="1"/>
      <name val="Aptos Narrow"/>
      <family val="2"/>
      <scheme val="minor"/>
    </font>
    <font>
      <b/>
      <sz val="20"/>
      <color rgb="FFFF0000"/>
      <name val="Aptos Narrow"/>
      <family val="2"/>
      <scheme val="minor"/>
    </font>
    <font>
      <b/>
      <sz val="24"/>
      <color theme="1"/>
      <name val="Aptos Narrow"/>
      <family val="2"/>
      <scheme val="minor"/>
    </font>
    <font>
      <sz val="12"/>
      <name val="Aptos Narrow"/>
      <family val="2"/>
      <scheme val="minor"/>
    </font>
    <font>
      <sz val="12"/>
      <color rgb="FF000000"/>
      <name val="Aptos Narrow"/>
      <family val="2"/>
      <scheme val="minor"/>
    </font>
    <font>
      <b/>
      <sz val="12"/>
      <color theme="1"/>
      <name val="Aptos Narrow"/>
      <family val="2"/>
      <scheme val="minor"/>
    </font>
    <font>
      <b/>
      <sz val="12"/>
      <color theme="0"/>
      <name val="Aptos Narrow"/>
      <family val="2"/>
      <scheme val="minor"/>
    </font>
    <font>
      <sz val="16"/>
      <color theme="1"/>
      <name val="Garamond"/>
      <family val="1"/>
    </font>
    <font>
      <sz val="8"/>
      <color theme="1"/>
      <name val="Aptos Narrow"/>
      <family val="2"/>
      <scheme val="minor"/>
    </font>
    <font>
      <sz val="16"/>
      <color rgb="FF000000"/>
      <name val="Aptos Narrow"/>
      <family val="2"/>
      <scheme val="minor"/>
    </font>
  </fonts>
  <fills count="24">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3" tint="0.249977111117893"/>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6">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44" fontId="1" fillId="0" borderId="0" applyFont="0" applyFill="0" applyBorder="0" applyAlignment="0" applyProtection="0"/>
  </cellStyleXfs>
  <cellXfs count="254">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1" fillId="11" borderId="1" xfId="1" applyFont="1" applyFill="1" applyBorder="1" applyAlignment="1" applyProtection="1">
      <alignment vertical="center" wrapText="1"/>
      <protection locked="0"/>
    </xf>
    <xf numFmtId="44" fontId="1" fillId="11" borderId="1" xfId="1" applyFont="1" applyFill="1" applyBorder="1" applyAlignment="1">
      <alignment vertical="center" wrapText="1"/>
    </xf>
    <xf numFmtId="44"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1" fillId="6" borderId="1" xfId="1" applyFont="1" applyFill="1" applyBorder="1" applyAlignment="1" applyProtection="1">
      <alignment vertical="center" wrapText="1"/>
      <protection locked="0"/>
    </xf>
    <xf numFmtId="44" fontId="1" fillId="6" borderId="1" xfId="1" applyFont="1" applyFill="1" applyBorder="1" applyAlignment="1">
      <alignment vertical="center" wrapText="1"/>
    </xf>
    <xf numFmtId="44"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44" fontId="1" fillId="15" borderId="1" xfId="1" applyFont="1" applyFill="1" applyBorder="1" applyAlignment="1">
      <alignment vertical="center" wrapText="1"/>
    </xf>
    <xf numFmtId="44"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4"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5"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1"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4" fontId="1"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44" fontId="6" fillId="0" borderId="0" xfId="3" applyNumberFormat="1" applyFont="1" applyAlignment="1">
      <alignment horizontal="center" vertical="center" wrapText="1"/>
    </xf>
    <xf numFmtId="43" fontId="6" fillId="11" borderId="0" xfId="3" applyNumberFormat="1" applyFont="1" applyFill="1" applyAlignment="1">
      <alignment horizontal="center" vertical="center" wrapText="1"/>
    </xf>
    <xf numFmtId="44" fontId="25" fillId="19" borderId="0" xfId="0" applyNumberFormat="1" applyFont="1" applyFill="1" applyAlignment="1">
      <alignment vertical="center" wrapText="1"/>
    </xf>
    <xf numFmtId="0" fontId="26" fillId="3" borderId="1" xfId="0" applyFont="1" applyFill="1" applyBorder="1" applyAlignment="1">
      <alignment horizontal="center" vertical="center" wrapText="1"/>
    </xf>
    <xf numFmtId="0" fontId="26" fillId="8" borderId="1" xfId="0" applyFont="1" applyFill="1" applyBorder="1" applyAlignment="1">
      <alignment horizontal="center" vertical="center" wrapText="1"/>
    </xf>
    <xf numFmtId="0" fontId="3" fillId="23" borderId="0" xfId="0" applyFont="1" applyFill="1" applyAlignment="1">
      <alignment vertical="center" wrapText="1"/>
    </xf>
    <xf numFmtId="43" fontId="6" fillId="0" borderId="0" xfId="3" applyNumberFormat="1" applyFont="1" applyAlignment="1">
      <alignment horizontal="center" vertical="center" wrapText="1"/>
    </xf>
    <xf numFmtId="44" fontId="0" fillId="0" borderId="0" xfId="0" applyNumberFormat="1" applyAlignment="1">
      <alignment wrapText="1"/>
    </xf>
    <xf numFmtId="0" fontId="6" fillId="0" borderId="1" xfId="3" applyFont="1" applyBorder="1" applyAlignment="1">
      <alignment vertical="center" wrapText="1"/>
    </xf>
    <xf numFmtId="0" fontId="5" fillId="0" borderId="0" xfId="0" applyFont="1" applyAlignment="1">
      <alignment wrapText="1"/>
    </xf>
    <xf numFmtId="164" fontId="17" fillId="0" borderId="1" xfId="0" applyNumberFormat="1" applyFont="1" applyBorder="1" applyAlignment="1" applyProtection="1">
      <alignment horizontal="center" vertical="center" wrapText="1"/>
      <protection locked="0"/>
    </xf>
    <xf numFmtId="0" fontId="17" fillId="0" borderId="0" xfId="0" applyFont="1" applyAlignment="1">
      <alignment wrapText="1"/>
    </xf>
    <xf numFmtId="44" fontId="17" fillId="0" borderId="0" xfId="1" applyFont="1" applyAlignment="1" applyProtection="1">
      <alignment wrapText="1"/>
    </xf>
    <xf numFmtId="44" fontId="29" fillId="0" borderId="25" xfId="1" applyFont="1" applyBorder="1" applyAlignment="1" applyProtection="1">
      <alignment wrapText="1"/>
    </xf>
    <xf numFmtId="164" fontId="30" fillId="0" borderId="25" xfId="1" applyNumberFormat="1" applyFont="1" applyBorder="1" applyAlignment="1" applyProtection="1">
      <alignment vertical="center" wrapText="1"/>
    </xf>
    <xf numFmtId="0" fontId="29" fillId="0" borderId="25" xfId="0" applyFont="1" applyBorder="1" applyAlignment="1">
      <alignment wrapText="1"/>
    </xf>
    <xf numFmtId="166" fontId="30" fillId="0" borderId="25" xfId="0" applyNumberFormat="1" applyFont="1" applyBorder="1" applyAlignment="1">
      <alignment vertical="center" wrapText="1"/>
    </xf>
    <xf numFmtId="0" fontId="29" fillId="0" borderId="0" xfId="0" applyFont="1" applyAlignment="1">
      <alignment wrapText="1"/>
    </xf>
    <xf numFmtId="44" fontId="30" fillId="21" borderId="1" xfId="1" applyFont="1" applyFill="1" applyBorder="1" applyAlignment="1" applyProtection="1">
      <alignment horizontal="center" vertical="center" wrapText="1"/>
    </xf>
    <xf numFmtId="0" fontId="30" fillId="6" borderId="1" xfId="0" applyFont="1" applyFill="1" applyBorder="1" applyAlignment="1">
      <alignment horizontal="center" vertical="center" wrapText="1"/>
    </xf>
    <xf numFmtId="0" fontId="30" fillId="2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164" fontId="31" fillId="0" borderId="1" xfId="1" applyNumberFormat="1" applyFont="1" applyBorder="1" applyAlignment="1" applyProtection="1">
      <alignment vertical="center" wrapText="1"/>
    </xf>
    <xf numFmtId="164" fontId="17" fillId="0" borderId="1" xfId="0" applyNumberFormat="1" applyFont="1" applyBorder="1" applyAlignment="1">
      <alignment wrapText="1"/>
    </xf>
    <xf numFmtId="0" fontId="17" fillId="0" borderId="1" xfId="0" applyFont="1" applyBorder="1" applyAlignment="1">
      <alignment wrapText="1"/>
    </xf>
    <xf numFmtId="168" fontId="17" fillId="0" borderId="1" xfId="0" applyNumberFormat="1" applyFont="1" applyBorder="1" applyAlignment="1">
      <alignment wrapText="1"/>
    </xf>
    <xf numFmtId="166" fontId="17" fillId="0" borderId="1" xfId="0" applyNumberFormat="1" applyFont="1" applyBorder="1" applyAlignment="1">
      <alignment wrapText="1"/>
    </xf>
    <xf numFmtId="167" fontId="17" fillId="20" borderId="9" xfId="0" applyNumberFormat="1" applyFont="1" applyFill="1" applyBorder="1" applyAlignment="1">
      <alignment wrapText="1"/>
    </xf>
    <xf numFmtId="0" fontId="17" fillId="20" borderId="6" xfId="0" applyFont="1" applyFill="1" applyBorder="1" applyAlignment="1">
      <alignment wrapText="1"/>
    </xf>
    <xf numFmtId="0" fontId="17" fillId="0" borderId="1" xfId="0" applyFont="1" applyBorder="1" applyAlignment="1">
      <alignment horizontal="left" vertical="center" wrapText="1"/>
    </xf>
    <xf numFmtId="44" fontId="31" fillId="0" borderId="1" xfId="1" applyFont="1" applyBorder="1" applyAlignment="1" applyProtection="1">
      <alignment vertical="center" wrapText="1"/>
    </xf>
    <xf numFmtId="167" fontId="17" fillId="0" borderId="1" xfId="0" applyNumberFormat="1" applyFont="1" applyBorder="1" applyAlignment="1">
      <alignment horizontal="center" vertical="center" wrapText="1"/>
    </xf>
    <xf numFmtId="167" fontId="17" fillId="0" borderId="1" xfId="0" applyNumberFormat="1" applyFont="1" applyBorder="1" applyAlignment="1">
      <alignment wrapText="1"/>
    </xf>
    <xf numFmtId="44" fontId="0" fillId="0" borderId="0" xfId="1" applyFont="1" applyAlignment="1" applyProtection="1">
      <alignment vertical="center" wrapText="1"/>
    </xf>
    <xf numFmtId="0" fontId="37" fillId="0" borderId="3" xfId="0" applyFont="1" applyBorder="1" applyAlignment="1">
      <alignment wrapText="1"/>
    </xf>
    <xf numFmtId="0" fontId="40" fillId="0" borderId="11" xfId="3" applyFont="1" applyBorder="1" applyAlignment="1">
      <alignment vertical="center" wrapText="1"/>
    </xf>
    <xf numFmtId="0" fontId="43" fillId="0" borderId="0" xfId="0" applyFont="1" applyAlignment="1">
      <alignment wrapText="1"/>
    </xf>
    <xf numFmtId="0" fontId="44" fillId="3" borderId="1" xfId="0" applyFont="1" applyFill="1" applyBorder="1" applyAlignment="1">
      <alignment horizontal="center" vertical="center" wrapText="1"/>
    </xf>
    <xf numFmtId="0" fontId="44" fillId="8" borderId="1" xfId="0" applyFont="1" applyFill="1" applyBorder="1" applyAlignment="1">
      <alignment horizontal="center" vertical="center" wrapText="1"/>
    </xf>
    <xf numFmtId="0" fontId="44" fillId="13" borderId="1" xfId="0" applyFont="1" applyFill="1" applyBorder="1" applyAlignment="1">
      <alignment horizontal="center" vertical="center" wrapText="1"/>
    </xf>
    <xf numFmtId="0" fontId="44" fillId="18" borderId="1" xfId="0" applyFont="1" applyFill="1" applyBorder="1" applyAlignment="1">
      <alignment horizontal="center" vertical="center" wrapText="1"/>
    </xf>
    <xf numFmtId="0" fontId="18" fillId="0" borderId="1" xfId="0" applyFont="1" applyBorder="1" applyAlignment="1">
      <alignment vertical="center" wrapText="1"/>
    </xf>
    <xf numFmtId="44" fontId="18" fillId="19" borderId="0" xfId="0" applyNumberFormat="1" applyFont="1" applyFill="1" applyAlignment="1">
      <alignment vertical="center" wrapText="1"/>
    </xf>
    <xf numFmtId="0" fontId="43" fillId="17" borderId="11" xfId="0" applyFont="1" applyFill="1" applyBorder="1" applyAlignment="1">
      <alignment horizontal="center" wrapText="1"/>
    </xf>
    <xf numFmtId="0" fontId="18" fillId="0" borderId="1" xfId="0" applyFont="1" applyBorder="1" applyAlignment="1">
      <alignment horizontal="center" vertical="center" wrapText="1"/>
    </xf>
    <xf numFmtId="164" fontId="0" fillId="0" borderId="0" xfId="1" applyNumberFormat="1" applyFont="1" applyAlignment="1">
      <alignment vertical="center" wrapText="1"/>
    </xf>
    <xf numFmtId="10" fontId="0" fillId="0" borderId="0" xfId="2" applyNumberFormat="1" applyFont="1" applyAlignment="1">
      <alignment vertical="center" wrapText="1"/>
    </xf>
    <xf numFmtId="44" fontId="23" fillId="4" borderId="3" xfId="0" applyNumberFormat="1" applyFont="1" applyFill="1" applyBorder="1" applyAlignment="1">
      <alignment vertical="center" wrapText="1"/>
    </xf>
    <xf numFmtId="0" fontId="44" fillId="8" borderId="10" xfId="0" applyFont="1" applyFill="1" applyBorder="1" applyAlignment="1">
      <alignment wrapText="1"/>
    </xf>
    <xf numFmtId="0" fontId="44" fillId="8" borderId="11" xfId="0" applyFont="1" applyFill="1" applyBorder="1" applyAlignment="1">
      <alignment wrapText="1"/>
    </xf>
    <xf numFmtId="0" fontId="44" fillId="8" borderId="12" xfId="0" applyFont="1" applyFill="1" applyBorder="1" applyAlignment="1">
      <alignment wrapText="1"/>
    </xf>
    <xf numFmtId="0" fontId="44" fillId="3" borderId="10" xfId="0" applyFont="1" applyFill="1" applyBorder="1" applyAlignment="1">
      <alignment wrapText="1"/>
    </xf>
    <xf numFmtId="0" fontId="44" fillId="3" borderId="11" xfId="0" applyFont="1" applyFill="1" applyBorder="1" applyAlignment="1">
      <alignment wrapText="1"/>
    </xf>
    <xf numFmtId="0" fontId="44" fillId="3" borderId="12" xfId="0" applyFont="1" applyFill="1" applyBorder="1" applyAlignment="1">
      <alignment wrapText="1"/>
    </xf>
    <xf numFmtId="0" fontId="44" fillId="13" borderId="10" xfId="0" applyFont="1" applyFill="1" applyBorder="1" applyAlignment="1">
      <alignment wrapText="1"/>
    </xf>
    <xf numFmtId="0" fontId="44" fillId="13" borderId="11" xfId="0" applyFont="1" applyFill="1" applyBorder="1" applyAlignment="1">
      <alignment wrapText="1"/>
    </xf>
    <xf numFmtId="0" fontId="44" fillId="13" borderId="12" xfId="0" applyFont="1" applyFill="1" applyBorder="1" applyAlignment="1">
      <alignment wrapText="1"/>
    </xf>
    <xf numFmtId="0" fontId="43" fillId="17" borderId="10" xfId="0" applyFont="1" applyFill="1" applyBorder="1" applyAlignment="1">
      <alignment wrapText="1"/>
    </xf>
    <xf numFmtId="0" fontId="43" fillId="17" borderId="11" xfId="0" applyFont="1" applyFill="1" applyBorder="1" applyAlignment="1">
      <alignment wrapText="1"/>
    </xf>
    <xf numFmtId="164" fontId="0" fillId="0" borderId="0" xfId="1" applyNumberFormat="1" applyFont="1" applyAlignment="1" applyProtection="1">
      <alignment wrapText="1"/>
    </xf>
    <xf numFmtId="10" fontId="0" fillId="0" borderId="0" xfId="2" applyNumberFormat="1" applyFont="1" applyAlignment="1" applyProtection="1">
      <alignment wrapText="1"/>
    </xf>
    <xf numFmtId="164" fontId="0" fillId="0" borderId="0" xfId="1" applyNumberFormat="1" applyFont="1" applyProtection="1"/>
    <xf numFmtId="10" fontId="0" fillId="0" borderId="0" xfId="2" applyNumberFormat="1" applyFont="1" applyProtection="1"/>
    <xf numFmtId="164" fontId="15" fillId="0" borderId="0" xfId="1" applyNumberFormat="1" applyFont="1" applyAlignment="1" applyProtection="1">
      <alignment wrapText="1"/>
    </xf>
    <xf numFmtId="10" fontId="15" fillId="0" borderId="0" xfId="2" applyNumberFormat="1" applyFont="1" applyAlignment="1" applyProtection="1">
      <alignment wrapText="1"/>
    </xf>
    <xf numFmtId="164" fontId="5" fillId="0" borderId="0" xfId="1" applyNumberFormat="1" applyFont="1" applyAlignment="1" applyProtection="1">
      <alignment wrapText="1"/>
    </xf>
    <xf numFmtId="10" fontId="5" fillId="0" borderId="0" xfId="2" applyNumberFormat="1" applyFont="1" applyAlignment="1" applyProtection="1">
      <alignment wrapText="1"/>
    </xf>
    <xf numFmtId="0" fontId="41" fillId="7" borderId="1" xfId="0" applyFont="1" applyFill="1" applyBorder="1" applyAlignment="1">
      <alignment horizontal="center" vertical="center" wrapText="1"/>
    </xf>
    <xf numFmtId="0" fontId="42" fillId="10" borderId="1" xfId="0" applyFont="1" applyFill="1" applyBorder="1" applyAlignment="1">
      <alignment vertical="center" wrapText="1"/>
    </xf>
    <xf numFmtId="0" fontId="42" fillId="19" borderId="1" xfId="0" applyFont="1" applyFill="1" applyBorder="1" applyAlignment="1">
      <alignment vertical="center" wrapText="1"/>
    </xf>
    <xf numFmtId="0" fontId="42" fillId="6" borderId="1" xfId="0" applyFont="1" applyFill="1" applyBorder="1" applyAlignment="1">
      <alignment vertical="center" wrapText="1"/>
    </xf>
    <xf numFmtId="164" fontId="0" fillId="0" borderId="0" xfId="1" applyNumberFormat="1" applyFont="1" applyAlignment="1" applyProtection="1">
      <alignment vertical="center" wrapText="1"/>
    </xf>
    <xf numFmtId="10" fontId="0" fillId="0" borderId="0" xfId="2" applyNumberFormat="1" applyFont="1" applyAlignment="1" applyProtection="1">
      <alignment vertical="center" wrapText="1"/>
    </xf>
    <xf numFmtId="0" fontId="35" fillId="23" borderId="0" xfId="0" applyFont="1" applyFill="1" applyAlignment="1">
      <alignment vertical="center" wrapText="1"/>
    </xf>
    <xf numFmtId="0" fontId="26" fillId="18" borderId="1" xfId="0" applyFont="1" applyFill="1" applyBorder="1" applyAlignment="1">
      <alignment vertical="center" wrapText="1"/>
    </xf>
    <xf numFmtId="0" fontId="36" fillId="7" borderId="1" xfId="0" applyFont="1" applyFill="1" applyBorder="1" applyAlignment="1">
      <alignment horizontal="center" vertical="center" wrapText="1"/>
    </xf>
    <xf numFmtId="0" fontId="45" fillId="0" borderId="1" xfId="0" applyFont="1" applyBorder="1" applyAlignment="1">
      <alignment horizontal="center" vertical="center" wrapText="1"/>
    </xf>
    <xf numFmtId="0" fontId="25" fillId="0" borderId="1" xfId="1" applyNumberFormat="1" applyFont="1" applyFill="1" applyBorder="1" applyAlignment="1" applyProtection="1">
      <alignment horizontal="center" vertical="center" wrapText="1"/>
    </xf>
    <xf numFmtId="0" fontId="25" fillId="9" borderId="1" xfId="0" applyFont="1" applyFill="1" applyBorder="1" applyAlignment="1">
      <alignment vertical="center" wrapText="1"/>
    </xf>
    <xf numFmtId="0" fontId="46" fillId="0" borderId="1" xfId="0" applyFont="1" applyBorder="1" applyAlignment="1">
      <alignment vertical="center" wrapText="1"/>
    </xf>
    <xf numFmtId="0" fontId="0" fillId="9" borderId="1" xfId="0" applyFill="1" applyBorder="1" applyAlignment="1">
      <alignment vertical="center" wrapText="1"/>
    </xf>
    <xf numFmtId="0" fontId="23" fillId="20" borderId="3" xfId="0" applyFont="1" applyFill="1" applyBorder="1" applyAlignment="1">
      <alignment vertical="center" wrapText="1"/>
    </xf>
    <xf numFmtId="0" fontId="38" fillId="0" borderId="3" xfId="0" applyFont="1" applyBorder="1" applyAlignment="1">
      <alignment vertical="center" wrapText="1"/>
    </xf>
    <xf numFmtId="0" fontId="38" fillId="0" borderId="0" xfId="0" applyFont="1" applyAlignment="1">
      <alignment vertical="center" wrapText="1"/>
    </xf>
    <xf numFmtId="164" fontId="9" fillId="0" borderId="0" xfId="1" applyNumberFormat="1" applyFont="1" applyAlignment="1" applyProtection="1">
      <alignment vertical="center" wrapText="1"/>
    </xf>
    <xf numFmtId="10" fontId="9" fillId="0" borderId="0" xfId="2" applyNumberFormat="1" applyFont="1" applyAlignment="1" applyProtection="1">
      <alignment vertical="center" wrapText="1"/>
    </xf>
    <xf numFmtId="0" fontId="6" fillId="0" borderId="1" xfId="3" applyFont="1" applyBorder="1" applyAlignment="1" applyProtection="1">
      <alignment horizontal="center" vertical="center" wrapText="1"/>
      <protection locked="0"/>
    </xf>
    <xf numFmtId="0" fontId="6" fillId="0" borderId="1" xfId="3" applyFont="1" applyBorder="1" applyAlignment="1" applyProtection="1">
      <alignment vertical="center" wrapText="1"/>
      <protection locked="0"/>
    </xf>
    <xf numFmtId="3" fontId="6" fillId="0" borderId="0" xfId="3" applyNumberFormat="1" applyFont="1" applyAlignment="1" applyProtection="1">
      <alignment horizontal="center" vertical="center" wrapText="1"/>
      <protection locked="0"/>
    </xf>
    <xf numFmtId="44" fontId="25" fillId="9" borderId="1" xfId="1" applyFont="1" applyFill="1" applyBorder="1" applyAlignment="1" applyProtection="1">
      <alignment vertical="center" wrapText="1"/>
      <protection locked="0"/>
    </xf>
    <xf numFmtId="0" fontId="25" fillId="7" borderId="1" xfId="0" applyFont="1" applyFill="1" applyBorder="1" applyAlignment="1">
      <alignment vertical="center" wrapText="1"/>
    </xf>
    <xf numFmtId="0" fontId="25" fillId="0" borderId="1" xfId="0" applyFont="1" applyBorder="1" applyAlignment="1" applyProtection="1">
      <alignment horizontal="center" vertical="center" wrapText="1"/>
      <protection locked="0"/>
    </xf>
    <xf numFmtId="0" fontId="25" fillId="7" borderId="1" xfId="0" applyFont="1" applyFill="1" applyBorder="1" applyAlignment="1" applyProtection="1">
      <alignment horizontal="justify" vertical="center" wrapText="1"/>
      <protection locked="0"/>
    </xf>
    <xf numFmtId="164" fontId="47" fillId="10" borderId="1" xfId="1" applyNumberFormat="1" applyFont="1" applyFill="1" applyBorder="1" applyAlignment="1" applyProtection="1">
      <alignment vertical="center" wrapText="1"/>
    </xf>
    <xf numFmtId="164" fontId="47" fillId="19" borderId="1" xfId="1" applyNumberFormat="1" applyFont="1" applyFill="1" applyBorder="1" applyAlignment="1" applyProtection="1">
      <alignment vertical="center" wrapText="1"/>
    </xf>
    <xf numFmtId="164" fontId="47" fillId="6" borderId="1" xfId="1" applyNumberFormat="1" applyFont="1" applyFill="1" applyBorder="1" applyAlignment="1" applyProtection="1">
      <alignment vertical="center" wrapText="1"/>
    </xf>
    <xf numFmtId="164" fontId="47" fillId="15" borderId="1" xfId="1" applyNumberFormat="1" applyFont="1" applyFill="1" applyBorder="1" applyAlignment="1" applyProtection="1">
      <alignment vertical="center" wrapText="1"/>
    </xf>
    <xf numFmtId="164" fontId="47" fillId="15" borderId="1" xfId="1" applyNumberFormat="1" applyFont="1" applyFill="1" applyBorder="1" applyAlignment="1">
      <alignment vertical="center" wrapText="1"/>
    </xf>
    <xf numFmtId="164" fontId="25" fillId="15" borderId="1" xfId="1" applyNumberFormat="1" applyFont="1" applyFill="1" applyBorder="1" applyAlignment="1">
      <alignment vertical="center" wrapText="1"/>
    </xf>
    <xf numFmtId="10" fontId="25" fillId="15" borderId="1" xfId="2" applyNumberFormat="1" applyFont="1" applyFill="1" applyBorder="1" applyAlignment="1" applyProtection="1">
      <alignment horizontal="center" vertical="center" wrapText="1"/>
    </xf>
    <xf numFmtId="0" fontId="25" fillId="20" borderId="3" xfId="0" applyFont="1" applyFill="1" applyBorder="1" applyAlignment="1">
      <alignment horizontal="center" vertical="center" wrapText="1"/>
    </xf>
    <xf numFmtId="0" fontId="18" fillId="20" borderId="3" xfId="0" applyFont="1" applyFill="1" applyBorder="1" applyAlignment="1">
      <alignment horizontal="center" vertical="center" wrapText="1"/>
    </xf>
    <xf numFmtId="0" fontId="35" fillId="23" borderId="0" xfId="0" applyFont="1" applyFill="1" applyAlignment="1">
      <alignment horizontal="center" vertical="center" wrapText="1"/>
    </xf>
    <xf numFmtId="0" fontId="40" fillId="0" borderId="0" xfId="3" applyFont="1" applyAlignment="1">
      <alignment horizontal="center" vertical="center" wrapText="1"/>
    </xf>
    <xf numFmtId="0" fontId="21" fillId="0" borderId="1" xfId="3" applyFont="1" applyBorder="1" applyAlignment="1">
      <alignment horizontal="center" vertic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7" fillId="0" borderId="1"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14" fontId="5" fillId="0" borderId="1" xfId="3" applyNumberFormat="1" applyFont="1" applyBorder="1" applyAlignment="1" applyProtection="1">
      <alignment horizontal="center" vertical="center" wrapText="1"/>
      <protection locked="0"/>
    </xf>
    <xf numFmtId="0" fontId="5" fillId="0" borderId="1" xfId="3" applyFont="1" applyBorder="1" applyAlignment="1" applyProtection="1">
      <alignment horizontal="center" vertical="center" wrapText="1"/>
      <protection locked="0"/>
    </xf>
    <xf numFmtId="0" fontId="6" fillId="0" borderId="1" xfId="3" applyFont="1" applyBorder="1" applyAlignment="1" applyProtection="1">
      <alignment horizontal="left" vertical="center" wrapText="1"/>
      <protection locked="0"/>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44" fontId="12" fillId="4" borderId="2" xfId="0" applyNumberFormat="1" applyFont="1" applyFill="1" applyBorder="1" applyAlignment="1">
      <alignment horizontal="center" vertical="center" wrapText="1"/>
    </xf>
    <xf numFmtId="44" fontId="12" fillId="4" borderId="4" xfId="0" applyNumberFormat="1" applyFont="1" applyFill="1" applyBorder="1" applyAlignment="1">
      <alignment horizontal="center" vertical="center" wrapText="1"/>
    </xf>
    <xf numFmtId="44" fontId="12" fillId="4" borderId="7" xfId="0" applyNumberFormat="1" applyFont="1" applyFill="1" applyBorder="1" applyAlignment="1">
      <alignment horizontal="center" vertical="center" wrapText="1"/>
    </xf>
    <xf numFmtId="44" fontId="12" fillId="4" borderId="8" xfId="0" applyNumberFormat="1" applyFont="1" applyFill="1" applyBorder="1" applyAlignment="1">
      <alignment horizontal="center" vertical="center" wrapText="1"/>
    </xf>
    <xf numFmtId="44" fontId="12" fillId="4" borderId="10" xfId="0" applyNumberFormat="1" applyFont="1" applyFill="1" applyBorder="1" applyAlignment="1">
      <alignment horizontal="center" vertical="center" wrapText="1"/>
    </xf>
    <xf numFmtId="44"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7" fillId="0" borderId="1" xfId="0"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39" fillId="0" borderId="7" xfId="3" applyFont="1" applyBorder="1" applyAlignment="1">
      <alignment horizontal="center" vertical="center" wrapText="1"/>
    </xf>
    <xf numFmtId="0" fontId="39" fillId="0" borderId="0" xfId="3" applyFont="1" applyAlignment="1">
      <alignment horizontal="center" vertical="center" wrapText="1"/>
    </xf>
    <xf numFmtId="0" fontId="39" fillId="0" borderId="10" xfId="3" applyFont="1" applyBorder="1" applyAlignment="1">
      <alignment horizontal="center" vertical="center" wrapText="1"/>
    </xf>
    <xf numFmtId="0" fontId="39" fillId="0" borderId="11" xfId="3" applyFont="1" applyBorder="1" applyAlignment="1">
      <alignment horizontal="center" vertical="center" wrapText="1"/>
    </xf>
    <xf numFmtId="0" fontId="30" fillId="22" borderId="5" xfId="0" applyFont="1" applyFill="1" applyBorder="1" applyAlignment="1">
      <alignment horizontal="center" vertical="center" wrapText="1"/>
    </xf>
    <xf numFmtId="0" fontId="30" fillId="22" borderId="9" xfId="0" applyFont="1" applyFill="1" applyBorder="1" applyAlignment="1">
      <alignment horizontal="center" vertical="center" wrapText="1"/>
    </xf>
    <xf numFmtId="0" fontId="30" fillId="22" borderId="6" xfId="0" applyFont="1" applyFill="1" applyBorder="1" applyAlignment="1">
      <alignment horizontal="center" vertical="center" wrapText="1"/>
    </xf>
    <xf numFmtId="0" fontId="32" fillId="7" borderId="1" xfId="0" applyFont="1" applyFill="1" applyBorder="1" applyAlignment="1">
      <alignment horizontal="right" vertical="center" wrapText="1"/>
    </xf>
    <xf numFmtId="0" fontId="33" fillId="7" borderId="1" xfId="0" applyFont="1" applyFill="1" applyBorder="1" applyAlignment="1">
      <alignment horizontal="center" vertical="center" wrapText="1"/>
    </xf>
    <xf numFmtId="0" fontId="4" fillId="0" borderId="1" xfId="3" applyFont="1" applyBorder="1" applyAlignment="1">
      <alignment horizontal="center" vertical="center" wrapText="1"/>
    </xf>
    <xf numFmtId="0" fontId="27" fillId="0" borderId="5" xfId="3" applyFont="1" applyBorder="1" applyAlignment="1">
      <alignment horizontal="center" vertical="center" wrapText="1"/>
    </xf>
    <xf numFmtId="0" fontId="27" fillId="0" borderId="9" xfId="3" applyFont="1" applyBorder="1" applyAlignment="1">
      <alignment horizontal="center" vertical="center" wrapText="1"/>
    </xf>
    <xf numFmtId="0" fontId="27" fillId="0" borderId="6" xfId="3" applyFont="1" applyBorder="1" applyAlignment="1">
      <alignment horizontal="center" vertical="center" wrapText="1"/>
    </xf>
    <xf numFmtId="0" fontId="28" fillId="0" borderId="25" xfId="0" applyFont="1" applyBorder="1" applyAlignment="1">
      <alignment horizontal="right" vertical="center" wrapText="1"/>
    </xf>
    <xf numFmtId="0" fontId="30" fillId="2" borderId="1" xfId="0" applyFont="1" applyFill="1" applyBorder="1" applyAlignment="1">
      <alignment horizontal="center" vertical="center" wrapText="1"/>
    </xf>
    <xf numFmtId="44" fontId="30" fillId="21" borderId="1" xfId="1" applyFont="1" applyFill="1" applyBorder="1" applyAlignment="1" applyProtection="1">
      <alignment horizontal="center" vertical="center" wrapText="1"/>
    </xf>
    <xf numFmtId="0" fontId="30" fillId="6" borderId="1" xfId="0" applyFont="1" applyFill="1" applyBorder="1" applyAlignment="1">
      <alignment horizontal="center" vertical="center" wrapText="1"/>
    </xf>
    <xf numFmtId="0" fontId="13" fillId="0" borderId="3" xfId="0" applyFont="1" applyBorder="1" applyAlignment="1">
      <alignment horizontal="center" vertical="center" wrapText="1"/>
    </xf>
    <xf numFmtId="0" fontId="17" fillId="20" borderId="9" xfId="0" applyFont="1" applyFill="1" applyBorder="1" applyAlignment="1">
      <alignment horizontal="center" wrapText="1"/>
    </xf>
    <xf numFmtId="42" fontId="17" fillId="20" borderId="9" xfId="0" applyNumberFormat="1" applyFont="1" applyFill="1" applyBorder="1" applyAlignment="1">
      <alignment horizontal="center" wrapText="1"/>
    </xf>
    <xf numFmtId="42" fontId="17" fillId="20" borderId="6" xfId="0" applyNumberFormat="1" applyFont="1" applyFill="1" applyBorder="1" applyAlignment="1">
      <alignment horizontal="center" wrapText="1"/>
    </xf>
    <xf numFmtId="0" fontId="34" fillId="23" borderId="2" xfId="0" applyFont="1" applyFill="1" applyBorder="1" applyAlignment="1">
      <alignment horizontal="center" vertical="center" wrapText="1"/>
    </xf>
    <xf numFmtId="0" fontId="34" fillId="23" borderId="3" xfId="0" applyFont="1" applyFill="1" applyBorder="1" applyAlignment="1">
      <alignment horizontal="center" vertical="center" wrapText="1"/>
    </xf>
    <xf numFmtId="0" fontId="34" fillId="23" borderId="10" xfId="0" applyFont="1" applyFill="1" applyBorder="1" applyAlignment="1">
      <alignment horizontal="center" vertical="center" wrapText="1"/>
    </xf>
    <xf numFmtId="0" fontId="34" fillId="23" borderId="11" xfId="0" applyFont="1" applyFill="1" applyBorder="1" applyAlignment="1">
      <alignment horizontal="center" vertical="center" wrapText="1"/>
    </xf>
    <xf numFmtId="0" fontId="34" fillId="23" borderId="4" xfId="0" applyFont="1" applyFill="1" applyBorder="1" applyAlignment="1">
      <alignment horizontal="center" vertical="center" wrapText="1"/>
    </xf>
    <xf numFmtId="0" fontId="34" fillId="23" borderId="12" xfId="0" applyFont="1" applyFill="1" applyBorder="1" applyAlignment="1">
      <alignment horizontal="center" vertical="center" wrapText="1"/>
    </xf>
  </cellXfs>
  <cellStyles count="6">
    <cellStyle name="Moneda" xfId="1" builtinId="4"/>
    <cellStyle name="Moneda 2" xfId="5" xr:uid="{75B0981C-A423-4011-BD18-749DF74A1E4B}"/>
    <cellStyle name="Normal" xfId="0" builtinId="0"/>
    <cellStyle name="Normal 2" xfId="3" xr:uid="{50A8AE18-0683-449E-B367-B3A5C42370F7}"/>
    <cellStyle name="Normal 3" xfId="4" xr:uid="{B0D1AD6D-97F1-4745-9651-5FE98B42D34C}"/>
    <cellStyle name="Porcentaje" xfId="2" builtinId="5"/>
  </cellStyles>
  <dxfs count="17">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pivotCacheDefinition" Target="pivotCache/pivotCacheDefinition3.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76201</xdr:colOff>
      <xdr:row>3</xdr:row>
      <xdr:rowOff>182006</xdr:rowOff>
    </xdr:from>
    <xdr:to>
      <xdr:col>1</xdr:col>
      <xdr:colOff>1352551</xdr:colOff>
      <xdr:row>5</xdr:row>
      <xdr:rowOff>266701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76201" y="1744106"/>
          <a:ext cx="2457450" cy="2446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1755321</xdr:colOff>
      <xdr:row>5</xdr:row>
      <xdr:rowOff>122464</xdr:rowOff>
    </xdr:from>
    <xdr:to>
      <xdr:col>2</xdr:col>
      <xdr:colOff>2763337</xdr:colOff>
      <xdr:row>6</xdr:row>
      <xdr:rowOff>214993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68826D0-921D-4E42-A5CE-26916BD72EB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2469696" y="1074964"/>
          <a:ext cx="1008016" cy="6640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D33" sheet="Estudio_Mercado"/>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4">
      <sharedItems containsMixedTypes="1" containsNumber="1" containsInteger="1" minValue="0" maxValue="0"/>
    </cacheField>
    <cacheField name="Desviación estandar " numFmtId="44">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4">
      <sharedItems containsMixedTypes="1" containsNumber="1" containsInteger="1" minValue="0" maxValue="0"/>
    </cacheField>
    <cacheField name="Promedio valor total con IVA2" numFmtId="44">
      <sharedItems containsMixedTypes="1" containsNumber="1" containsInteger="1" minValue="0" maxValue="0"/>
    </cacheField>
    <cacheField name="Desviación estandar 2" numFmtId="44">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D32" sheet="Estudio_Mercado"/>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4">
      <sharedItems containsNonDate="0" containsString="0" containsBlank="1"/>
    </cacheField>
    <cacheField name="Valor IVA" numFmtId="165">
      <sharedItems containsSemiMixedTypes="0" containsString="0" containsNumber="1" containsInteger="1" minValue="0" maxValue="0"/>
    </cacheField>
    <cacheField name="Valor unitario con IVA" numFmtId="165">
      <sharedItems containsSemiMixedTypes="0" containsString="0" containsNumber="1" containsInteger="1" minValue="0" maxValue="0"/>
    </cacheField>
    <cacheField name="Valor total Sin IVA" numFmtId="165">
      <sharedItems/>
    </cacheField>
    <cacheField name="Valor total con IVA" numFmtId="165">
      <sharedItems/>
    </cacheField>
    <cacheField name="Empresa Cotizante cotización 2" numFmtId="0">
      <sharedItems containsNonDate="0" containsString="0" containsBlank="1"/>
    </cacheField>
    <cacheField name="Valor unitario sin IVA2" numFmtId="44">
      <sharedItems containsNonDate="0" containsString="0" containsBlank="1"/>
    </cacheField>
    <cacheField name="Valor IVA2" numFmtId="44">
      <sharedItems containsSemiMixedTypes="0" containsString="0" containsNumber="1" containsInteger="1" minValue="0" maxValue="0"/>
    </cacheField>
    <cacheField name="Valor unitario con IVA2" numFmtId="44">
      <sharedItems containsSemiMixedTypes="0" containsString="0" containsNumber="1" containsInteger="1" minValue="0" maxValue="0"/>
    </cacheField>
    <cacheField name="Valor total Sin IVA2" numFmtId="44">
      <sharedItems/>
    </cacheField>
    <cacheField name="Valor total con IVA2" numFmtId="44">
      <sharedItems/>
    </cacheField>
    <cacheField name="Empresa Cotizante cotización 3" numFmtId="0">
      <sharedItems containsNonDate="0" containsString="0" containsBlank="1"/>
    </cacheField>
    <cacheField name="Valor unitario sin IVA3" numFmtId="44">
      <sharedItems containsNonDate="0" containsString="0" containsBlank="1"/>
    </cacheField>
    <cacheField name="Valor IVA3" numFmtId="44">
      <sharedItems containsSemiMixedTypes="0" containsString="0" containsNumber="1" containsInteger="1" minValue="0" maxValue="0"/>
    </cacheField>
    <cacheField name="Valor unitario con IVA3" numFmtId="44">
      <sharedItems containsSemiMixedTypes="0" containsString="0" containsNumber="1" containsInteger="1" minValue="0" maxValue="0"/>
    </cacheField>
    <cacheField name="Valor total Sin IVA3" numFmtId="44">
      <sharedItems/>
    </cacheField>
    <cacheField name="Valor total con IVA3" numFmtId="44">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4">
      <sharedItems containsSemiMixedTypes="0" containsString="0" containsNumber="1" containsInteger="1" minValue="0" maxValue="0"/>
    </cacheField>
    <cacheField name="Valor unitario con IVA4" numFmtId="44">
      <sharedItems containsSemiMixedTypes="0" containsString="0" containsNumber="1" containsInteger="1" minValue="0" maxValue="0"/>
    </cacheField>
    <cacheField name="Valor total Sin IVA4" numFmtId="44">
      <sharedItems/>
    </cacheField>
    <cacheField name="Valor total con IVA4" numFmtId="44">
      <sharedItems/>
    </cacheField>
    <cacheField name="Promedio valor unitario con IVA" numFmtId="44">
      <sharedItems/>
    </cacheField>
    <cacheField name="Promedio valor total con IVA" numFmtId="44">
      <sharedItems/>
    </cacheField>
    <cacheField name="Desviación estandar " numFmtId="44">
      <sharedItems/>
    </cacheField>
    <cacheField name="Coeficiente de variación" numFmtId="9">
      <sharedItems/>
    </cacheField>
    <cacheField name="Promedio valor unitario con IVA2" numFmtId="44">
      <sharedItems/>
    </cacheField>
    <cacheField name="Promedio valor total con IVA2" numFmtId="44">
      <sharedItems/>
    </cacheField>
    <cacheField name="Límite menor" numFmtId="44">
      <sharedItems/>
    </cacheField>
    <cacheField name="Límite mayor" numFmtId="44">
      <sharedItems/>
    </cacheField>
    <cacheField name="Valor Unitario Techo (IVA incluído)" numFmtId="164">
      <sharedItems/>
    </cacheField>
    <cacheField name="Valor Total Techo (IVA incluído)" numFmtId="164">
      <sharedItems/>
    </cacheField>
    <cacheField name="Promedio valor unitario con IVA3" numFmtId="44">
      <sharedItems/>
    </cacheField>
    <cacheField name="Promedio valor total con IVA3" numFmtId="44">
      <sharedItems/>
    </cacheField>
    <cacheField name="Desviación estandar 2" numFmtId="44">
      <sharedItems/>
    </cacheField>
    <cacheField name="Coeficiente de variación2" numFmtId="9">
      <sharedItems/>
    </cacheField>
    <cacheField name="Promedio valor unitario con IVA4" numFmtId="44">
      <sharedItems/>
    </cacheField>
    <cacheField name="Promedio valor total con IVA4" numFmtId="44">
      <sharedItems/>
    </cacheField>
    <cacheField name="Límite menor2" numFmtId="44">
      <sharedItems/>
    </cacheField>
    <cacheField name="Límite mayor2" numFmtId="44">
      <sharedItems/>
    </cacheField>
    <cacheField name="Valor Unitario Techo (IVA incluído)2" numFmtId="164">
      <sharedItems containsSemiMixedTypes="0" containsString="0" containsNumber="1" containsInteger="1" minValue="0" maxValue="0"/>
    </cacheField>
    <cacheField name="Valor Total Techo (IVA incluído)2" numFmtId="164">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10:AS32" sheet="Estudio_Mercado"/>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4">
      <sharedItems containsNonDate="0" containsString="0" containsBlank="1"/>
    </cacheField>
    <cacheField name="Valor total que el proponente no podrá modificar en su oferta" numFmtId="164">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4">
      <sharedItems/>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2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19"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18"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pageSetUpPr fitToPage="1"/>
  </sheetPr>
  <dimension ref="A3:CV48"/>
  <sheetViews>
    <sheetView view="pageBreakPreview" topLeftCell="Q3" zoomScale="40" zoomScaleNormal="40" zoomScaleSheetLayoutView="40" workbookViewId="0">
      <selection activeCell="A44" sqref="A44:I44"/>
    </sheetView>
  </sheetViews>
  <sheetFormatPr baseColWidth="10" defaultColWidth="11.375" defaultRowHeight="14.25"/>
  <cols>
    <col min="1" max="1" width="17.125" style="3" customWidth="1"/>
    <col min="2" max="2" width="24.375" style="3" customWidth="1"/>
    <col min="3" max="3" width="52.375" style="3" customWidth="1"/>
    <col min="4" max="4" width="84.25" style="3" customWidth="1"/>
    <col min="5" max="7" width="28.375" style="3" customWidth="1"/>
    <col min="8" max="8" width="31.375" style="3" customWidth="1"/>
    <col min="9" max="9" width="25.375" style="3" customWidth="1"/>
    <col min="10" max="10" width="33.375" style="3" bestFit="1" customWidth="1"/>
    <col min="11" max="13" width="25.375" style="3" customWidth="1"/>
    <col min="14" max="14" width="39" style="3" customWidth="1"/>
    <col min="15" max="15" width="29.875" style="3" bestFit="1" customWidth="1"/>
    <col min="16" max="16" width="24.375" style="3" customWidth="1"/>
    <col min="17" max="17" width="29.875" style="3" bestFit="1" customWidth="1"/>
    <col min="18" max="18" width="30.375" style="3" bestFit="1" customWidth="1"/>
    <col min="19" max="19" width="31.125" style="3" bestFit="1" customWidth="1"/>
    <col min="20" max="20" width="52.375" style="3" bestFit="1" customWidth="1"/>
    <col min="21" max="21" width="29.875" style="3" bestFit="1" customWidth="1"/>
    <col min="22" max="22" width="23.625" style="3" bestFit="1" customWidth="1"/>
    <col min="23" max="23" width="29.875" style="3" bestFit="1" customWidth="1"/>
    <col min="24" max="24" width="30.375" style="3" bestFit="1" customWidth="1"/>
    <col min="25" max="25" width="31.125" style="3" bestFit="1" customWidth="1"/>
    <col min="26" max="26" width="33" style="3" bestFit="1" customWidth="1"/>
    <col min="27" max="27" width="35" style="3" bestFit="1" customWidth="1"/>
    <col min="28" max="28" width="35.125" style="3" bestFit="1" customWidth="1"/>
    <col min="29" max="29" width="24.375" style="3" customWidth="1"/>
    <col min="30" max="30" width="56.375" style="3" customWidth="1"/>
    <col min="31" max="31" width="18.625" style="3" customWidth="1"/>
    <col min="32" max="32" width="39.375" style="3" customWidth="1"/>
    <col min="33" max="55" width="11.375" style="3" customWidth="1"/>
    <col min="56" max="56" width="5.375" style="3" customWidth="1"/>
    <col min="57" max="78" width="11.375" style="3" customWidth="1"/>
    <col min="79" max="79" width="26.375" style="3" customWidth="1"/>
    <col min="80" max="80" width="40.375" style="3" customWidth="1"/>
    <col min="81" max="81" width="11.375" style="3" customWidth="1"/>
    <col min="82" max="83" width="11.375" style="133" customWidth="1"/>
    <col min="84" max="84" width="11.375" style="3" customWidth="1"/>
    <col min="85" max="86" width="11.375" style="133" customWidth="1"/>
    <col min="87" max="87" width="11.375" style="3" customWidth="1"/>
    <col min="88" max="88" width="18.875" style="133" bestFit="1" customWidth="1"/>
    <col min="89" max="89" width="11.375" style="133" customWidth="1"/>
    <col min="90" max="90" width="12.75" style="133" bestFit="1" customWidth="1"/>
    <col min="91" max="91" width="11.375" style="134" customWidth="1"/>
    <col min="92" max="92" width="24.125" style="3" customWidth="1"/>
    <col min="93" max="96" width="15.125" style="3" customWidth="1"/>
    <col min="97" max="97" width="11.125" style="3" customWidth="1"/>
    <col min="98" max="100" width="15.125" style="3" customWidth="1"/>
    <col min="101" max="16384" width="11.375" style="3"/>
  </cols>
  <sheetData>
    <row r="3" spans="1:100" s="1" customFormat="1" ht="90.75">
      <c r="A3" s="179" t="s">
        <v>0</v>
      </c>
      <c r="B3" s="179"/>
      <c r="C3" s="179"/>
      <c r="D3" s="179"/>
      <c r="E3" s="179"/>
      <c r="F3" s="179"/>
      <c r="G3" s="179"/>
      <c r="H3" s="179"/>
      <c r="I3" s="179"/>
      <c r="J3" s="179"/>
      <c r="K3" s="179"/>
      <c r="L3" s="179"/>
      <c r="M3" s="179"/>
      <c r="N3" s="178" t="s">
        <v>1</v>
      </c>
      <c r="O3" s="178"/>
      <c r="P3" s="178"/>
      <c r="Q3" s="178"/>
      <c r="R3" s="178"/>
      <c r="S3" s="178"/>
      <c r="T3" s="178"/>
      <c r="U3" s="178"/>
      <c r="V3" s="178"/>
      <c r="W3" s="178"/>
      <c r="X3" s="33"/>
      <c r="Y3" s="33"/>
      <c r="Z3" s="33"/>
      <c r="AA3" s="33"/>
      <c r="AB3" s="33"/>
      <c r="AC3" s="33"/>
    </row>
    <row r="4" spans="1:100" s="2" customFormat="1" ht="90.75">
      <c r="A4" s="180"/>
      <c r="B4" s="180"/>
      <c r="C4" s="45" t="s">
        <v>2</v>
      </c>
      <c r="D4" s="181" t="s">
        <v>3</v>
      </c>
      <c r="E4" s="181"/>
      <c r="F4" s="181"/>
      <c r="G4" s="181"/>
      <c r="H4" s="181"/>
      <c r="I4" s="181"/>
      <c r="J4" s="182" t="s">
        <v>4</v>
      </c>
      <c r="K4" s="182"/>
      <c r="L4" s="183">
        <v>46282</v>
      </c>
      <c r="M4" s="184"/>
      <c r="N4" s="178"/>
      <c r="O4" s="178"/>
      <c r="P4" s="178"/>
      <c r="Q4" s="178"/>
      <c r="R4" s="178"/>
      <c r="S4" s="178"/>
      <c r="T4" s="178"/>
      <c r="U4" s="178"/>
      <c r="V4" s="178"/>
      <c r="W4" s="178"/>
      <c r="Z4" s="177" t="s">
        <v>5</v>
      </c>
      <c r="AA4" s="177"/>
      <c r="AB4" s="73">
        <f>IF(B11="","",AA33)</f>
        <v>1267873817</v>
      </c>
      <c r="AC4" s="38"/>
    </row>
    <row r="5" spans="1:100" s="2" customFormat="1" ht="90.75">
      <c r="A5" s="180"/>
      <c r="B5" s="180"/>
      <c r="C5" s="45" t="s">
        <v>6</v>
      </c>
      <c r="D5" s="185" t="s">
        <v>7</v>
      </c>
      <c r="E5" s="185"/>
      <c r="F5" s="185"/>
      <c r="G5" s="185"/>
      <c r="H5" s="185"/>
      <c r="I5" s="185"/>
      <c r="J5" s="185"/>
      <c r="K5" s="185"/>
      <c r="L5" s="185"/>
      <c r="M5" s="185"/>
      <c r="N5" s="178"/>
      <c r="O5" s="178"/>
      <c r="P5" s="178"/>
      <c r="Q5" s="178"/>
      <c r="R5" s="178"/>
      <c r="S5" s="178"/>
      <c r="T5" s="178"/>
      <c r="U5" s="178"/>
      <c r="V5" s="178"/>
      <c r="W5" s="178"/>
      <c r="Z5" s="177" t="s">
        <v>8</v>
      </c>
      <c r="AA5" s="177"/>
      <c r="AB5" s="73">
        <f>+J44</f>
        <v>154392000</v>
      </c>
      <c r="AC5" s="38"/>
      <c r="AD5" s="109" t="s">
        <v>9</v>
      </c>
    </row>
    <row r="6" spans="1:100" s="2" customFormat="1" ht="30">
      <c r="A6" s="180"/>
      <c r="B6" s="180"/>
      <c r="C6" s="81" t="s">
        <v>10</v>
      </c>
      <c r="D6" s="160"/>
      <c r="E6" s="161" t="s">
        <v>11</v>
      </c>
      <c r="F6" s="181" t="s">
        <v>12</v>
      </c>
      <c r="G6" s="181"/>
      <c r="H6" s="181"/>
      <c r="I6" s="181"/>
      <c r="J6" s="181"/>
      <c r="K6" s="181"/>
      <c r="L6" s="181"/>
      <c r="M6" s="181"/>
      <c r="N6" s="178"/>
      <c r="O6" s="178"/>
      <c r="P6" s="178"/>
      <c r="Q6" s="178"/>
      <c r="R6" s="178"/>
      <c r="S6" s="178"/>
      <c r="T6" s="178"/>
      <c r="U6" s="178"/>
      <c r="V6" s="178"/>
      <c r="W6" s="178"/>
      <c r="Z6" s="177" t="s">
        <v>13</v>
      </c>
      <c r="AA6" s="177"/>
      <c r="AB6" s="74">
        <f>IF(B11="","",(AB4+AB5))</f>
        <v>1422265817</v>
      </c>
      <c r="AD6" s="162"/>
      <c r="AE6" s="79"/>
      <c r="CA6">
        <v>1</v>
      </c>
      <c r="CB6">
        <v>2</v>
      </c>
      <c r="CC6">
        <v>10</v>
      </c>
      <c r="CD6">
        <v>14</v>
      </c>
      <c r="CE6"/>
      <c r="CF6">
        <v>23</v>
      </c>
      <c r="CG6">
        <v>29</v>
      </c>
      <c r="CH6"/>
      <c r="CI6">
        <v>36</v>
      </c>
      <c r="CJ6">
        <v>40</v>
      </c>
      <c r="CN6" s="2">
        <v>48</v>
      </c>
    </row>
    <row r="7" spans="1:100" ht="30">
      <c r="A7" s="108"/>
      <c r="B7" s="108"/>
      <c r="C7" s="108"/>
      <c r="D7" s="108"/>
      <c r="E7" s="108"/>
      <c r="F7" s="108"/>
      <c r="G7" s="108"/>
      <c r="H7" s="108"/>
      <c r="I7" s="108"/>
      <c r="J7" s="108"/>
      <c r="K7" s="108"/>
      <c r="L7" s="108"/>
      <c r="M7" s="108"/>
      <c r="N7" s="108"/>
      <c r="O7" s="108"/>
      <c r="CA7" t="s">
        <v>14</v>
      </c>
      <c r="CB7" t="s">
        <v>15</v>
      </c>
      <c r="CC7" t="s">
        <v>16</v>
      </c>
      <c r="CD7" s="135" t="s">
        <v>17</v>
      </c>
      <c r="CE7" s="135"/>
      <c r="CF7" t="s">
        <v>18</v>
      </c>
      <c r="CG7" s="135" t="s">
        <v>19</v>
      </c>
      <c r="CH7" s="135"/>
      <c r="CI7" t="s">
        <v>20</v>
      </c>
      <c r="CJ7" s="135" t="s">
        <v>21</v>
      </c>
      <c r="CK7" s="135"/>
      <c r="CL7" s="135"/>
      <c r="CM7" s="136"/>
      <c r="CN7" t="s">
        <v>22</v>
      </c>
    </row>
    <row r="8" spans="1:100">
      <c r="A8" s="4"/>
      <c r="J8" s="16"/>
      <c r="K8" s="16"/>
      <c r="L8" s="16"/>
      <c r="M8" s="16"/>
      <c r="P8" s="16"/>
      <c r="Q8" s="16"/>
      <c r="R8" s="16"/>
      <c r="S8" s="16"/>
      <c r="V8" s="16"/>
      <c r="W8" s="16"/>
      <c r="X8" s="16"/>
      <c r="Y8" s="16"/>
      <c r="Z8" s="16"/>
    </row>
    <row r="9" spans="1:100" s="18" customFormat="1" ht="18">
      <c r="A9" s="110"/>
      <c r="B9" s="110"/>
      <c r="C9" s="110"/>
      <c r="D9" s="110"/>
      <c r="E9" s="110"/>
      <c r="F9" s="110"/>
      <c r="G9" s="110"/>
      <c r="H9" s="122" t="s">
        <v>23</v>
      </c>
      <c r="I9" s="123"/>
      <c r="J9" s="123"/>
      <c r="K9" s="123"/>
      <c r="L9" s="123"/>
      <c r="M9" s="124"/>
      <c r="N9" s="125" t="s">
        <v>24</v>
      </c>
      <c r="O9" s="126"/>
      <c r="P9" s="126"/>
      <c r="Q9" s="126"/>
      <c r="R9" s="126"/>
      <c r="S9" s="127"/>
      <c r="T9" s="128" t="s">
        <v>25</v>
      </c>
      <c r="U9" s="129"/>
      <c r="V9" s="129"/>
      <c r="W9" s="129"/>
      <c r="X9" s="129"/>
      <c r="Y9" s="130"/>
      <c r="Z9" s="131" t="s">
        <v>26</v>
      </c>
      <c r="AA9" s="117"/>
      <c r="AB9" s="117"/>
      <c r="AC9" s="132"/>
      <c r="AD9" s="110"/>
      <c r="CA9" s="18" t="s">
        <v>27</v>
      </c>
      <c r="CD9" s="137"/>
      <c r="CE9" s="137"/>
      <c r="CG9" s="137"/>
      <c r="CH9" s="137"/>
      <c r="CJ9" s="137"/>
      <c r="CK9" s="137"/>
      <c r="CL9" s="137"/>
      <c r="CM9" s="138"/>
      <c r="CN9" s="18" t="s">
        <v>28</v>
      </c>
    </row>
    <row r="10" spans="1:100" s="82" customFormat="1" ht="116.25">
      <c r="A10" s="111" t="s">
        <v>29</v>
      </c>
      <c r="B10" s="111" t="s">
        <v>30</v>
      </c>
      <c r="C10" s="111" t="s">
        <v>31</v>
      </c>
      <c r="D10" s="111" t="s">
        <v>15</v>
      </c>
      <c r="E10" s="111" t="s">
        <v>32</v>
      </c>
      <c r="F10" s="111" t="s">
        <v>33</v>
      </c>
      <c r="G10" s="111" t="s">
        <v>34</v>
      </c>
      <c r="H10" s="112" t="s">
        <v>16</v>
      </c>
      <c r="I10" s="112" t="s">
        <v>21</v>
      </c>
      <c r="J10" s="112" t="s">
        <v>35</v>
      </c>
      <c r="K10" s="112" t="s">
        <v>19</v>
      </c>
      <c r="L10" s="112" t="s">
        <v>36</v>
      </c>
      <c r="M10" s="112" t="s">
        <v>37</v>
      </c>
      <c r="N10" s="111" t="s">
        <v>18</v>
      </c>
      <c r="O10" s="111" t="s">
        <v>21</v>
      </c>
      <c r="P10" s="111" t="s">
        <v>38</v>
      </c>
      <c r="Q10" s="111" t="s">
        <v>19</v>
      </c>
      <c r="R10" s="111" t="s">
        <v>36</v>
      </c>
      <c r="S10" s="111" t="s">
        <v>37</v>
      </c>
      <c r="T10" s="113" t="s">
        <v>20</v>
      </c>
      <c r="U10" s="113" t="s">
        <v>21</v>
      </c>
      <c r="V10" s="113" t="s">
        <v>39</v>
      </c>
      <c r="W10" s="113" t="s">
        <v>19</v>
      </c>
      <c r="X10" s="113" t="s">
        <v>36</v>
      </c>
      <c r="Y10" s="113" t="s">
        <v>37</v>
      </c>
      <c r="Z10" s="112" t="s">
        <v>40</v>
      </c>
      <c r="AA10" s="112" t="s">
        <v>41</v>
      </c>
      <c r="AB10" s="112" t="s">
        <v>42</v>
      </c>
      <c r="AC10" s="112" t="s">
        <v>22</v>
      </c>
      <c r="AD10" s="114" t="s">
        <v>43</v>
      </c>
      <c r="CA10" s="82" t="s">
        <v>44</v>
      </c>
      <c r="CB10" s="82" t="s">
        <v>45</v>
      </c>
      <c r="CC10" s="82" t="s">
        <v>46</v>
      </c>
      <c r="CD10" s="139" t="s">
        <v>47</v>
      </c>
      <c r="CE10" s="139"/>
      <c r="CF10" s="82" t="s">
        <v>48</v>
      </c>
      <c r="CG10" s="139" t="s">
        <v>49</v>
      </c>
      <c r="CH10" s="139"/>
      <c r="CI10" s="82" t="s">
        <v>50</v>
      </c>
      <c r="CJ10" s="139" t="s">
        <v>51</v>
      </c>
      <c r="CK10" s="139"/>
      <c r="CL10" s="139"/>
      <c r="CM10" s="140" t="s">
        <v>52</v>
      </c>
      <c r="CN10" s="82" t="s">
        <v>44</v>
      </c>
      <c r="CO10" s="82" t="s">
        <v>45</v>
      </c>
      <c r="CP10" s="82" t="s">
        <v>46</v>
      </c>
      <c r="CQ10" s="82" t="s">
        <v>47</v>
      </c>
      <c r="CR10" s="82" t="s">
        <v>48</v>
      </c>
      <c r="CS10" s="82" t="s">
        <v>49</v>
      </c>
      <c r="CT10" s="82" t="s">
        <v>50</v>
      </c>
      <c r="CU10" s="82" t="s">
        <v>51</v>
      </c>
      <c r="CV10" s="82" t="s">
        <v>52</v>
      </c>
    </row>
    <row r="11" spans="1:100" s="7" customFormat="1" ht="110.25" customHeight="1">
      <c r="A11" s="118">
        <v>1</v>
      </c>
      <c r="B11" s="141" t="s">
        <v>53</v>
      </c>
      <c r="C11" s="164" t="s">
        <v>54</v>
      </c>
      <c r="D11" s="115" t="s">
        <v>55</v>
      </c>
      <c r="E11" s="149" t="s">
        <v>56</v>
      </c>
      <c r="F11" s="165">
        <v>76</v>
      </c>
      <c r="G11" s="166" t="s">
        <v>57</v>
      </c>
      <c r="H11" s="142" t="s">
        <v>58</v>
      </c>
      <c r="I11" s="167">
        <v>19980</v>
      </c>
      <c r="J11" s="167">
        <f t="shared" ref="J11:J12" si="0">I11*19%</f>
        <v>3796.2</v>
      </c>
      <c r="K11" s="167">
        <f t="shared" ref="K11:K15" si="1">I11+J11</f>
        <v>23776.2</v>
      </c>
      <c r="L11" s="167">
        <f>I11*F11</f>
        <v>1518480</v>
      </c>
      <c r="M11" s="167">
        <f>K11*F11</f>
        <v>1806991.2</v>
      </c>
      <c r="N11" s="143" t="s">
        <v>59</v>
      </c>
      <c r="O11" s="168">
        <v>18000</v>
      </c>
      <c r="P11" s="168"/>
      <c r="Q11" s="168">
        <f t="shared" ref="Q11:Q15" si="2">O11+P11</f>
        <v>18000</v>
      </c>
      <c r="R11" s="168">
        <f>O11*F11</f>
        <v>1368000</v>
      </c>
      <c r="S11" s="168">
        <f>Q11*F11</f>
        <v>1368000</v>
      </c>
      <c r="T11" s="144" t="s">
        <v>60</v>
      </c>
      <c r="U11" s="169">
        <v>18000</v>
      </c>
      <c r="V11" s="169"/>
      <c r="W11" s="169">
        <f t="shared" ref="W11:W15" si="3">U11+V11</f>
        <v>18000</v>
      </c>
      <c r="X11" s="169">
        <f>U11*F11</f>
        <v>1368000</v>
      </c>
      <c r="Y11" s="169">
        <f>W11*F11</f>
        <v>1368000</v>
      </c>
      <c r="Z11" s="170">
        <f t="shared" ref="Z11:Z15" si="4">IF(A11="","",ROUND(AVERAGE(K11,Q11,W11),0))</f>
        <v>19925</v>
      </c>
      <c r="AA11" s="171">
        <f t="shared" ref="AA11:AA15" si="5">IF(B11="","",Z11*F11)</f>
        <v>1514300</v>
      </c>
      <c r="AB11" s="172">
        <f t="shared" ref="AB11:AB15" si="6">IF(B11="","",ROUND(STDEV(M11,S11,Y11),0))</f>
        <v>253452</v>
      </c>
      <c r="AC11" s="173">
        <f t="shared" ref="AC11:AC15" si="7">IF(B11="","",(AB11/AA11))</f>
        <v>0.16737238327940301</v>
      </c>
      <c r="AD11" s="115"/>
      <c r="BG11" s="7">
        <v>1</v>
      </c>
      <c r="CA11" s="7" t="e">
        <f>VLOOKUP(C11,#REF!,1,0)</f>
        <v>#REF!</v>
      </c>
      <c r="CB11" s="7" t="e">
        <f>VLOOKUP(C11,#REF!,2,0)</f>
        <v>#REF!</v>
      </c>
      <c r="CC11" s="7" t="e">
        <f>VLOOKUP(C11,#REF!,10,0)</f>
        <v>#REF!</v>
      </c>
      <c r="CD11" s="145" t="e">
        <f>VLOOKUP(C11,#REF!,14,0)</f>
        <v>#REF!</v>
      </c>
      <c r="CE11" s="145" t="e">
        <f>VLOOKUP(C11,#REF!,15,0)</f>
        <v>#REF!</v>
      </c>
      <c r="CF11" s="7" t="e">
        <f>VLOOKUP(C11,#REF!,23,0)</f>
        <v>#REF!</v>
      </c>
      <c r="CG11" s="145" t="e">
        <f>VLOOKUP(C11,#REF!,27,0)</f>
        <v>#REF!</v>
      </c>
      <c r="CH11" s="145" t="e">
        <f>VLOOKUP(C11,#REF!,28,0)</f>
        <v>#REF!</v>
      </c>
      <c r="CI11" s="7" t="e">
        <f>VLOOKUP(C11,#REF!,36,0)</f>
        <v>#REF!</v>
      </c>
      <c r="CJ11" s="145" t="e">
        <f>VLOOKUP(C11,#REF!,40,0)</f>
        <v>#REF!</v>
      </c>
      <c r="CK11" s="145" t="e">
        <f>VLOOKUP(C11,#REF!,41,0)</f>
        <v>#REF!</v>
      </c>
      <c r="CL11" s="145" t="e">
        <f>VLOOKUP(C11,#REF!,45,0)</f>
        <v>#REF!</v>
      </c>
      <c r="CM11" s="146" t="e">
        <f>VLOOKUP(C11,#REF!,48,0)</f>
        <v>#REF!</v>
      </c>
      <c r="CN11" s="7" t="e">
        <f t="shared" ref="CN11:CN32" si="8">CA11=C11</f>
        <v>#REF!</v>
      </c>
      <c r="CO11" s="7" t="e">
        <f t="shared" ref="CO11:CO32" si="9">CB11=D11</f>
        <v>#REF!</v>
      </c>
      <c r="CP11" s="7" t="e">
        <f t="shared" ref="CP11:CP32" si="10">CC11=H11</f>
        <v>#REF!</v>
      </c>
      <c r="CQ11" s="7" t="e">
        <f t="shared" ref="CQ11:CQ32" si="11">CD11=I11</f>
        <v>#REF!</v>
      </c>
      <c r="CR11" s="7" t="e">
        <f t="shared" ref="CR11:CR32" si="12">CF11=N11</f>
        <v>#REF!</v>
      </c>
      <c r="CS11" s="7" t="e">
        <f t="shared" ref="CS11:CS32" si="13">CG11=O11</f>
        <v>#REF!</v>
      </c>
      <c r="CT11" s="7" t="e">
        <f t="shared" ref="CT11:CT32" si="14">CI11=T11</f>
        <v>#REF!</v>
      </c>
      <c r="CU11" s="7" t="e">
        <f t="shared" ref="CU11:CU32" si="15">CJ11=U11</f>
        <v>#REF!</v>
      </c>
      <c r="CV11" s="7" t="e">
        <f t="shared" ref="CV11:CV32" si="16">CM11=AC11</f>
        <v>#REF!</v>
      </c>
    </row>
    <row r="12" spans="1:100" s="7" customFormat="1" ht="84.75" customHeight="1">
      <c r="A12" s="118">
        <v>2</v>
      </c>
      <c r="B12" s="141" t="s">
        <v>53</v>
      </c>
      <c r="C12" s="164" t="s">
        <v>61</v>
      </c>
      <c r="D12" s="115" t="s">
        <v>62</v>
      </c>
      <c r="E12" s="149" t="s">
        <v>56</v>
      </c>
      <c r="F12" s="165">
        <v>105</v>
      </c>
      <c r="G12" s="166" t="s">
        <v>57</v>
      </c>
      <c r="H12" s="142" t="s">
        <v>63</v>
      </c>
      <c r="I12" s="167">
        <v>800</v>
      </c>
      <c r="J12" s="167">
        <f t="shared" si="0"/>
        <v>152</v>
      </c>
      <c r="K12" s="167">
        <f t="shared" si="1"/>
        <v>952</v>
      </c>
      <c r="L12" s="167">
        <f>I12*F12</f>
        <v>84000</v>
      </c>
      <c r="M12" s="167">
        <f t="shared" ref="M12:M18" si="17">K12*F12</f>
        <v>99960</v>
      </c>
      <c r="N12" s="143" t="s">
        <v>64</v>
      </c>
      <c r="O12" s="168">
        <v>900</v>
      </c>
      <c r="P12" s="168">
        <f t="shared" ref="P12" si="18">O12*19%</f>
        <v>171</v>
      </c>
      <c r="Q12" s="168">
        <f t="shared" si="2"/>
        <v>1071</v>
      </c>
      <c r="R12" s="168">
        <f>O12*F12</f>
        <v>94500</v>
      </c>
      <c r="S12" s="168">
        <f t="shared" ref="S12:S18" si="19">Q12*F12</f>
        <v>112455</v>
      </c>
      <c r="T12" s="144" t="s">
        <v>65</v>
      </c>
      <c r="U12" s="169">
        <v>950</v>
      </c>
      <c r="V12" s="169"/>
      <c r="W12" s="169">
        <f t="shared" si="3"/>
        <v>950</v>
      </c>
      <c r="X12" s="169">
        <f>U12*F12</f>
        <v>99750</v>
      </c>
      <c r="Y12" s="169">
        <f>W12*F12</f>
        <v>99750</v>
      </c>
      <c r="Z12" s="170">
        <f t="shared" si="4"/>
        <v>991</v>
      </c>
      <c r="AA12" s="171">
        <f t="shared" si="5"/>
        <v>104055</v>
      </c>
      <c r="AB12" s="172">
        <f t="shared" si="6"/>
        <v>7275</v>
      </c>
      <c r="AC12" s="173">
        <f t="shared" si="7"/>
        <v>6.9914948825140544E-2</v>
      </c>
      <c r="AD12" s="115"/>
      <c r="BG12" s="7">
        <v>2</v>
      </c>
      <c r="CA12" s="7" t="e">
        <f>VLOOKUP(C12,#REF!,1,0)</f>
        <v>#REF!</v>
      </c>
      <c r="CB12" s="7" t="e">
        <f>VLOOKUP(C12,#REF!,2,0)</f>
        <v>#REF!</v>
      </c>
      <c r="CC12" s="7" t="e">
        <f>VLOOKUP(C12,#REF!,10,0)</f>
        <v>#REF!</v>
      </c>
      <c r="CD12" s="145" t="e">
        <f>VLOOKUP(C12,#REF!,14,0)</f>
        <v>#REF!</v>
      </c>
      <c r="CE12" s="145" t="e">
        <f>VLOOKUP(C12,#REF!,15,0)</f>
        <v>#REF!</v>
      </c>
      <c r="CF12" s="7" t="e">
        <f>VLOOKUP(C12,#REF!,23,0)</f>
        <v>#REF!</v>
      </c>
      <c r="CG12" s="145" t="e">
        <f>VLOOKUP(C12,#REF!,27,0)</f>
        <v>#REF!</v>
      </c>
      <c r="CH12" s="145" t="e">
        <f>VLOOKUP(C12,#REF!,28,0)</f>
        <v>#REF!</v>
      </c>
      <c r="CI12" s="7" t="e">
        <f>VLOOKUP(C12,#REF!,36,0)</f>
        <v>#REF!</v>
      </c>
      <c r="CJ12" s="145" t="e">
        <f>VLOOKUP(C12,#REF!,40,0)</f>
        <v>#REF!</v>
      </c>
      <c r="CK12" s="145" t="e">
        <f>VLOOKUP(C12,#REF!,41,0)</f>
        <v>#REF!</v>
      </c>
      <c r="CL12" s="145" t="e">
        <f>VLOOKUP(C12,#REF!,45,0)</f>
        <v>#REF!</v>
      </c>
      <c r="CM12" s="146" t="e">
        <f>VLOOKUP(C12,#REF!,48,0)</f>
        <v>#REF!</v>
      </c>
      <c r="CN12" s="7" t="e">
        <f t="shared" si="8"/>
        <v>#REF!</v>
      </c>
      <c r="CO12" s="7" t="e">
        <f t="shared" si="9"/>
        <v>#REF!</v>
      </c>
      <c r="CP12" s="7" t="e">
        <f t="shared" si="10"/>
        <v>#REF!</v>
      </c>
      <c r="CQ12" s="7" t="e">
        <f t="shared" si="11"/>
        <v>#REF!</v>
      </c>
      <c r="CR12" s="7" t="e">
        <f t="shared" si="12"/>
        <v>#REF!</v>
      </c>
      <c r="CS12" s="7" t="e">
        <f t="shared" si="13"/>
        <v>#REF!</v>
      </c>
      <c r="CT12" s="7" t="e">
        <f t="shared" si="14"/>
        <v>#REF!</v>
      </c>
      <c r="CU12" s="7" t="e">
        <f t="shared" si="15"/>
        <v>#REF!</v>
      </c>
      <c r="CV12" s="7" t="e">
        <f t="shared" si="16"/>
        <v>#REF!</v>
      </c>
    </row>
    <row r="13" spans="1:100" s="7" customFormat="1" ht="293.25" customHeight="1">
      <c r="A13" s="118">
        <v>3</v>
      </c>
      <c r="B13" s="141" t="s">
        <v>53</v>
      </c>
      <c r="C13" s="164" t="s">
        <v>66</v>
      </c>
      <c r="D13" s="115" t="s">
        <v>67</v>
      </c>
      <c r="E13" s="149" t="s">
        <v>56</v>
      </c>
      <c r="F13" s="165">
        <v>1</v>
      </c>
      <c r="G13" s="166" t="s">
        <v>68</v>
      </c>
      <c r="H13" s="142" t="s">
        <v>69</v>
      </c>
      <c r="I13" s="167">
        <v>22000000</v>
      </c>
      <c r="J13" s="167">
        <f>I13*19%</f>
        <v>4180000</v>
      </c>
      <c r="K13" s="167">
        <f t="shared" si="1"/>
        <v>26180000</v>
      </c>
      <c r="L13" s="167">
        <f>I13*F13</f>
        <v>22000000</v>
      </c>
      <c r="M13" s="167">
        <f t="shared" si="17"/>
        <v>26180000</v>
      </c>
      <c r="N13" s="143" t="s">
        <v>70</v>
      </c>
      <c r="O13" s="168">
        <v>23343000</v>
      </c>
      <c r="P13" s="168">
        <f>0</f>
        <v>0</v>
      </c>
      <c r="Q13" s="168">
        <f t="shared" si="2"/>
        <v>23343000</v>
      </c>
      <c r="R13" s="168">
        <f>O13*F13</f>
        <v>23343000</v>
      </c>
      <c r="S13" s="168">
        <f t="shared" si="19"/>
        <v>23343000</v>
      </c>
      <c r="T13" s="144" t="s">
        <v>71</v>
      </c>
      <c r="U13" s="169">
        <v>24200000</v>
      </c>
      <c r="V13" s="169">
        <f>U13*19%</f>
        <v>4598000</v>
      </c>
      <c r="W13" s="169">
        <f t="shared" si="3"/>
        <v>28798000</v>
      </c>
      <c r="X13" s="169">
        <f>U13*F13</f>
        <v>24200000</v>
      </c>
      <c r="Y13" s="169">
        <f>W13*F13</f>
        <v>28798000</v>
      </c>
      <c r="Z13" s="170">
        <f t="shared" si="4"/>
        <v>26107000</v>
      </c>
      <c r="AA13" s="171">
        <f t="shared" si="5"/>
        <v>26107000</v>
      </c>
      <c r="AB13" s="172">
        <f t="shared" si="6"/>
        <v>2728233</v>
      </c>
      <c r="AC13" s="173">
        <f t="shared" si="7"/>
        <v>0.10450197265101314</v>
      </c>
      <c r="AD13" s="115"/>
      <c r="BG13" s="7">
        <v>3</v>
      </c>
      <c r="CA13" s="7" t="e">
        <f>VLOOKUP(C13,#REF!,1,0)</f>
        <v>#REF!</v>
      </c>
      <c r="CB13" s="7" t="e">
        <f>VLOOKUP(C13,#REF!,2,0)</f>
        <v>#REF!</v>
      </c>
      <c r="CC13" s="7" t="e">
        <f>VLOOKUP(C13,#REF!,10,0)</f>
        <v>#REF!</v>
      </c>
      <c r="CD13" s="145" t="e">
        <f>VLOOKUP(C13,#REF!,14,0)</f>
        <v>#REF!</v>
      </c>
      <c r="CE13" s="145" t="e">
        <f>VLOOKUP(C13,#REF!,15,0)</f>
        <v>#REF!</v>
      </c>
      <c r="CF13" s="7" t="e">
        <f>VLOOKUP(C13,#REF!,23,0)</f>
        <v>#REF!</v>
      </c>
      <c r="CG13" s="145" t="e">
        <f>VLOOKUP(C13,#REF!,27,0)</f>
        <v>#REF!</v>
      </c>
      <c r="CH13" s="145" t="e">
        <f>VLOOKUP(C13,#REF!,28,0)</f>
        <v>#REF!</v>
      </c>
      <c r="CI13" s="7" t="e">
        <f>VLOOKUP(C13,#REF!,36,0)</f>
        <v>#REF!</v>
      </c>
      <c r="CJ13" s="145" t="e">
        <f>VLOOKUP(C13,#REF!,40,0)</f>
        <v>#REF!</v>
      </c>
      <c r="CK13" s="145" t="e">
        <f>VLOOKUP(C13,#REF!,41,0)</f>
        <v>#REF!</v>
      </c>
      <c r="CL13" s="145" t="e">
        <f>VLOOKUP(C13,#REF!,45,0)</f>
        <v>#REF!</v>
      </c>
      <c r="CM13" s="146" t="e">
        <f>VLOOKUP(C13,#REF!,48,0)</f>
        <v>#REF!</v>
      </c>
      <c r="CN13" s="7" t="e">
        <f t="shared" si="8"/>
        <v>#REF!</v>
      </c>
      <c r="CO13" s="7" t="e">
        <f t="shared" si="9"/>
        <v>#REF!</v>
      </c>
      <c r="CP13" s="7" t="e">
        <f t="shared" si="10"/>
        <v>#REF!</v>
      </c>
      <c r="CQ13" s="7" t="e">
        <f t="shared" si="11"/>
        <v>#REF!</v>
      </c>
      <c r="CR13" s="7" t="e">
        <f t="shared" si="12"/>
        <v>#REF!</v>
      </c>
      <c r="CS13" s="7" t="e">
        <f t="shared" si="13"/>
        <v>#REF!</v>
      </c>
      <c r="CT13" s="7" t="e">
        <f t="shared" si="14"/>
        <v>#REF!</v>
      </c>
      <c r="CU13" s="7" t="e">
        <f t="shared" si="15"/>
        <v>#REF!</v>
      </c>
      <c r="CV13" s="7" t="e">
        <f t="shared" si="16"/>
        <v>#REF!</v>
      </c>
    </row>
    <row r="14" spans="1:100" s="7" customFormat="1" ht="57" customHeight="1">
      <c r="A14" s="118">
        <v>4</v>
      </c>
      <c r="B14" s="141" t="s">
        <v>53</v>
      </c>
      <c r="C14" s="164" t="s">
        <v>72</v>
      </c>
      <c r="D14" s="115" t="s">
        <v>73</v>
      </c>
      <c r="E14" s="149" t="s">
        <v>56</v>
      </c>
      <c r="F14" s="165">
        <v>420</v>
      </c>
      <c r="G14" s="166" t="s">
        <v>57</v>
      </c>
      <c r="H14" s="142" t="s">
        <v>74</v>
      </c>
      <c r="I14" s="167">
        <v>3300</v>
      </c>
      <c r="J14" s="167">
        <v>0</v>
      </c>
      <c r="K14" s="167">
        <f t="shared" si="1"/>
        <v>3300</v>
      </c>
      <c r="L14" s="167">
        <f t="shared" ref="L14:L18" si="20">I14*F14</f>
        <v>1386000</v>
      </c>
      <c r="M14" s="167">
        <f t="shared" si="17"/>
        <v>1386000</v>
      </c>
      <c r="N14" s="143" t="s">
        <v>75</v>
      </c>
      <c r="O14" s="168">
        <v>2521.0100000000002</v>
      </c>
      <c r="P14" s="168">
        <f>O14*19%</f>
        <v>478.99190000000004</v>
      </c>
      <c r="Q14" s="168">
        <f t="shared" si="2"/>
        <v>3000.0019000000002</v>
      </c>
      <c r="R14" s="168">
        <f t="shared" ref="R14:R18" si="21">O14*F14</f>
        <v>1058824.2000000002</v>
      </c>
      <c r="S14" s="168">
        <f t="shared" si="19"/>
        <v>1260000.7980000002</v>
      </c>
      <c r="T14" s="144" t="s">
        <v>76</v>
      </c>
      <c r="U14" s="169">
        <v>3361</v>
      </c>
      <c r="V14" s="169">
        <f>U14*19%</f>
        <v>638.59</v>
      </c>
      <c r="W14" s="169">
        <f t="shared" si="3"/>
        <v>3999.59</v>
      </c>
      <c r="X14" s="169">
        <f t="shared" ref="X14:X18" si="22">U14*F14</f>
        <v>1411620</v>
      </c>
      <c r="Y14" s="169">
        <f t="shared" ref="Y14:Y18" si="23">W14*F14</f>
        <v>1679827.8</v>
      </c>
      <c r="Z14" s="170">
        <f t="shared" si="4"/>
        <v>3433</v>
      </c>
      <c r="AA14" s="171">
        <f t="shared" si="5"/>
        <v>1441860</v>
      </c>
      <c r="AB14" s="172">
        <f t="shared" si="6"/>
        <v>215432</v>
      </c>
      <c r="AC14" s="173">
        <f t="shared" si="7"/>
        <v>0.14941256432663366</v>
      </c>
      <c r="AD14" s="115"/>
      <c r="BG14" s="7">
        <v>4</v>
      </c>
      <c r="CA14" s="7" t="e">
        <f>VLOOKUP(C14,#REF!,1,0)</f>
        <v>#REF!</v>
      </c>
      <c r="CB14" s="7" t="e">
        <f>VLOOKUP(C14,#REF!,2,0)</f>
        <v>#REF!</v>
      </c>
      <c r="CC14" s="7" t="e">
        <f>VLOOKUP(C14,#REF!,10,0)</f>
        <v>#REF!</v>
      </c>
      <c r="CD14" s="145" t="e">
        <f>VLOOKUP(C14,#REF!,14,0)</f>
        <v>#REF!</v>
      </c>
      <c r="CE14" s="145" t="e">
        <f>VLOOKUP(C14,#REF!,15,0)</f>
        <v>#REF!</v>
      </c>
      <c r="CF14" s="7" t="e">
        <f>VLOOKUP(C14,#REF!,23,0)</f>
        <v>#REF!</v>
      </c>
      <c r="CG14" s="145" t="e">
        <f>VLOOKUP(C14,#REF!,27,0)</f>
        <v>#REF!</v>
      </c>
      <c r="CH14" s="145" t="e">
        <f>VLOOKUP(C14,#REF!,28,0)</f>
        <v>#REF!</v>
      </c>
      <c r="CI14" s="7" t="e">
        <f>VLOOKUP(C14,#REF!,36,0)</f>
        <v>#REF!</v>
      </c>
      <c r="CJ14" s="145" t="e">
        <f>VLOOKUP(C14,#REF!,40,0)</f>
        <v>#REF!</v>
      </c>
      <c r="CK14" s="145" t="e">
        <f>VLOOKUP(C14,#REF!,41,0)</f>
        <v>#REF!</v>
      </c>
      <c r="CL14" s="145" t="e">
        <f>VLOOKUP(C14,#REF!,45,0)</f>
        <v>#REF!</v>
      </c>
      <c r="CM14" s="146" t="e">
        <f>VLOOKUP(C14,#REF!,48,0)</f>
        <v>#REF!</v>
      </c>
      <c r="CN14" s="7" t="e">
        <f t="shared" si="8"/>
        <v>#REF!</v>
      </c>
      <c r="CO14" s="7" t="e">
        <f t="shared" si="9"/>
        <v>#REF!</v>
      </c>
      <c r="CP14" s="7" t="e">
        <f t="shared" si="10"/>
        <v>#REF!</v>
      </c>
      <c r="CQ14" s="7" t="e">
        <f t="shared" si="11"/>
        <v>#REF!</v>
      </c>
      <c r="CR14" s="7" t="e">
        <f t="shared" si="12"/>
        <v>#REF!</v>
      </c>
      <c r="CS14" s="7" t="e">
        <f t="shared" si="13"/>
        <v>#REF!</v>
      </c>
      <c r="CT14" s="7" t="e">
        <f t="shared" si="14"/>
        <v>#REF!</v>
      </c>
      <c r="CU14" s="7" t="e">
        <f t="shared" si="15"/>
        <v>#REF!</v>
      </c>
      <c r="CV14" s="7" t="e">
        <f t="shared" si="16"/>
        <v>#REF!</v>
      </c>
    </row>
    <row r="15" spans="1:100" s="7" customFormat="1" ht="90">
      <c r="A15" s="118">
        <v>5</v>
      </c>
      <c r="B15" s="141" t="s">
        <v>77</v>
      </c>
      <c r="C15" s="164" t="s">
        <v>78</v>
      </c>
      <c r="D15" s="115" t="s">
        <v>79</v>
      </c>
      <c r="E15" s="149" t="s">
        <v>56</v>
      </c>
      <c r="F15" s="165">
        <v>1</v>
      </c>
      <c r="G15" s="166" t="s">
        <v>80</v>
      </c>
      <c r="H15" s="142" t="s">
        <v>81</v>
      </c>
      <c r="I15" s="167">
        <v>1500000</v>
      </c>
      <c r="J15" s="167">
        <f t="shared" ref="J15:J31" si="24">I15*19%</f>
        <v>285000</v>
      </c>
      <c r="K15" s="167">
        <f t="shared" si="1"/>
        <v>1785000</v>
      </c>
      <c r="L15" s="167">
        <f>I15*F15</f>
        <v>1500000</v>
      </c>
      <c r="M15" s="167">
        <f t="shared" si="17"/>
        <v>1785000</v>
      </c>
      <c r="N15" s="143" t="s">
        <v>82</v>
      </c>
      <c r="O15" s="168">
        <v>1775000</v>
      </c>
      <c r="P15" s="168">
        <f>O15*19%</f>
        <v>337250</v>
      </c>
      <c r="Q15" s="168">
        <f t="shared" si="2"/>
        <v>2112250</v>
      </c>
      <c r="R15" s="168">
        <f t="shared" si="21"/>
        <v>1775000</v>
      </c>
      <c r="S15" s="168">
        <f t="shared" si="19"/>
        <v>2112250</v>
      </c>
      <c r="T15" s="144" t="s">
        <v>83</v>
      </c>
      <c r="U15" s="169">
        <v>1400000</v>
      </c>
      <c r="V15" s="169">
        <f>U15*19%</f>
        <v>266000</v>
      </c>
      <c r="W15" s="169">
        <f t="shared" si="3"/>
        <v>1666000</v>
      </c>
      <c r="X15" s="169">
        <f t="shared" si="22"/>
        <v>1400000</v>
      </c>
      <c r="Y15" s="169">
        <f t="shared" si="23"/>
        <v>1666000</v>
      </c>
      <c r="Z15" s="170">
        <f t="shared" si="4"/>
        <v>1854417</v>
      </c>
      <c r="AA15" s="171">
        <f t="shared" si="5"/>
        <v>1854417</v>
      </c>
      <c r="AB15" s="172">
        <f t="shared" si="6"/>
        <v>231082</v>
      </c>
      <c r="AC15" s="173">
        <f t="shared" si="7"/>
        <v>0.12461167040638649</v>
      </c>
      <c r="AD15" s="115"/>
      <c r="BG15" s="7">
        <v>5</v>
      </c>
      <c r="CA15" s="7" t="e">
        <f>VLOOKUP(C15,#REF!,1,0)</f>
        <v>#REF!</v>
      </c>
      <c r="CB15" s="7" t="e">
        <f>VLOOKUP(C15,#REF!,2,0)</f>
        <v>#REF!</v>
      </c>
      <c r="CC15" s="7" t="e">
        <f>VLOOKUP(C15,#REF!,10,0)</f>
        <v>#REF!</v>
      </c>
      <c r="CD15" s="145" t="e">
        <f>VLOOKUP(C15,#REF!,14,0)</f>
        <v>#REF!</v>
      </c>
      <c r="CE15" s="145" t="e">
        <f>VLOOKUP(C15,#REF!,15,0)</f>
        <v>#REF!</v>
      </c>
      <c r="CF15" s="7" t="e">
        <f>VLOOKUP(C15,#REF!,23,0)</f>
        <v>#REF!</v>
      </c>
      <c r="CG15" s="145" t="e">
        <f>VLOOKUP(C15,#REF!,27,0)</f>
        <v>#REF!</v>
      </c>
      <c r="CH15" s="145" t="e">
        <f>VLOOKUP(C15,#REF!,28,0)</f>
        <v>#REF!</v>
      </c>
      <c r="CI15" s="7" t="e">
        <f>VLOOKUP(C15,#REF!,36,0)</f>
        <v>#REF!</v>
      </c>
      <c r="CJ15" s="145" t="e">
        <f>VLOOKUP(C15,#REF!,40,0)</f>
        <v>#REF!</v>
      </c>
      <c r="CK15" s="145" t="e">
        <f>VLOOKUP(C15,#REF!,41,0)</f>
        <v>#REF!</v>
      </c>
      <c r="CL15" s="145" t="e">
        <f>VLOOKUP(C15,#REF!,45,0)</f>
        <v>#REF!</v>
      </c>
      <c r="CM15" s="146" t="e">
        <f>VLOOKUP(C15,#REF!,48,0)</f>
        <v>#REF!</v>
      </c>
      <c r="CN15" s="7" t="e">
        <f t="shared" si="8"/>
        <v>#REF!</v>
      </c>
      <c r="CO15" s="7" t="e">
        <f t="shared" si="9"/>
        <v>#REF!</v>
      </c>
      <c r="CP15" s="7" t="e">
        <f t="shared" si="10"/>
        <v>#REF!</v>
      </c>
      <c r="CQ15" s="7" t="e">
        <f t="shared" si="11"/>
        <v>#REF!</v>
      </c>
      <c r="CR15" s="7" t="e">
        <f t="shared" si="12"/>
        <v>#REF!</v>
      </c>
      <c r="CS15" s="7" t="e">
        <f t="shared" si="13"/>
        <v>#REF!</v>
      </c>
      <c r="CT15" s="7" t="e">
        <f t="shared" si="14"/>
        <v>#REF!</v>
      </c>
      <c r="CU15" s="7" t="e">
        <f t="shared" si="15"/>
        <v>#REF!</v>
      </c>
      <c r="CV15" s="7" t="e">
        <f t="shared" si="16"/>
        <v>#REF!</v>
      </c>
    </row>
    <row r="16" spans="1:100" s="7" customFormat="1" ht="228" customHeight="1">
      <c r="A16" s="118">
        <v>6</v>
      </c>
      <c r="B16" s="141" t="s">
        <v>84</v>
      </c>
      <c r="C16" s="164" t="s">
        <v>85</v>
      </c>
      <c r="D16" s="115" t="s">
        <v>86</v>
      </c>
      <c r="E16" s="149" t="s">
        <v>56</v>
      </c>
      <c r="F16" s="165">
        <v>80</v>
      </c>
      <c r="G16" s="166" t="s">
        <v>57</v>
      </c>
      <c r="H16" s="142" t="s">
        <v>87</v>
      </c>
      <c r="I16" s="167">
        <v>11700</v>
      </c>
      <c r="J16" s="167">
        <f>I16*8%</f>
        <v>936</v>
      </c>
      <c r="K16" s="167">
        <f t="shared" ref="K16:K32" si="25">I16+J16</f>
        <v>12636</v>
      </c>
      <c r="L16" s="167">
        <f t="shared" si="20"/>
        <v>936000</v>
      </c>
      <c r="M16" s="167">
        <f t="shared" si="17"/>
        <v>1010880</v>
      </c>
      <c r="N16" s="143" t="s">
        <v>88</v>
      </c>
      <c r="O16" s="168">
        <v>8570</v>
      </c>
      <c r="P16" s="168">
        <f>O16*8%</f>
        <v>685.6</v>
      </c>
      <c r="Q16" s="168">
        <f t="shared" ref="Q16:Q32" si="26">O16+P16</f>
        <v>9255.6</v>
      </c>
      <c r="R16" s="168">
        <f t="shared" si="21"/>
        <v>685600</v>
      </c>
      <c r="S16" s="168">
        <f t="shared" si="19"/>
        <v>740448</v>
      </c>
      <c r="T16" s="144" t="s">
        <v>89</v>
      </c>
      <c r="U16" s="169">
        <v>12843.518518518518</v>
      </c>
      <c r="V16" s="169">
        <f>U16*8%</f>
        <v>1027.4814814814815</v>
      </c>
      <c r="W16" s="169">
        <f t="shared" ref="W16:W32" si="27">U16+V16</f>
        <v>13871</v>
      </c>
      <c r="X16" s="169">
        <f t="shared" si="22"/>
        <v>1027481.4814814815</v>
      </c>
      <c r="Y16" s="169">
        <f t="shared" si="23"/>
        <v>1109680</v>
      </c>
      <c r="Z16" s="170">
        <f t="shared" ref="Z16:Z32" si="28">IF(A16="","",ROUND(AVERAGE(K16,Q16,W16),0))</f>
        <v>11921</v>
      </c>
      <c r="AA16" s="171">
        <f t="shared" ref="AA16:AA32" si="29">IF(B16="","",Z16*F16)</f>
        <v>953680</v>
      </c>
      <c r="AB16" s="172">
        <f t="shared" ref="AB16:AB31" si="30">IF(B16="","",ROUND(STDEV(M16,S16,Y16),0))</f>
        <v>191149</v>
      </c>
      <c r="AC16" s="173">
        <f t="shared" ref="AC16:AC32" si="31">IF(B16="","",(AB16/AA16))</f>
        <v>0.20043305930710512</v>
      </c>
      <c r="AD16" s="115"/>
      <c r="BG16" s="7">
        <v>6</v>
      </c>
      <c r="CA16" s="7" t="e">
        <f>VLOOKUP(C16,#REF!,1,0)</f>
        <v>#REF!</v>
      </c>
      <c r="CB16" s="7" t="e">
        <f>VLOOKUP(C16,#REF!,2,0)</f>
        <v>#REF!</v>
      </c>
      <c r="CC16" s="7" t="e">
        <f>VLOOKUP(C16,#REF!,10,0)</f>
        <v>#REF!</v>
      </c>
      <c r="CD16" s="145" t="e">
        <f>VLOOKUP(C16,#REF!,14,0)</f>
        <v>#REF!</v>
      </c>
      <c r="CE16" s="145" t="e">
        <f>VLOOKUP(C16,#REF!,15,0)</f>
        <v>#REF!</v>
      </c>
      <c r="CF16" s="7" t="e">
        <f>VLOOKUP(C16,#REF!,23,0)</f>
        <v>#REF!</v>
      </c>
      <c r="CG16" s="145" t="e">
        <f>VLOOKUP(C16,#REF!,27,0)</f>
        <v>#REF!</v>
      </c>
      <c r="CH16" s="145" t="e">
        <f>VLOOKUP(C16,#REF!,28,0)</f>
        <v>#REF!</v>
      </c>
      <c r="CI16" s="7" t="e">
        <f>VLOOKUP(C16,#REF!,36,0)</f>
        <v>#REF!</v>
      </c>
      <c r="CJ16" s="145" t="e">
        <f>VLOOKUP(C16,#REF!,40,0)</f>
        <v>#REF!</v>
      </c>
      <c r="CK16" s="145" t="e">
        <f>VLOOKUP(C16,#REF!,41,0)</f>
        <v>#REF!</v>
      </c>
      <c r="CL16" s="145" t="e">
        <f>VLOOKUP(C16,#REF!,45,0)</f>
        <v>#REF!</v>
      </c>
      <c r="CM16" s="146" t="e">
        <f>VLOOKUP(C16,#REF!,48,0)</f>
        <v>#REF!</v>
      </c>
      <c r="CN16" s="7" t="e">
        <f t="shared" si="8"/>
        <v>#REF!</v>
      </c>
      <c r="CO16" s="7" t="e">
        <f t="shared" si="9"/>
        <v>#REF!</v>
      </c>
      <c r="CP16" s="7" t="e">
        <f t="shared" si="10"/>
        <v>#REF!</v>
      </c>
      <c r="CQ16" s="7" t="e">
        <f t="shared" si="11"/>
        <v>#REF!</v>
      </c>
      <c r="CR16" s="7" t="e">
        <f t="shared" si="12"/>
        <v>#REF!</v>
      </c>
      <c r="CS16" s="7" t="e">
        <f t="shared" si="13"/>
        <v>#REF!</v>
      </c>
      <c r="CT16" s="7" t="e">
        <f t="shared" si="14"/>
        <v>#REF!</v>
      </c>
      <c r="CU16" s="7" t="e">
        <f t="shared" si="15"/>
        <v>#REF!</v>
      </c>
      <c r="CV16" s="7" t="e">
        <f t="shared" si="16"/>
        <v>#REF!</v>
      </c>
    </row>
    <row r="17" spans="1:100" s="7" customFormat="1" ht="87.75" customHeight="1">
      <c r="A17" s="118">
        <v>7</v>
      </c>
      <c r="B17" s="141" t="s">
        <v>84</v>
      </c>
      <c r="C17" s="164" t="s">
        <v>90</v>
      </c>
      <c r="D17" s="115" t="s">
        <v>91</v>
      </c>
      <c r="E17" s="149" t="s">
        <v>56</v>
      </c>
      <c r="F17" s="165">
        <v>3</v>
      </c>
      <c r="G17" s="166" t="s">
        <v>92</v>
      </c>
      <c r="H17" s="142" t="s">
        <v>93</v>
      </c>
      <c r="I17" s="167">
        <v>302522</v>
      </c>
      <c r="J17" s="167">
        <f t="shared" si="24"/>
        <v>57479.18</v>
      </c>
      <c r="K17" s="167">
        <f t="shared" si="25"/>
        <v>360001.18</v>
      </c>
      <c r="L17" s="167">
        <f t="shared" si="20"/>
        <v>907566</v>
      </c>
      <c r="M17" s="167">
        <f t="shared" si="17"/>
        <v>1080003.54</v>
      </c>
      <c r="N17" s="143" t="s">
        <v>94</v>
      </c>
      <c r="O17" s="168">
        <v>252101</v>
      </c>
      <c r="P17" s="168">
        <f t="shared" ref="P17:P31" si="32">O17*19%</f>
        <v>47899.19</v>
      </c>
      <c r="Q17" s="168">
        <f t="shared" si="26"/>
        <v>300000.19</v>
      </c>
      <c r="R17" s="168">
        <f t="shared" si="21"/>
        <v>756303</v>
      </c>
      <c r="S17" s="168">
        <f t="shared" si="19"/>
        <v>900000.57000000007</v>
      </c>
      <c r="T17" s="144"/>
      <c r="U17" s="169"/>
      <c r="V17" s="169"/>
      <c r="W17" s="169"/>
      <c r="X17" s="169"/>
      <c r="Y17" s="169"/>
      <c r="Z17" s="170">
        <f t="shared" si="28"/>
        <v>330001</v>
      </c>
      <c r="AA17" s="171">
        <f t="shared" si="29"/>
        <v>990003</v>
      </c>
      <c r="AB17" s="172">
        <f t="shared" si="30"/>
        <v>127281</v>
      </c>
      <c r="AC17" s="173">
        <f t="shared" si="31"/>
        <v>0.12856627707188767</v>
      </c>
      <c r="AD17" s="115"/>
      <c r="BG17" s="7">
        <v>7</v>
      </c>
      <c r="CA17" s="7" t="e">
        <f>VLOOKUP(C17,#REF!,1,0)</f>
        <v>#REF!</v>
      </c>
      <c r="CB17" s="7" t="e">
        <f>VLOOKUP(C17,#REF!,2,0)</f>
        <v>#REF!</v>
      </c>
      <c r="CC17" s="7" t="e">
        <f>VLOOKUP(C17,#REF!,10,0)</f>
        <v>#REF!</v>
      </c>
      <c r="CD17" s="145" t="e">
        <f>VLOOKUP(C17,#REF!,14,0)</f>
        <v>#REF!</v>
      </c>
      <c r="CE17" s="145" t="e">
        <f>VLOOKUP(C17,#REF!,15,0)</f>
        <v>#REF!</v>
      </c>
      <c r="CF17" s="7" t="e">
        <f>VLOOKUP(C17,#REF!,23,0)</f>
        <v>#REF!</v>
      </c>
      <c r="CG17" s="145" t="e">
        <f>VLOOKUP(C17,#REF!,27,0)</f>
        <v>#REF!</v>
      </c>
      <c r="CH17" s="145" t="e">
        <f>VLOOKUP(C17,#REF!,28,0)</f>
        <v>#REF!</v>
      </c>
      <c r="CI17" s="7" t="e">
        <f>VLOOKUP(C17,#REF!,36,0)</f>
        <v>#REF!</v>
      </c>
      <c r="CJ17" s="145" t="e">
        <f>VLOOKUP(C17,#REF!,40,0)</f>
        <v>#REF!</v>
      </c>
      <c r="CK17" s="145" t="e">
        <f>VLOOKUP(C17,#REF!,41,0)</f>
        <v>#REF!</v>
      </c>
      <c r="CL17" s="145" t="e">
        <f>VLOOKUP(C17,#REF!,45,0)</f>
        <v>#REF!</v>
      </c>
      <c r="CM17" s="146" t="e">
        <f>VLOOKUP(C17,#REF!,48,0)</f>
        <v>#REF!</v>
      </c>
      <c r="CN17" s="7" t="e">
        <f t="shared" si="8"/>
        <v>#REF!</v>
      </c>
      <c r="CO17" s="7" t="e">
        <f t="shared" si="9"/>
        <v>#REF!</v>
      </c>
      <c r="CP17" s="7" t="e">
        <f t="shared" si="10"/>
        <v>#REF!</v>
      </c>
      <c r="CQ17" s="7" t="e">
        <f t="shared" si="11"/>
        <v>#REF!</v>
      </c>
      <c r="CR17" s="7" t="e">
        <f t="shared" si="12"/>
        <v>#REF!</v>
      </c>
      <c r="CS17" s="7" t="e">
        <f t="shared" si="13"/>
        <v>#REF!</v>
      </c>
      <c r="CT17" s="7" t="e">
        <f t="shared" si="14"/>
        <v>#REF!</v>
      </c>
      <c r="CU17" s="7" t="e">
        <f t="shared" si="15"/>
        <v>#REF!</v>
      </c>
      <c r="CV17" s="7" t="e">
        <f t="shared" si="16"/>
        <v>#REF!</v>
      </c>
    </row>
    <row r="18" spans="1:100" s="7" customFormat="1" ht="51.75" customHeight="1">
      <c r="A18" s="118">
        <v>8</v>
      </c>
      <c r="B18" s="141" t="s">
        <v>84</v>
      </c>
      <c r="C18" s="164" t="s">
        <v>95</v>
      </c>
      <c r="D18" s="115" t="s">
        <v>96</v>
      </c>
      <c r="E18" s="149" t="s">
        <v>56</v>
      </c>
      <c r="F18" s="165">
        <v>2</v>
      </c>
      <c r="G18" s="166" t="s">
        <v>57</v>
      </c>
      <c r="H18" s="142" t="s">
        <v>97</v>
      </c>
      <c r="I18" s="167">
        <v>240000</v>
      </c>
      <c r="J18" s="167">
        <f t="shared" si="24"/>
        <v>45600</v>
      </c>
      <c r="K18" s="167">
        <f t="shared" si="25"/>
        <v>285600</v>
      </c>
      <c r="L18" s="167">
        <f t="shared" si="20"/>
        <v>480000</v>
      </c>
      <c r="M18" s="167">
        <f t="shared" si="17"/>
        <v>571200</v>
      </c>
      <c r="N18" s="143" t="s">
        <v>98</v>
      </c>
      <c r="O18" s="168">
        <v>200000</v>
      </c>
      <c r="P18" s="168">
        <f t="shared" si="32"/>
        <v>38000</v>
      </c>
      <c r="Q18" s="168">
        <f t="shared" si="26"/>
        <v>238000</v>
      </c>
      <c r="R18" s="168">
        <f t="shared" si="21"/>
        <v>400000</v>
      </c>
      <c r="S18" s="168">
        <f t="shared" si="19"/>
        <v>476000</v>
      </c>
      <c r="T18" s="144" t="s">
        <v>99</v>
      </c>
      <c r="U18" s="169">
        <v>245000</v>
      </c>
      <c r="V18" s="169"/>
      <c r="W18" s="169">
        <f t="shared" si="27"/>
        <v>245000</v>
      </c>
      <c r="X18" s="169">
        <f t="shared" si="22"/>
        <v>490000</v>
      </c>
      <c r="Y18" s="169">
        <f t="shared" si="23"/>
        <v>490000</v>
      </c>
      <c r="Z18" s="170">
        <f t="shared" si="28"/>
        <v>256200</v>
      </c>
      <c r="AA18" s="171">
        <f t="shared" si="29"/>
        <v>512400</v>
      </c>
      <c r="AB18" s="172">
        <f t="shared" si="30"/>
        <v>51401</v>
      </c>
      <c r="AC18" s="173">
        <f t="shared" si="31"/>
        <v>0.10031420765027323</v>
      </c>
      <c r="AD18" s="115"/>
      <c r="BG18" s="7">
        <v>8</v>
      </c>
      <c r="CA18" s="7" t="e">
        <f>VLOOKUP(C18,#REF!,1,0)</f>
        <v>#REF!</v>
      </c>
      <c r="CB18" s="7" t="e">
        <f>VLOOKUP(C18,#REF!,2,0)</f>
        <v>#REF!</v>
      </c>
      <c r="CC18" s="7" t="e">
        <f>VLOOKUP(C18,#REF!,10,0)</f>
        <v>#REF!</v>
      </c>
      <c r="CD18" s="145" t="e">
        <f>VLOOKUP(C18,#REF!,14,0)</f>
        <v>#REF!</v>
      </c>
      <c r="CE18" s="145" t="e">
        <f>VLOOKUP(C18,#REF!,15,0)</f>
        <v>#REF!</v>
      </c>
      <c r="CF18" s="7" t="e">
        <f>VLOOKUP(C18,#REF!,23,0)</f>
        <v>#REF!</v>
      </c>
      <c r="CG18" s="145" t="e">
        <f>VLOOKUP(C18,#REF!,27,0)</f>
        <v>#REF!</v>
      </c>
      <c r="CH18" s="145" t="e">
        <f>VLOOKUP(C18,#REF!,28,0)</f>
        <v>#REF!</v>
      </c>
      <c r="CI18" s="7" t="e">
        <f>VLOOKUP(C18,#REF!,36,0)</f>
        <v>#REF!</v>
      </c>
      <c r="CJ18" s="145" t="e">
        <f>VLOOKUP(C18,#REF!,40,0)</f>
        <v>#REF!</v>
      </c>
      <c r="CK18" s="145" t="e">
        <f>VLOOKUP(C18,#REF!,41,0)</f>
        <v>#REF!</v>
      </c>
      <c r="CL18" s="145" t="e">
        <f>VLOOKUP(C18,#REF!,45,0)</f>
        <v>#REF!</v>
      </c>
      <c r="CM18" s="146" t="e">
        <f>VLOOKUP(C18,#REF!,48,0)</f>
        <v>#REF!</v>
      </c>
      <c r="CN18" s="7" t="e">
        <f t="shared" si="8"/>
        <v>#REF!</v>
      </c>
      <c r="CO18" s="7" t="e">
        <f t="shared" si="9"/>
        <v>#REF!</v>
      </c>
      <c r="CP18" s="7" t="e">
        <f t="shared" si="10"/>
        <v>#REF!</v>
      </c>
      <c r="CQ18" s="7" t="e">
        <f t="shared" si="11"/>
        <v>#REF!</v>
      </c>
      <c r="CR18" s="7" t="e">
        <f t="shared" si="12"/>
        <v>#REF!</v>
      </c>
      <c r="CS18" s="7" t="e">
        <f t="shared" si="13"/>
        <v>#REF!</v>
      </c>
      <c r="CT18" s="7" t="e">
        <f t="shared" si="14"/>
        <v>#REF!</v>
      </c>
      <c r="CU18" s="7" t="e">
        <f t="shared" si="15"/>
        <v>#REF!</v>
      </c>
      <c r="CV18" s="7" t="e">
        <f t="shared" si="16"/>
        <v>#REF!</v>
      </c>
    </row>
    <row r="19" spans="1:100" s="7" customFormat="1" ht="105">
      <c r="A19" s="118">
        <v>9</v>
      </c>
      <c r="B19" s="141" t="s">
        <v>53</v>
      </c>
      <c r="C19" s="164" t="s">
        <v>100</v>
      </c>
      <c r="D19" s="115" t="s">
        <v>101</v>
      </c>
      <c r="E19" s="149" t="s">
        <v>102</v>
      </c>
      <c r="F19" s="165">
        <v>105</v>
      </c>
      <c r="G19" s="166" t="s">
        <v>57</v>
      </c>
      <c r="H19" s="142" t="s">
        <v>97</v>
      </c>
      <c r="I19" s="167">
        <v>28000</v>
      </c>
      <c r="J19" s="167">
        <f t="shared" si="24"/>
        <v>5320</v>
      </c>
      <c r="K19" s="167">
        <f t="shared" si="25"/>
        <v>33320</v>
      </c>
      <c r="L19" s="167">
        <f t="shared" ref="L19:L31" si="33">IF(B19="","",(I19*F19))</f>
        <v>2940000</v>
      </c>
      <c r="M19" s="167">
        <f t="shared" ref="M19:M31" si="34">IF(B19="","",(K19*F19))</f>
        <v>3498600</v>
      </c>
      <c r="N19" s="143" t="s">
        <v>103</v>
      </c>
      <c r="O19" s="168">
        <v>26554.621848739498</v>
      </c>
      <c r="P19" s="168">
        <f t="shared" si="32"/>
        <v>5045.3781512605046</v>
      </c>
      <c r="Q19" s="168">
        <f t="shared" si="26"/>
        <v>31600.000000000004</v>
      </c>
      <c r="R19" s="168">
        <f t="shared" ref="R19:R31" si="35">IF(B19="","",(O19*F19))</f>
        <v>2788235.2941176472</v>
      </c>
      <c r="S19" s="168">
        <f t="shared" ref="S19:S31" si="36">IF(B19="","",(Q19*F19))</f>
        <v>3318000.0000000005</v>
      </c>
      <c r="T19" s="144" t="s">
        <v>99</v>
      </c>
      <c r="U19" s="169">
        <v>30000</v>
      </c>
      <c r="V19" s="169"/>
      <c r="W19" s="169">
        <f t="shared" si="27"/>
        <v>30000</v>
      </c>
      <c r="X19" s="169">
        <f t="shared" ref="X19:X31" si="37">IF(B19="","",(U19*F19))</f>
        <v>3150000</v>
      </c>
      <c r="Y19" s="169">
        <f t="shared" ref="Y19:Y31" si="38">IF(B19="","",(W19*F19))</f>
        <v>3150000</v>
      </c>
      <c r="Z19" s="170">
        <f t="shared" si="28"/>
        <v>31640</v>
      </c>
      <c r="AA19" s="171">
        <f t="shared" si="29"/>
        <v>3322200</v>
      </c>
      <c r="AB19" s="172">
        <f t="shared" si="30"/>
        <v>174338</v>
      </c>
      <c r="AC19" s="173">
        <f t="shared" si="31"/>
        <v>5.2476672084763108E-2</v>
      </c>
      <c r="AD19" s="115"/>
      <c r="BG19" s="7">
        <v>9</v>
      </c>
      <c r="CA19" s="7" t="e">
        <f>VLOOKUP(C19,#REF!,1,0)</f>
        <v>#REF!</v>
      </c>
      <c r="CB19" s="7" t="e">
        <f>VLOOKUP(C19,#REF!,2,0)</f>
        <v>#REF!</v>
      </c>
      <c r="CC19" s="7" t="e">
        <f>VLOOKUP(C19,#REF!,10,0)</f>
        <v>#REF!</v>
      </c>
      <c r="CD19" s="145" t="e">
        <f>VLOOKUP(C19,#REF!,14,0)</f>
        <v>#REF!</v>
      </c>
      <c r="CE19" s="145" t="e">
        <f>VLOOKUP(C19,#REF!,15,0)</f>
        <v>#REF!</v>
      </c>
      <c r="CF19" s="7" t="e">
        <f>VLOOKUP(C19,#REF!,23,0)</f>
        <v>#REF!</v>
      </c>
      <c r="CG19" s="145" t="e">
        <f>VLOOKUP(C19,#REF!,27,0)</f>
        <v>#REF!</v>
      </c>
      <c r="CH19" s="145" t="e">
        <f>VLOOKUP(C19,#REF!,28,0)</f>
        <v>#REF!</v>
      </c>
      <c r="CI19" s="7" t="e">
        <f>VLOOKUP(C19,#REF!,36,0)</f>
        <v>#REF!</v>
      </c>
      <c r="CJ19" s="145" t="e">
        <f>VLOOKUP(C19,#REF!,40,0)</f>
        <v>#REF!</v>
      </c>
      <c r="CK19" s="145" t="e">
        <f>VLOOKUP(C19,#REF!,41,0)</f>
        <v>#REF!</v>
      </c>
      <c r="CL19" s="145" t="e">
        <f>VLOOKUP(C19,#REF!,45,0)</f>
        <v>#REF!</v>
      </c>
      <c r="CM19" s="146" t="e">
        <f>VLOOKUP(C19,#REF!,48,0)</f>
        <v>#REF!</v>
      </c>
      <c r="CN19" s="7" t="e">
        <f t="shared" si="8"/>
        <v>#REF!</v>
      </c>
      <c r="CO19" s="7" t="e">
        <f t="shared" si="9"/>
        <v>#REF!</v>
      </c>
      <c r="CP19" s="7" t="e">
        <f t="shared" si="10"/>
        <v>#REF!</v>
      </c>
      <c r="CQ19" s="7" t="e">
        <f t="shared" si="11"/>
        <v>#REF!</v>
      </c>
      <c r="CR19" s="7" t="e">
        <f t="shared" si="12"/>
        <v>#REF!</v>
      </c>
      <c r="CS19" s="7" t="e">
        <f t="shared" si="13"/>
        <v>#REF!</v>
      </c>
      <c r="CT19" s="7" t="e">
        <f t="shared" si="14"/>
        <v>#REF!</v>
      </c>
      <c r="CU19" s="7" t="e">
        <f t="shared" si="15"/>
        <v>#REF!</v>
      </c>
      <c r="CV19" s="7" t="e">
        <f t="shared" si="16"/>
        <v>#REF!</v>
      </c>
    </row>
    <row r="20" spans="1:100" s="7" customFormat="1" ht="45">
      <c r="A20" s="118">
        <v>10</v>
      </c>
      <c r="B20" s="141" t="s">
        <v>53</v>
      </c>
      <c r="C20" s="164" t="s">
        <v>104</v>
      </c>
      <c r="D20" s="115" t="s">
        <v>105</v>
      </c>
      <c r="E20" s="149" t="s">
        <v>56</v>
      </c>
      <c r="F20" s="165">
        <v>105</v>
      </c>
      <c r="G20" s="166" t="s">
        <v>57</v>
      </c>
      <c r="H20" s="142" t="s">
        <v>106</v>
      </c>
      <c r="I20" s="167">
        <v>15126.050420168069</v>
      </c>
      <c r="J20" s="167">
        <f t="shared" si="24"/>
        <v>2873.9495798319331</v>
      </c>
      <c r="K20" s="167">
        <f t="shared" si="25"/>
        <v>18000</v>
      </c>
      <c r="L20" s="167">
        <f t="shared" si="33"/>
        <v>1588235.2941176472</v>
      </c>
      <c r="M20" s="167">
        <f t="shared" si="34"/>
        <v>1890000</v>
      </c>
      <c r="N20" s="143" t="s">
        <v>107</v>
      </c>
      <c r="O20" s="168">
        <v>14000</v>
      </c>
      <c r="P20" s="168">
        <f t="shared" si="32"/>
        <v>2660</v>
      </c>
      <c r="Q20" s="168">
        <f t="shared" si="26"/>
        <v>16660</v>
      </c>
      <c r="R20" s="168">
        <f t="shared" si="35"/>
        <v>1470000</v>
      </c>
      <c r="S20" s="168">
        <f t="shared" si="36"/>
        <v>1749300</v>
      </c>
      <c r="T20" s="144" t="s">
        <v>108</v>
      </c>
      <c r="U20" s="169">
        <v>13445.378151260506</v>
      </c>
      <c r="V20" s="169">
        <f t="shared" ref="V20:V31" si="39">U20*19%</f>
        <v>2554.6218487394963</v>
      </c>
      <c r="W20" s="169">
        <f t="shared" si="27"/>
        <v>16000.000000000002</v>
      </c>
      <c r="X20" s="169">
        <f t="shared" si="37"/>
        <v>1411764.705882353</v>
      </c>
      <c r="Y20" s="169">
        <f t="shared" si="38"/>
        <v>1680000.0000000002</v>
      </c>
      <c r="Z20" s="170">
        <f t="shared" si="28"/>
        <v>16887</v>
      </c>
      <c r="AA20" s="171">
        <f t="shared" si="29"/>
        <v>1773135</v>
      </c>
      <c r="AB20" s="172">
        <f t="shared" si="30"/>
        <v>107004</v>
      </c>
      <c r="AC20" s="173">
        <f t="shared" si="31"/>
        <v>6.0347350878528709E-2</v>
      </c>
      <c r="AD20" s="115"/>
      <c r="BG20" s="7">
        <v>10</v>
      </c>
      <c r="CA20" s="7" t="e">
        <f>VLOOKUP(C20,#REF!,1,0)</f>
        <v>#REF!</v>
      </c>
      <c r="CB20" s="7" t="e">
        <f>VLOOKUP(C20,#REF!,2,0)</f>
        <v>#REF!</v>
      </c>
      <c r="CC20" s="7" t="e">
        <f>VLOOKUP(C20,#REF!,10,0)</f>
        <v>#REF!</v>
      </c>
      <c r="CD20" s="145" t="e">
        <f>VLOOKUP(C20,#REF!,14,0)</f>
        <v>#REF!</v>
      </c>
      <c r="CE20" s="145" t="e">
        <f>VLOOKUP(C20,#REF!,15,0)</f>
        <v>#REF!</v>
      </c>
      <c r="CF20" s="7" t="e">
        <f>VLOOKUP(C20,#REF!,23,0)</f>
        <v>#REF!</v>
      </c>
      <c r="CG20" s="145" t="e">
        <f>VLOOKUP(C20,#REF!,27,0)</f>
        <v>#REF!</v>
      </c>
      <c r="CH20" s="145" t="e">
        <f>VLOOKUP(C20,#REF!,28,0)</f>
        <v>#REF!</v>
      </c>
      <c r="CI20" s="7" t="e">
        <f>VLOOKUP(C20,#REF!,36,0)</f>
        <v>#REF!</v>
      </c>
      <c r="CJ20" s="145" t="e">
        <f>VLOOKUP(C20,#REF!,40,0)</f>
        <v>#REF!</v>
      </c>
      <c r="CK20" s="145" t="e">
        <f>VLOOKUP(C20,#REF!,41,0)</f>
        <v>#REF!</v>
      </c>
      <c r="CL20" s="145" t="e">
        <f>VLOOKUP(C20,#REF!,45,0)</f>
        <v>#REF!</v>
      </c>
      <c r="CM20" s="146" t="e">
        <f>VLOOKUP(C20,#REF!,48,0)</f>
        <v>#REF!</v>
      </c>
      <c r="CN20" s="7" t="e">
        <f t="shared" si="8"/>
        <v>#REF!</v>
      </c>
      <c r="CO20" s="7" t="e">
        <f t="shared" si="9"/>
        <v>#REF!</v>
      </c>
      <c r="CP20" s="7" t="e">
        <f t="shared" si="10"/>
        <v>#REF!</v>
      </c>
      <c r="CQ20" s="7" t="e">
        <f t="shared" si="11"/>
        <v>#REF!</v>
      </c>
      <c r="CR20" s="7" t="e">
        <f t="shared" si="12"/>
        <v>#REF!</v>
      </c>
      <c r="CS20" s="7" t="e">
        <f t="shared" si="13"/>
        <v>#REF!</v>
      </c>
      <c r="CT20" s="7" t="e">
        <f t="shared" si="14"/>
        <v>#REF!</v>
      </c>
      <c r="CU20" s="7" t="e">
        <f t="shared" si="15"/>
        <v>#REF!</v>
      </c>
      <c r="CV20" s="7" t="e">
        <f t="shared" si="16"/>
        <v>#REF!</v>
      </c>
    </row>
    <row r="21" spans="1:100" s="7" customFormat="1" ht="90">
      <c r="A21" s="118">
        <v>11</v>
      </c>
      <c r="B21" s="141" t="s">
        <v>77</v>
      </c>
      <c r="C21" s="164" t="s">
        <v>109</v>
      </c>
      <c r="D21" s="115" t="s">
        <v>110</v>
      </c>
      <c r="E21" s="149" t="s">
        <v>56</v>
      </c>
      <c r="F21" s="165">
        <v>3</v>
      </c>
      <c r="G21" s="166" t="s">
        <v>92</v>
      </c>
      <c r="H21" s="142" t="s">
        <v>93</v>
      </c>
      <c r="I21" s="167">
        <v>470589</v>
      </c>
      <c r="J21" s="167">
        <f t="shared" si="24"/>
        <v>89411.91</v>
      </c>
      <c r="K21" s="167">
        <f t="shared" si="25"/>
        <v>560000.91</v>
      </c>
      <c r="L21" s="167">
        <f t="shared" si="33"/>
        <v>1411767</v>
      </c>
      <c r="M21" s="167">
        <f t="shared" si="34"/>
        <v>1680002.73</v>
      </c>
      <c r="N21" s="143" t="s">
        <v>94</v>
      </c>
      <c r="O21" s="168">
        <v>361345</v>
      </c>
      <c r="P21" s="168">
        <f t="shared" si="32"/>
        <v>68655.55</v>
      </c>
      <c r="Q21" s="168">
        <f t="shared" si="26"/>
        <v>430000.55</v>
      </c>
      <c r="R21" s="168">
        <f t="shared" si="35"/>
        <v>1084035</v>
      </c>
      <c r="S21" s="168">
        <f t="shared" si="36"/>
        <v>1290001.6499999999</v>
      </c>
      <c r="T21" s="144"/>
      <c r="U21" s="169"/>
      <c r="V21" s="169"/>
      <c r="W21" s="169"/>
      <c r="X21" s="169"/>
      <c r="Y21" s="169"/>
      <c r="Z21" s="170">
        <f t="shared" si="28"/>
        <v>495001</v>
      </c>
      <c r="AA21" s="171">
        <f t="shared" si="29"/>
        <v>1485003</v>
      </c>
      <c r="AB21" s="172">
        <f t="shared" si="30"/>
        <v>275772</v>
      </c>
      <c r="AC21" s="173">
        <f t="shared" si="31"/>
        <v>0.18570467534409021</v>
      </c>
      <c r="AD21" s="115"/>
      <c r="BG21" s="7">
        <v>11</v>
      </c>
      <c r="CA21" s="7" t="e">
        <f>VLOOKUP(C21,#REF!,1,0)</f>
        <v>#REF!</v>
      </c>
      <c r="CB21" s="7" t="e">
        <f>VLOOKUP(C21,#REF!,2,0)</f>
        <v>#REF!</v>
      </c>
      <c r="CC21" s="7" t="e">
        <f>VLOOKUP(C21,#REF!,10,0)</f>
        <v>#REF!</v>
      </c>
      <c r="CD21" s="145" t="e">
        <f>VLOOKUP(C21,#REF!,14,0)</f>
        <v>#REF!</v>
      </c>
      <c r="CE21" s="145" t="e">
        <f>VLOOKUP(C21,#REF!,15,0)</f>
        <v>#REF!</v>
      </c>
      <c r="CF21" s="7" t="e">
        <f>VLOOKUP(C21,#REF!,23,0)</f>
        <v>#REF!</v>
      </c>
      <c r="CG21" s="145" t="e">
        <f>VLOOKUP(C21,#REF!,27,0)</f>
        <v>#REF!</v>
      </c>
      <c r="CH21" s="145" t="e">
        <f>VLOOKUP(C21,#REF!,28,0)</f>
        <v>#REF!</v>
      </c>
      <c r="CI21" s="7" t="e">
        <f>VLOOKUP(C21,#REF!,36,0)</f>
        <v>#REF!</v>
      </c>
      <c r="CJ21" s="145" t="e">
        <f>VLOOKUP(C21,#REF!,40,0)</f>
        <v>#REF!</v>
      </c>
      <c r="CK21" s="145" t="e">
        <f>VLOOKUP(C21,#REF!,41,0)</f>
        <v>#REF!</v>
      </c>
      <c r="CL21" s="145" t="e">
        <f>VLOOKUP(C21,#REF!,45,0)</f>
        <v>#REF!</v>
      </c>
      <c r="CM21" s="146" t="e">
        <f>VLOOKUP(C21,#REF!,48,0)</f>
        <v>#REF!</v>
      </c>
      <c r="CN21" s="7" t="e">
        <f t="shared" si="8"/>
        <v>#REF!</v>
      </c>
      <c r="CO21" s="7" t="e">
        <f t="shared" si="9"/>
        <v>#REF!</v>
      </c>
      <c r="CP21" s="7" t="e">
        <f t="shared" si="10"/>
        <v>#REF!</v>
      </c>
      <c r="CQ21" s="7" t="e">
        <f t="shared" si="11"/>
        <v>#REF!</v>
      </c>
      <c r="CR21" s="7" t="e">
        <f t="shared" si="12"/>
        <v>#REF!</v>
      </c>
      <c r="CS21" s="7" t="e">
        <f t="shared" si="13"/>
        <v>#REF!</v>
      </c>
      <c r="CT21" s="7" t="e">
        <f t="shared" si="14"/>
        <v>#REF!</v>
      </c>
      <c r="CU21" s="7" t="e">
        <f t="shared" si="15"/>
        <v>#REF!</v>
      </c>
      <c r="CV21" s="7" t="e">
        <f t="shared" si="16"/>
        <v>#REF!</v>
      </c>
    </row>
    <row r="22" spans="1:100" s="7" customFormat="1" ht="105">
      <c r="A22" s="118">
        <v>12</v>
      </c>
      <c r="B22" s="141" t="s">
        <v>77</v>
      </c>
      <c r="C22" s="164" t="s">
        <v>111</v>
      </c>
      <c r="D22" s="115" t="s">
        <v>112</v>
      </c>
      <c r="E22" s="149" t="s">
        <v>113</v>
      </c>
      <c r="F22" s="165">
        <v>1</v>
      </c>
      <c r="G22" s="166" t="s">
        <v>80</v>
      </c>
      <c r="H22" s="142"/>
      <c r="I22" s="167"/>
      <c r="J22" s="167"/>
      <c r="K22" s="167"/>
      <c r="L22" s="167"/>
      <c r="M22" s="167"/>
      <c r="N22" s="143" t="s">
        <v>89</v>
      </c>
      <c r="O22" s="168">
        <v>393815.12605042016</v>
      </c>
      <c r="P22" s="168">
        <f t="shared" si="32"/>
        <v>74824.873949579836</v>
      </c>
      <c r="Q22" s="168">
        <f t="shared" ref="Q22" si="40">O22+P22</f>
        <v>468640</v>
      </c>
      <c r="R22" s="168">
        <f t="shared" ref="R22" si="41">IF(B22="","",(O22*F22))</f>
        <v>393815.12605042016</v>
      </c>
      <c r="S22" s="168">
        <f t="shared" si="36"/>
        <v>468640</v>
      </c>
      <c r="T22" s="144" t="s">
        <v>114</v>
      </c>
      <c r="U22" s="169">
        <v>382399</v>
      </c>
      <c r="V22" s="169">
        <f t="shared" si="39"/>
        <v>72655.81</v>
      </c>
      <c r="W22" s="169">
        <f t="shared" si="27"/>
        <v>455054.81</v>
      </c>
      <c r="X22" s="169">
        <f t="shared" si="37"/>
        <v>382399</v>
      </c>
      <c r="Y22" s="169">
        <f t="shared" si="38"/>
        <v>455054.81</v>
      </c>
      <c r="Z22" s="170">
        <f t="shared" si="28"/>
        <v>461847</v>
      </c>
      <c r="AA22" s="171">
        <f t="shared" si="29"/>
        <v>461847</v>
      </c>
      <c r="AB22" s="172">
        <f t="shared" si="30"/>
        <v>9606</v>
      </c>
      <c r="AC22" s="173">
        <f t="shared" si="31"/>
        <v>2.0799095804454722E-2</v>
      </c>
      <c r="AD22" s="115"/>
      <c r="BG22" s="7">
        <v>12</v>
      </c>
      <c r="CA22" s="7" t="e">
        <f>VLOOKUP(C22,#REF!,1,0)</f>
        <v>#REF!</v>
      </c>
      <c r="CB22" s="7" t="e">
        <f>VLOOKUP(C22,#REF!,2,0)</f>
        <v>#REF!</v>
      </c>
      <c r="CC22" s="7" t="e">
        <f>VLOOKUP(C22,#REF!,10,0)</f>
        <v>#REF!</v>
      </c>
      <c r="CD22" s="145" t="e">
        <f>VLOOKUP(C22,#REF!,14,0)</f>
        <v>#REF!</v>
      </c>
      <c r="CE22" s="145" t="e">
        <f>VLOOKUP(C22,#REF!,15,0)</f>
        <v>#REF!</v>
      </c>
      <c r="CF22" s="7" t="e">
        <f>VLOOKUP(C22,#REF!,23,0)</f>
        <v>#REF!</v>
      </c>
      <c r="CG22" s="145" t="e">
        <f>VLOOKUP(C22,#REF!,27,0)</f>
        <v>#REF!</v>
      </c>
      <c r="CH22" s="145" t="e">
        <f>VLOOKUP(C22,#REF!,28,0)</f>
        <v>#REF!</v>
      </c>
      <c r="CI22" s="7" t="e">
        <f>VLOOKUP(C22,#REF!,36,0)</f>
        <v>#REF!</v>
      </c>
      <c r="CJ22" s="145" t="e">
        <f>VLOOKUP(C22,#REF!,40,0)</f>
        <v>#REF!</v>
      </c>
      <c r="CK22" s="145" t="e">
        <f>VLOOKUP(C22,#REF!,41,0)</f>
        <v>#REF!</v>
      </c>
      <c r="CL22" s="145" t="e">
        <f>VLOOKUP(C22,#REF!,45,0)</f>
        <v>#REF!</v>
      </c>
      <c r="CM22" s="146" t="e">
        <f>VLOOKUP(C22,#REF!,48,0)</f>
        <v>#REF!</v>
      </c>
      <c r="CN22" s="7" t="e">
        <f t="shared" si="8"/>
        <v>#REF!</v>
      </c>
      <c r="CO22" s="7" t="e">
        <f t="shared" si="9"/>
        <v>#REF!</v>
      </c>
      <c r="CP22" s="7" t="e">
        <f t="shared" si="10"/>
        <v>#REF!</v>
      </c>
      <c r="CQ22" s="7" t="e">
        <f t="shared" si="11"/>
        <v>#REF!</v>
      </c>
      <c r="CR22" s="7" t="e">
        <f t="shared" si="12"/>
        <v>#REF!</v>
      </c>
      <c r="CS22" s="7" t="e">
        <f t="shared" si="13"/>
        <v>#REF!</v>
      </c>
      <c r="CT22" s="7" t="e">
        <f t="shared" si="14"/>
        <v>#REF!</v>
      </c>
      <c r="CU22" s="7" t="e">
        <f t="shared" si="15"/>
        <v>#REF!</v>
      </c>
      <c r="CV22" s="7" t="e">
        <f t="shared" si="16"/>
        <v>#REF!</v>
      </c>
    </row>
    <row r="23" spans="1:100" s="7" customFormat="1" ht="90">
      <c r="A23" s="118">
        <v>13</v>
      </c>
      <c r="B23" s="141" t="s">
        <v>77</v>
      </c>
      <c r="C23" s="164" t="s">
        <v>115</v>
      </c>
      <c r="D23" s="115" t="s">
        <v>116</v>
      </c>
      <c r="E23" s="149" t="s">
        <v>56</v>
      </c>
      <c r="F23" s="165">
        <v>75</v>
      </c>
      <c r="G23" s="166" t="s">
        <v>57</v>
      </c>
      <c r="H23" s="142" t="s">
        <v>117</v>
      </c>
      <c r="I23" s="167">
        <v>2200</v>
      </c>
      <c r="J23" s="167">
        <f t="shared" si="24"/>
        <v>418</v>
      </c>
      <c r="K23" s="167">
        <f t="shared" si="25"/>
        <v>2618</v>
      </c>
      <c r="L23" s="167">
        <f t="shared" si="33"/>
        <v>165000</v>
      </c>
      <c r="M23" s="167">
        <f t="shared" si="34"/>
        <v>196350</v>
      </c>
      <c r="N23" s="143" t="s">
        <v>103</v>
      </c>
      <c r="O23" s="168">
        <v>2689.0756302521008</v>
      </c>
      <c r="P23" s="168">
        <f t="shared" si="32"/>
        <v>510.92436974789916</v>
      </c>
      <c r="Q23" s="168">
        <f t="shared" si="26"/>
        <v>3200</v>
      </c>
      <c r="R23" s="168">
        <f t="shared" si="35"/>
        <v>201680.67226890757</v>
      </c>
      <c r="S23" s="168">
        <f t="shared" si="36"/>
        <v>240000</v>
      </c>
      <c r="T23" s="144" t="s">
        <v>118</v>
      </c>
      <c r="U23" s="169">
        <v>3800</v>
      </c>
      <c r="V23" s="169"/>
      <c r="W23" s="169">
        <f t="shared" si="27"/>
        <v>3800</v>
      </c>
      <c r="X23" s="169">
        <f t="shared" si="37"/>
        <v>285000</v>
      </c>
      <c r="Y23" s="169">
        <f t="shared" si="38"/>
        <v>285000</v>
      </c>
      <c r="Z23" s="170">
        <f t="shared" si="28"/>
        <v>3206</v>
      </c>
      <c r="AA23" s="171">
        <f t="shared" si="29"/>
        <v>240450</v>
      </c>
      <c r="AB23" s="172">
        <f t="shared" si="30"/>
        <v>44327</v>
      </c>
      <c r="AC23" s="173">
        <f t="shared" si="31"/>
        <v>0.18435017675192347</v>
      </c>
      <c r="AD23" s="115"/>
      <c r="BG23" s="7">
        <v>13</v>
      </c>
      <c r="CA23" s="7" t="e">
        <f>VLOOKUP(C23,#REF!,1,0)</f>
        <v>#REF!</v>
      </c>
      <c r="CB23" s="7" t="e">
        <f>VLOOKUP(C23,#REF!,2,0)</f>
        <v>#REF!</v>
      </c>
      <c r="CC23" s="7" t="e">
        <f>VLOOKUP(C23,#REF!,10,0)</f>
        <v>#REF!</v>
      </c>
      <c r="CD23" s="145" t="e">
        <f>VLOOKUP(C23,#REF!,14,0)</f>
        <v>#REF!</v>
      </c>
      <c r="CE23" s="145" t="e">
        <f>VLOOKUP(C23,#REF!,15,0)</f>
        <v>#REF!</v>
      </c>
      <c r="CF23" s="7" t="e">
        <f>VLOOKUP(C23,#REF!,23,0)</f>
        <v>#REF!</v>
      </c>
      <c r="CG23" s="145" t="e">
        <f>VLOOKUP(C23,#REF!,27,0)</f>
        <v>#REF!</v>
      </c>
      <c r="CH23" s="145" t="e">
        <f>VLOOKUP(C23,#REF!,28,0)</f>
        <v>#REF!</v>
      </c>
      <c r="CI23" s="7" t="e">
        <f>VLOOKUP(C23,#REF!,36,0)</f>
        <v>#REF!</v>
      </c>
      <c r="CJ23" s="145" t="e">
        <f>VLOOKUP(C23,#REF!,40,0)</f>
        <v>#REF!</v>
      </c>
      <c r="CK23" s="145" t="e">
        <f>VLOOKUP(C23,#REF!,41,0)</f>
        <v>#REF!</v>
      </c>
      <c r="CL23" s="145" t="e">
        <f>VLOOKUP(C23,#REF!,45,0)</f>
        <v>#REF!</v>
      </c>
      <c r="CM23" s="146" t="e">
        <f>VLOOKUP(C23,#REF!,48,0)</f>
        <v>#REF!</v>
      </c>
      <c r="CN23" s="7" t="e">
        <f t="shared" si="8"/>
        <v>#REF!</v>
      </c>
      <c r="CO23" s="7" t="e">
        <f t="shared" si="9"/>
        <v>#REF!</v>
      </c>
      <c r="CP23" s="7" t="e">
        <f t="shared" si="10"/>
        <v>#REF!</v>
      </c>
      <c r="CQ23" s="7" t="e">
        <f t="shared" si="11"/>
        <v>#REF!</v>
      </c>
      <c r="CR23" s="7" t="e">
        <f t="shared" si="12"/>
        <v>#REF!</v>
      </c>
      <c r="CS23" s="7" t="e">
        <f t="shared" si="13"/>
        <v>#REF!</v>
      </c>
      <c r="CT23" s="7" t="e">
        <f t="shared" si="14"/>
        <v>#REF!</v>
      </c>
      <c r="CU23" s="7" t="e">
        <f t="shared" si="15"/>
        <v>#REF!</v>
      </c>
      <c r="CV23" s="7" t="e">
        <f t="shared" si="16"/>
        <v>#REF!</v>
      </c>
    </row>
    <row r="24" spans="1:100" s="7" customFormat="1" ht="195">
      <c r="A24" s="118">
        <v>14</v>
      </c>
      <c r="B24" s="141" t="s">
        <v>77</v>
      </c>
      <c r="C24" s="164" t="s">
        <v>119</v>
      </c>
      <c r="D24" s="115" t="s">
        <v>86</v>
      </c>
      <c r="E24" s="149" t="s">
        <v>56</v>
      </c>
      <c r="F24" s="165">
        <v>375</v>
      </c>
      <c r="G24" s="166" t="s">
        <v>57</v>
      </c>
      <c r="H24" s="142" t="s">
        <v>87</v>
      </c>
      <c r="I24" s="167">
        <v>11700</v>
      </c>
      <c r="J24" s="167">
        <f>I24*8%</f>
        <v>936</v>
      </c>
      <c r="K24" s="167">
        <f t="shared" si="25"/>
        <v>12636</v>
      </c>
      <c r="L24" s="167">
        <f t="shared" si="33"/>
        <v>4387500</v>
      </c>
      <c r="M24" s="167">
        <f t="shared" si="34"/>
        <v>4738500</v>
      </c>
      <c r="N24" s="143" t="s">
        <v>88</v>
      </c>
      <c r="O24" s="168">
        <v>8570</v>
      </c>
      <c r="P24" s="168">
        <f>O24*8%</f>
        <v>685.6</v>
      </c>
      <c r="Q24" s="168">
        <f t="shared" si="26"/>
        <v>9255.6</v>
      </c>
      <c r="R24" s="168">
        <f t="shared" si="35"/>
        <v>3213750</v>
      </c>
      <c r="S24" s="168">
        <f t="shared" si="36"/>
        <v>3470850</v>
      </c>
      <c r="T24" s="144" t="s">
        <v>89</v>
      </c>
      <c r="U24" s="169">
        <v>12843.518518518518</v>
      </c>
      <c r="V24" s="169">
        <f>U24*8%</f>
        <v>1027.4814814814815</v>
      </c>
      <c r="W24" s="169">
        <f t="shared" si="27"/>
        <v>13871</v>
      </c>
      <c r="X24" s="169">
        <f t="shared" si="37"/>
        <v>4816319.444444444</v>
      </c>
      <c r="Y24" s="169">
        <f t="shared" si="38"/>
        <v>5201625</v>
      </c>
      <c r="Z24" s="170">
        <f t="shared" si="28"/>
        <v>11921</v>
      </c>
      <c r="AA24" s="171">
        <f t="shared" si="29"/>
        <v>4470375</v>
      </c>
      <c r="AB24" s="172">
        <f t="shared" si="30"/>
        <v>896010</v>
      </c>
      <c r="AC24" s="173">
        <f t="shared" si="31"/>
        <v>0.20043284959315494</v>
      </c>
      <c r="AD24" s="115"/>
      <c r="BG24" s="7">
        <v>14</v>
      </c>
      <c r="CA24" s="7" t="e">
        <f>VLOOKUP(C24,#REF!,1,0)</f>
        <v>#REF!</v>
      </c>
      <c r="CB24" s="7" t="e">
        <f>VLOOKUP(C24,#REF!,2,0)</f>
        <v>#REF!</v>
      </c>
      <c r="CC24" s="7" t="e">
        <f>VLOOKUP(C24,#REF!,10,0)</f>
        <v>#REF!</v>
      </c>
      <c r="CD24" s="145" t="e">
        <f>VLOOKUP(C24,#REF!,14,0)</f>
        <v>#REF!</v>
      </c>
      <c r="CE24" s="145" t="e">
        <f>VLOOKUP(C24,#REF!,15,0)</f>
        <v>#REF!</v>
      </c>
      <c r="CF24" s="7" t="e">
        <f>VLOOKUP(C24,#REF!,23,0)</f>
        <v>#REF!</v>
      </c>
      <c r="CG24" s="145" t="e">
        <f>VLOOKUP(C24,#REF!,27,0)</f>
        <v>#REF!</v>
      </c>
      <c r="CH24" s="145" t="e">
        <f>VLOOKUP(C24,#REF!,28,0)</f>
        <v>#REF!</v>
      </c>
      <c r="CI24" s="7" t="e">
        <f>VLOOKUP(C24,#REF!,36,0)</f>
        <v>#REF!</v>
      </c>
      <c r="CJ24" s="145" t="e">
        <f>VLOOKUP(C24,#REF!,40,0)</f>
        <v>#REF!</v>
      </c>
      <c r="CK24" s="145" t="e">
        <f>VLOOKUP(C24,#REF!,41,0)</f>
        <v>#REF!</v>
      </c>
      <c r="CL24" s="145" t="e">
        <f>VLOOKUP(C24,#REF!,45,0)</f>
        <v>#REF!</v>
      </c>
      <c r="CM24" s="146" t="e">
        <f>VLOOKUP(C24,#REF!,48,0)</f>
        <v>#REF!</v>
      </c>
      <c r="CN24" s="7" t="e">
        <f t="shared" si="8"/>
        <v>#REF!</v>
      </c>
      <c r="CO24" s="7" t="e">
        <f t="shared" si="9"/>
        <v>#REF!</v>
      </c>
      <c r="CP24" s="7" t="e">
        <f t="shared" si="10"/>
        <v>#REF!</v>
      </c>
      <c r="CQ24" s="7" t="e">
        <f t="shared" si="11"/>
        <v>#REF!</v>
      </c>
      <c r="CR24" s="7" t="e">
        <f t="shared" si="12"/>
        <v>#REF!</v>
      </c>
      <c r="CS24" s="7" t="e">
        <f t="shared" si="13"/>
        <v>#REF!</v>
      </c>
      <c r="CT24" s="7" t="e">
        <f t="shared" si="14"/>
        <v>#REF!</v>
      </c>
      <c r="CU24" s="7" t="e">
        <f t="shared" si="15"/>
        <v>#REF!</v>
      </c>
      <c r="CV24" s="7" t="e">
        <f t="shared" si="16"/>
        <v>#REF!</v>
      </c>
    </row>
    <row r="25" spans="1:100" s="7" customFormat="1" ht="90">
      <c r="A25" s="118">
        <v>15</v>
      </c>
      <c r="B25" s="141" t="s">
        <v>77</v>
      </c>
      <c r="C25" s="164" t="s">
        <v>120</v>
      </c>
      <c r="D25" s="115" t="s">
        <v>121</v>
      </c>
      <c r="E25" s="149" t="s">
        <v>56</v>
      </c>
      <c r="F25" s="165">
        <v>1</v>
      </c>
      <c r="G25" s="166" t="s">
        <v>92</v>
      </c>
      <c r="H25" s="142" t="s">
        <v>122</v>
      </c>
      <c r="I25" s="167">
        <v>1650000</v>
      </c>
      <c r="J25" s="167">
        <f t="shared" si="24"/>
        <v>313500</v>
      </c>
      <c r="K25" s="167">
        <f t="shared" si="25"/>
        <v>1963500</v>
      </c>
      <c r="L25" s="167">
        <f t="shared" si="33"/>
        <v>1650000</v>
      </c>
      <c r="M25" s="167">
        <f t="shared" si="34"/>
        <v>1963500</v>
      </c>
      <c r="N25" s="143" t="s">
        <v>123</v>
      </c>
      <c r="O25" s="168">
        <v>2000000</v>
      </c>
      <c r="P25" s="168">
        <f t="shared" si="32"/>
        <v>380000</v>
      </c>
      <c r="Q25" s="168">
        <f t="shared" si="26"/>
        <v>2380000</v>
      </c>
      <c r="R25" s="168">
        <f t="shared" si="35"/>
        <v>2000000</v>
      </c>
      <c r="S25" s="168">
        <f t="shared" si="36"/>
        <v>2380000</v>
      </c>
      <c r="T25" s="144" t="s">
        <v>124</v>
      </c>
      <c r="U25" s="169">
        <v>1680672</v>
      </c>
      <c r="V25" s="169">
        <f t="shared" si="39"/>
        <v>319327.68</v>
      </c>
      <c r="W25" s="169">
        <f t="shared" si="27"/>
        <v>1999999.68</v>
      </c>
      <c r="X25" s="169">
        <f t="shared" si="37"/>
        <v>1680672</v>
      </c>
      <c r="Y25" s="169">
        <f t="shared" si="38"/>
        <v>1999999.68</v>
      </c>
      <c r="Z25" s="170">
        <f t="shared" si="28"/>
        <v>2114500</v>
      </c>
      <c r="AA25" s="171">
        <f t="shared" si="29"/>
        <v>2114500</v>
      </c>
      <c r="AB25" s="172">
        <f t="shared" si="30"/>
        <v>230653</v>
      </c>
      <c r="AC25" s="173">
        <f t="shared" si="31"/>
        <v>0.10908157956963821</v>
      </c>
      <c r="AD25" s="115"/>
      <c r="BG25" s="7">
        <v>15</v>
      </c>
      <c r="CA25" s="7" t="e">
        <f>VLOOKUP(C25,#REF!,1,0)</f>
        <v>#REF!</v>
      </c>
      <c r="CB25" s="7" t="e">
        <f>VLOOKUP(C25,#REF!,2,0)</f>
        <v>#REF!</v>
      </c>
      <c r="CC25" s="7" t="e">
        <f>VLOOKUP(C25,#REF!,10,0)</f>
        <v>#REF!</v>
      </c>
      <c r="CD25" s="145" t="e">
        <f>VLOOKUP(C25,#REF!,14,0)</f>
        <v>#REF!</v>
      </c>
      <c r="CE25" s="145" t="e">
        <f>VLOOKUP(C25,#REF!,15,0)</f>
        <v>#REF!</v>
      </c>
      <c r="CF25" s="7" t="e">
        <f>VLOOKUP(C25,#REF!,23,0)</f>
        <v>#REF!</v>
      </c>
      <c r="CG25" s="145" t="e">
        <f>VLOOKUP(C25,#REF!,27,0)</f>
        <v>#REF!</v>
      </c>
      <c r="CH25" s="145" t="e">
        <f>VLOOKUP(C25,#REF!,28,0)</f>
        <v>#REF!</v>
      </c>
      <c r="CI25" s="7" t="e">
        <f>VLOOKUP(C25,#REF!,36,0)</f>
        <v>#REF!</v>
      </c>
      <c r="CJ25" s="145" t="e">
        <f>VLOOKUP(C25,#REF!,40,0)</f>
        <v>#REF!</v>
      </c>
      <c r="CK25" s="145" t="e">
        <f>VLOOKUP(C25,#REF!,41,0)</f>
        <v>#REF!</v>
      </c>
      <c r="CL25" s="145" t="e">
        <f>VLOOKUP(C25,#REF!,45,0)</f>
        <v>#REF!</v>
      </c>
      <c r="CM25" s="146" t="e">
        <f>VLOOKUP(C25,#REF!,48,0)</f>
        <v>#REF!</v>
      </c>
      <c r="CN25" s="7" t="e">
        <f t="shared" si="8"/>
        <v>#REF!</v>
      </c>
      <c r="CO25" s="7" t="e">
        <f t="shared" si="9"/>
        <v>#REF!</v>
      </c>
      <c r="CP25" s="7" t="e">
        <f t="shared" si="10"/>
        <v>#REF!</v>
      </c>
      <c r="CQ25" s="7" t="e">
        <f t="shared" si="11"/>
        <v>#REF!</v>
      </c>
      <c r="CR25" s="7" t="e">
        <f t="shared" si="12"/>
        <v>#REF!</v>
      </c>
      <c r="CS25" s="7" t="e">
        <f t="shared" si="13"/>
        <v>#REF!</v>
      </c>
      <c r="CT25" s="7" t="e">
        <f t="shared" si="14"/>
        <v>#REF!</v>
      </c>
      <c r="CU25" s="7" t="e">
        <f t="shared" si="15"/>
        <v>#REF!</v>
      </c>
      <c r="CV25" s="7" t="e">
        <f t="shared" si="16"/>
        <v>#REF!</v>
      </c>
    </row>
    <row r="26" spans="1:100" s="7" customFormat="1" ht="105">
      <c r="A26" s="118">
        <v>16</v>
      </c>
      <c r="B26" s="141" t="s">
        <v>77</v>
      </c>
      <c r="C26" s="164" t="s">
        <v>125</v>
      </c>
      <c r="D26" s="115" t="s">
        <v>126</v>
      </c>
      <c r="E26" s="149" t="s">
        <v>113</v>
      </c>
      <c r="F26" s="165">
        <v>1</v>
      </c>
      <c r="G26" s="166" t="s">
        <v>92</v>
      </c>
      <c r="H26" s="142"/>
      <c r="I26" s="167"/>
      <c r="J26" s="167"/>
      <c r="K26" s="167"/>
      <c r="L26" s="167"/>
      <c r="M26" s="167"/>
      <c r="N26" s="143" t="s">
        <v>89</v>
      </c>
      <c r="O26" s="168">
        <v>2860672.2689075633</v>
      </c>
      <c r="P26" s="168">
        <f t="shared" si="32"/>
        <v>543527.73109243705</v>
      </c>
      <c r="Q26" s="168">
        <f t="shared" si="26"/>
        <v>3404200.0000000005</v>
      </c>
      <c r="R26" s="168">
        <f t="shared" si="35"/>
        <v>2860672.2689075633</v>
      </c>
      <c r="S26" s="168">
        <f t="shared" si="36"/>
        <v>3404200.0000000005</v>
      </c>
      <c r="T26" s="144" t="s">
        <v>114</v>
      </c>
      <c r="U26" s="169">
        <v>2764196</v>
      </c>
      <c r="V26" s="169">
        <f t="shared" si="39"/>
        <v>525197.24</v>
      </c>
      <c r="W26" s="169">
        <f t="shared" si="27"/>
        <v>3289393.24</v>
      </c>
      <c r="X26" s="169">
        <f t="shared" si="37"/>
        <v>2764196</v>
      </c>
      <c r="Y26" s="169">
        <f t="shared" si="38"/>
        <v>3289393.24</v>
      </c>
      <c r="Z26" s="170">
        <f>IF(A26="","",ROUND(AVERAGE(Q26,W26),0))</f>
        <v>3346797</v>
      </c>
      <c r="AA26" s="171">
        <f t="shared" si="29"/>
        <v>3346797</v>
      </c>
      <c r="AB26" s="172">
        <f t="shared" si="30"/>
        <v>81181</v>
      </c>
      <c r="AC26" s="173">
        <f t="shared" si="31"/>
        <v>2.4256326272552534E-2</v>
      </c>
      <c r="AD26" s="115"/>
      <c r="BG26" s="7">
        <v>16</v>
      </c>
      <c r="CA26" s="7" t="e">
        <f>VLOOKUP(C26,#REF!,1,0)</f>
        <v>#REF!</v>
      </c>
      <c r="CB26" s="7" t="e">
        <f>VLOOKUP(C26,#REF!,2,0)</f>
        <v>#REF!</v>
      </c>
      <c r="CC26" s="7" t="e">
        <f>VLOOKUP(C26,#REF!,10,0)</f>
        <v>#REF!</v>
      </c>
      <c r="CD26" s="145" t="e">
        <f>VLOOKUP(C26,#REF!,14,0)</f>
        <v>#REF!</v>
      </c>
      <c r="CE26" s="145" t="e">
        <f>VLOOKUP(C26,#REF!,15,0)</f>
        <v>#REF!</v>
      </c>
      <c r="CF26" s="7" t="e">
        <f>VLOOKUP(C26,#REF!,23,0)</f>
        <v>#REF!</v>
      </c>
      <c r="CG26" s="145" t="e">
        <f>VLOOKUP(C26,#REF!,27,0)</f>
        <v>#REF!</v>
      </c>
      <c r="CH26" s="145" t="e">
        <f>VLOOKUP(C26,#REF!,28,0)</f>
        <v>#REF!</v>
      </c>
      <c r="CI26" s="7" t="e">
        <f>VLOOKUP(C26,#REF!,36,0)</f>
        <v>#REF!</v>
      </c>
      <c r="CJ26" s="145" t="e">
        <f>VLOOKUP(C26,#REF!,40,0)</f>
        <v>#REF!</v>
      </c>
      <c r="CK26" s="145" t="e">
        <f>VLOOKUP(C26,#REF!,41,0)</f>
        <v>#REF!</v>
      </c>
      <c r="CL26" s="145" t="e">
        <f>VLOOKUP(C26,#REF!,45,0)</f>
        <v>#REF!</v>
      </c>
      <c r="CM26" s="146" t="e">
        <f>VLOOKUP(C26,#REF!,48,0)</f>
        <v>#REF!</v>
      </c>
      <c r="CN26" s="7" t="e">
        <f t="shared" si="8"/>
        <v>#REF!</v>
      </c>
      <c r="CO26" s="7" t="e">
        <f t="shared" si="9"/>
        <v>#REF!</v>
      </c>
      <c r="CP26" s="7" t="e">
        <f t="shared" si="10"/>
        <v>#REF!</v>
      </c>
      <c r="CQ26" s="7" t="e">
        <f t="shared" si="11"/>
        <v>#REF!</v>
      </c>
      <c r="CR26" s="7" t="e">
        <f t="shared" si="12"/>
        <v>#REF!</v>
      </c>
      <c r="CS26" s="7" t="e">
        <f t="shared" si="13"/>
        <v>#REF!</v>
      </c>
      <c r="CT26" s="7" t="e">
        <f t="shared" si="14"/>
        <v>#REF!</v>
      </c>
      <c r="CU26" s="7" t="e">
        <f t="shared" si="15"/>
        <v>#REF!</v>
      </c>
      <c r="CV26" s="7" t="e">
        <f t="shared" si="16"/>
        <v>#REF!</v>
      </c>
    </row>
    <row r="27" spans="1:100" s="7" customFormat="1" ht="90">
      <c r="A27" s="118">
        <v>17</v>
      </c>
      <c r="B27" s="141" t="s">
        <v>77</v>
      </c>
      <c r="C27" s="164" t="s">
        <v>127</v>
      </c>
      <c r="D27" s="115" t="s">
        <v>128</v>
      </c>
      <c r="E27" s="149" t="s">
        <v>56</v>
      </c>
      <c r="F27" s="165">
        <v>5</v>
      </c>
      <c r="G27" s="166" t="s">
        <v>92</v>
      </c>
      <c r="H27" s="142" t="s">
        <v>122</v>
      </c>
      <c r="I27" s="167">
        <v>710000</v>
      </c>
      <c r="J27" s="167">
        <f t="shared" si="24"/>
        <v>134900</v>
      </c>
      <c r="K27" s="167">
        <f t="shared" si="25"/>
        <v>844900</v>
      </c>
      <c r="L27" s="167">
        <f t="shared" si="33"/>
        <v>3550000</v>
      </c>
      <c r="M27" s="167">
        <f t="shared" si="34"/>
        <v>4224500</v>
      </c>
      <c r="N27" s="143" t="s">
        <v>124</v>
      </c>
      <c r="O27" s="168">
        <v>756303</v>
      </c>
      <c r="P27" s="168">
        <f t="shared" si="32"/>
        <v>143697.57</v>
      </c>
      <c r="Q27" s="168">
        <f t="shared" si="26"/>
        <v>900000.57000000007</v>
      </c>
      <c r="R27" s="168">
        <f t="shared" si="35"/>
        <v>3781515</v>
      </c>
      <c r="S27" s="168">
        <f t="shared" si="36"/>
        <v>4500002.8500000006</v>
      </c>
      <c r="T27" s="144"/>
      <c r="U27" s="169"/>
      <c r="V27" s="169"/>
      <c r="W27" s="169"/>
      <c r="X27" s="169"/>
      <c r="Y27" s="169"/>
      <c r="Z27" s="170">
        <f t="shared" si="28"/>
        <v>872450</v>
      </c>
      <c r="AA27" s="171">
        <f t="shared" si="29"/>
        <v>4362250</v>
      </c>
      <c r="AB27" s="172">
        <f t="shared" si="30"/>
        <v>194810</v>
      </c>
      <c r="AC27" s="173">
        <f t="shared" si="31"/>
        <v>4.4658146598658952E-2</v>
      </c>
      <c r="AD27" s="115"/>
      <c r="BG27" s="7">
        <v>17</v>
      </c>
      <c r="CA27" s="7" t="e">
        <f>VLOOKUP(C27,#REF!,1,0)</f>
        <v>#REF!</v>
      </c>
      <c r="CB27" s="7" t="e">
        <f>VLOOKUP(C27,#REF!,2,0)</f>
        <v>#REF!</v>
      </c>
      <c r="CC27" s="7" t="e">
        <f>VLOOKUP(C27,#REF!,10,0)</f>
        <v>#REF!</v>
      </c>
      <c r="CD27" s="145" t="e">
        <f>VLOOKUP(C27,#REF!,14,0)</f>
        <v>#REF!</v>
      </c>
      <c r="CE27" s="145" t="e">
        <f>VLOOKUP(C27,#REF!,15,0)</f>
        <v>#REF!</v>
      </c>
      <c r="CF27" s="7" t="e">
        <f>VLOOKUP(C27,#REF!,23,0)</f>
        <v>#REF!</v>
      </c>
      <c r="CG27" s="145" t="e">
        <f>VLOOKUP(C27,#REF!,27,0)</f>
        <v>#REF!</v>
      </c>
      <c r="CH27" s="145" t="e">
        <f>VLOOKUP(C27,#REF!,28,0)</f>
        <v>#REF!</v>
      </c>
      <c r="CI27" s="7" t="e">
        <f>VLOOKUP(C27,#REF!,36,0)</f>
        <v>#REF!</v>
      </c>
      <c r="CJ27" s="145" t="e">
        <f>VLOOKUP(C27,#REF!,40,0)</f>
        <v>#REF!</v>
      </c>
      <c r="CK27" s="145" t="e">
        <f>VLOOKUP(C27,#REF!,41,0)</f>
        <v>#REF!</v>
      </c>
      <c r="CL27" s="145" t="e">
        <f>VLOOKUP(C27,#REF!,45,0)</f>
        <v>#REF!</v>
      </c>
      <c r="CM27" s="146" t="e">
        <f>VLOOKUP(C27,#REF!,48,0)</f>
        <v>#REF!</v>
      </c>
      <c r="CN27" s="7" t="e">
        <f t="shared" si="8"/>
        <v>#REF!</v>
      </c>
      <c r="CO27" s="7" t="e">
        <f t="shared" si="9"/>
        <v>#REF!</v>
      </c>
      <c r="CP27" s="7" t="e">
        <f t="shared" si="10"/>
        <v>#REF!</v>
      </c>
      <c r="CQ27" s="7" t="e">
        <f t="shared" si="11"/>
        <v>#REF!</v>
      </c>
      <c r="CR27" s="7" t="e">
        <f t="shared" si="12"/>
        <v>#REF!</v>
      </c>
      <c r="CS27" s="7" t="e">
        <f t="shared" si="13"/>
        <v>#REF!</v>
      </c>
      <c r="CT27" s="7" t="e">
        <f t="shared" si="14"/>
        <v>#REF!</v>
      </c>
      <c r="CU27" s="7" t="e">
        <f t="shared" si="15"/>
        <v>#REF!</v>
      </c>
      <c r="CV27" s="7" t="e">
        <f t="shared" si="16"/>
        <v>#REF!</v>
      </c>
    </row>
    <row r="28" spans="1:100" s="7" customFormat="1" ht="90">
      <c r="A28" s="118">
        <v>18</v>
      </c>
      <c r="B28" s="141" t="s">
        <v>77</v>
      </c>
      <c r="C28" s="164" t="s">
        <v>129</v>
      </c>
      <c r="D28" s="115" t="s">
        <v>130</v>
      </c>
      <c r="E28" s="149" t="s">
        <v>56</v>
      </c>
      <c r="F28" s="165">
        <v>35</v>
      </c>
      <c r="G28" s="166" t="s">
        <v>92</v>
      </c>
      <c r="H28" s="142" t="s">
        <v>122</v>
      </c>
      <c r="I28" s="167">
        <v>33076</v>
      </c>
      <c r="J28" s="167">
        <f t="shared" si="24"/>
        <v>6284.4400000000005</v>
      </c>
      <c r="K28" s="167">
        <f t="shared" si="25"/>
        <v>39360.44</v>
      </c>
      <c r="L28" s="167">
        <f t="shared" si="33"/>
        <v>1157660</v>
      </c>
      <c r="M28" s="167">
        <f t="shared" si="34"/>
        <v>1377615.4000000001</v>
      </c>
      <c r="N28" s="143" t="s">
        <v>131</v>
      </c>
      <c r="O28" s="168">
        <v>26050.420168067227</v>
      </c>
      <c r="P28" s="168">
        <f t="shared" si="32"/>
        <v>4949.5798319327732</v>
      </c>
      <c r="Q28" s="168">
        <f t="shared" si="26"/>
        <v>31000</v>
      </c>
      <c r="R28" s="168">
        <f t="shared" si="35"/>
        <v>911764.70588235289</v>
      </c>
      <c r="S28" s="168">
        <f t="shared" si="36"/>
        <v>1085000</v>
      </c>
      <c r="T28" s="144" t="s">
        <v>114</v>
      </c>
      <c r="U28" s="169">
        <v>27096</v>
      </c>
      <c r="V28" s="169">
        <f t="shared" si="39"/>
        <v>5148.24</v>
      </c>
      <c r="W28" s="169">
        <f t="shared" si="27"/>
        <v>32244.239999999998</v>
      </c>
      <c r="X28" s="169">
        <f t="shared" si="37"/>
        <v>948360</v>
      </c>
      <c r="Y28" s="169">
        <f t="shared" si="38"/>
        <v>1128548.3999999999</v>
      </c>
      <c r="Z28" s="170">
        <f t="shared" si="28"/>
        <v>34202</v>
      </c>
      <c r="AA28" s="171">
        <f t="shared" si="29"/>
        <v>1197070</v>
      </c>
      <c r="AB28" s="172">
        <f t="shared" si="30"/>
        <v>157879</v>
      </c>
      <c r="AC28" s="173">
        <f t="shared" si="31"/>
        <v>0.1318878595236703</v>
      </c>
      <c r="AD28" s="115"/>
      <c r="BG28" s="7">
        <v>18</v>
      </c>
      <c r="CA28" s="7" t="e">
        <f>VLOOKUP(C28,#REF!,1,0)</f>
        <v>#REF!</v>
      </c>
      <c r="CB28" s="7" t="e">
        <f>VLOOKUP(C28,#REF!,2,0)</f>
        <v>#REF!</v>
      </c>
      <c r="CC28" s="7" t="e">
        <f>VLOOKUP(C28,#REF!,10,0)</f>
        <v>#REF!</v>
      </c>
      <c r="CD28" s="145" t="e">
        <f>VLOOKUP(C28,#REF!,14,0)</f>
        <v>#REF!</v>
      </c>
      <c r="CE28" s="145" t="e">
        <f>VLOOKUP(C28,#REF!,15,0)</f>
        <v>#REF!</v>
      </c>
      <c r="CF28" s="7" t="e">
        <f>VLOOKUP(C28,#REF!,23,0)</f>
        <v>#REF!</v>
      </c>
      <c r="CG28" s="145" t="e">
        <f>VLOOKUP(C28,#REF!,27,0)</f>
        <v>#REF!</v>
      </c>
      <c r="CH28" s="145" t="e">
        <f>VLOOKUP(C28,#REF!,28,0)</f>
        <v>#REF!</v>
      </c>
      <c r="CI28" s="7" t="e">
        <f>VLOOKUP(C28,#REF!,36,0)</f>
        <v>#REF!</v>
      </c>
      <c r="CJ28" s="145" t="e">
        <f>VLOOKUP(C28,#REF!,40,0)</f>
        <v>#REF!</v>
      </c>
      <c r="CK28" s="145" t="e">
        <f>VLOOKUP(C28,#REF!,41,0)</f>
        <v>#REF!</v>
      </c>
      <c r="CL28" s="145" t="e">
        <f>VLOOKUP(C28,#REF!,45,0)</f>
        <v>#REF!</v>
      </c>
      <c r="CM28" s="146" t="e">
        <f>VLOOKUP(C28,#REF!,48,0)</f>
        <v>#REF!</v>
      </c>
      <c r="CN28" s="7" t="e">
        <f t="shared" si="8"/>
        <v>#REF!</v>
      </c>
      <c r="CO28" s="7" t="e">
        <f t="shared" si="9"/>
        <v>#REF!</v>
      </c>
      <c r="CP28" s="7" t="e">
        <f t="shared" si="10"/>
        <v>#REF!</v>
      </c>
      <c r="CQ28" s="7" t="e">
        <f t="shared" si="11"/>
        <v>#REF!</v>
      </c>
      <c r="CR28" s="7" t="e">
        <f t="shared" si="12"/>
        <v>#REF!</v>
      </c>
      <c r="CS28" s="7" t="e">
        <f t="shared" si="13"/>
        <v>#REF!</v>
      </c>
      <c r="CT28" s="7" t="e">
        <f t="shared" si="14"/>
        <v>#REF!</v>
      </c>
      <c r="CU28" s="7" t="e">
        <f t="shared" si="15"/>
        <v>#REF!</v>
      </c>
      <c r="CV28" s="7" t="e">
        <f t="shared" si="16"/>
        <v>#REF!</v>
      </c>
    </row>
    <row r="29" spans="1:100" s="7" customFormat="1" ht="90">
      <c r="A29" s="118">
        <v>19</v>
      </c>
      <c r="B29" s="141" t="s">
        <v>77</v>
      </c>
      <c r="C29" s="164" t="s">
        <v>132</v>
      </c>
      <c r="D29" s="115" t="s">
        <v>133</v>
      </c>
      <c r="E29" s="149" t="s">
        <v>113</v>
      </c>
      <c r="F29" s="165">
        <v>375</v>
      </c>
      <c r="G29" s="166" t="s">
        <v>92</v>
      </c>
      <c r="H29" s="142" t="s">
        <v>134</v>
      </c>
      <c r="I29" s="167">
        <v>4436.9747899159665</v>
      </c>
      <c r="J29" s="167">
        <f t="shared" si="24"/>
        <v>843.02521008403369</v>
      </c>
      <c r="K29" s="167">
        <f t="shared" si="25"/>
        <v>5280</v>
      </c>
      <c r="L29" s="167">
        <f t="shared" si="33"/>
        <v>1663865.5462184874</v>
      </c>
      <c r="M29" s="167">
        <f t="shared" si="34"/>
        <v>1980000</v>
      </c>
      <c r="N29" s="143" t="s">
        <v>114</v>
      </c>
      <c r="O29" s="168">
        <v>4198.8900000000003</v>
      </c>
      <c r="P29" s="168">
        <f t="shared" si="32"/>
        <v>797.78910000000008</v>
      </c>
      <c r="Q29" s="168">
        <f t="shared" si="26"/>
        <v>4996.6791000000003</v>
      </c>
      <c r="R29" s="168">
        <f t="shared" si="35"/>
        <v>1574583.7500000002</v>
      </c>
      <c r="S29" s="168">
        <f t="shared" si="36"/>
        <v>1873754.6625000001</v>
      </c>
      <c r="T29" s="144" t="s">
        <v>135</v>
      </c>
      <c r="U29" s="169">
        <v>4033.61</v>
      </c>
      <c r="V29" s="169">
        <f t="shared" si="39"/>
        <v>766.38589999999999</v>
      </c>
      <c r="W29" s="169">
        <f t="shared" si="27"/>
        <v>4799.9958999999999</v>
      </c>
      <c r="X29" s="169">
        <f t="shared" si="37"/>
        <v>1512603.75</v>
      </c>
      <c r="Y29" s="169">
        <f t="shared" si="38"/>
        <v>1799998.4624999999</v>
      </c>
      <c r="Z29" s="170">
        <f t="shared" si="28"/>
        <v>5026</v>
      </c>
      <c r="AA29" s="171">
        <f t="shared" si="29"/>
        <v>1884750</v>
      </c>
      <c r="AB29" s="172">
        <f t="shared" si="30"/>
        <v>90488</v>
      </c>
      <c r="AC29" s="173">
        <f t="shared" si="31"/>
        <v>4.8010611486934605E-2</v>
      </c>
      <c r="AD29" s="115"/>
      <c r="BG29" s="7">
        <v>19</v>
      </c>
      <c r="CA29" s="7" t="e">
        <f>VLOOKUP(C29,#REF!,1,0)</f>
        <v>#REF!</v>
      </c>
      <c r="CB29" s="7" t="e">
        <f>VLOOKUP(C29,#REF!,2,0)</f>
        <v>#REF!</v>
      </c>
      <c r="CC29" s="7" t="e">
        <f>VLOOKUP(C29,#REF!,10,0)</f>
        <v>#REF!</v>
      </c>
      <c r="CD29" s="145" t="e">
        <f>VLOOKUP(C29,#REF!,14,0)</f>
        <v>#REF!</v>
      </c>
      <c r="CE29" s="145" t="e">
        <f>VLOOKUP(C29,#REF!,15,0)</f>
        <v>#REF!</v>
      </c>
      <c r="CF29" s="7" t="e">
        <f>VLOOKUP(C29,#REF!,23,0)</f>
        <v>#REF!</v>
      </c>
      <c r="CG29" s="145" t="e">
        <f>VLOOKUP(C29,#REF!,27,0)</f>
        <v>#REF!</v>
      </c>
      <c r="CH29" s="145" t="e">
        <f>VLOOKUP(C29,#REF!,28,0)</f>
        <v>#REF!</v>
      </c>
      <c r="CI29" s="7" t="e">
        <f>VLOOKUP(C29,#REF!,36,0)</f>
        <v>#REF!</v>
      </c>
      <c r="CJ29" s="145" t="e">
        <f>VLOOKUP(C29,#REF!,40,0)</f>
        <v>#REF!</v>
      </c>
      <c r="CK29" s="145" t="e">
        <f>VLOOKUP(C29,#REF!,41,0)</f>
        <v>#REF!</v>
      </c>
      <c r="CL29" s="145" t="e">
        <f>VLOOKUP(C29,#REF!,45,0)</f>
        <v>#REF!</v>
      </c>
      <c r="CM29" s="146" t="e">
        <f>VLOOKUP(C29,#REF!,48,0)</f>
        <v>#REF!</v>
      </c>
      <c r="CN29" s="7" t="e">
        <f t="shared" si="8"/>
        <v>#REF!</v>
      </c>
      <c r="CO29" s="7" t="e">
        <f t="shared" si="9"/>
        <v>#REF!</v>
      </c>
      <c r="CP29" s="7" t="e">
        <f t="shared" si="10"/>
        <v>#REF!</v>
      </c>
      <c r="CQ29" s="7" t="e">
        <f t="shared" si="11"/>
        <v>#REF!</v>
      </c>
      <c r="CR29" s="7" t="e">
        <f t="shared" si="12"/>
        <v>#REF!</v>
      </c>
      <c r="CS29" s="7" t="e">
        <f t="shared" si="13"/>
        <v>#REF!</v>
      </c>
      <c r="CT29" s="7" t="e">
        <f t="shared" si="14"/>
        <v>#REF!</v>
      </c>
      <c r="CU29" s="7" t="e">
        <f t="shared" si="15"/>
        <v>#REF!</v>
      </c>
      <c r="CV29" s="7" t="e">
        <f t="shared" si="16"/>
        <v>#REF!</v>
      </c>
    </row>
    <row r="30" spans="1:100" s="7" customFormat="1" ht="105">
      <c r="A30" s="118">
        <v>20</v>
      </c>
      <c r="B30" s="141" t="s">
        <v>77</v>
      </c>
      <c r="C30" s="164" t="s">
        <v>136</v>
      </c>
      <c r="D30" s="115" t="s">
        <v>137</v>
      </c>
      <c r="E30" s="149" t="s">
        <v>113</v>
      </c>
      <c r="F30" s="165">
        <v>50</v>
      </c>
      <c r="G30" s="166" t="s">
        <v>80</v>
      </c>
      <c r="H30" s="142"/>
      <c r="I30" s="167"/>
      <c r="J30" s="167"/>
      <c r="K30" s="167"/>
      <c r="L30" s="167"/>
      <c r="M30" s="167"/>
      <c r="N30" s="143" t="s">
        <v>89</v>
      </c>
      <c r="O30" s="168">
        <v>1191859.66386555</v>
      </c>
      <c r="P30" s="168">
        <f t="shared" si="32"/>
        <v>226453.3361344545</v>
      </c>
      <c r="Q30" s="168">
        <f t="shared" si="26"/>
        <v>1418313.0000000044</v>
      </c>
      <c r="R30" s="168">
        <f t="shared" si="35"/>
        <v>59592983.193277501</v>
      </c>
      <c r="S30" s="168">
        <f t="shared" si="36"/>
        <v>70915650.000000224</v>
      </c>
      <c r="T30" s="144" t="s">
        <v>114</v>
      </c>
      <c r="U30" s="169">
        <v>1157309</v>
      </c>
      <c r="V30" s="169">
        <f t="shared" si="39"/>
        <v>219888.71</v>
      </c>
      <c r="W30" s="169">
        <f t="shared" si="27"/>
        <v>1377197.71</v>
      </c>
      <c r="X30" s="169">
        <f t="shared" si="37"/>
        <v>57865450</v>
      </c>
      <c r="Y30" s="169">
        <f t="shared" si="38"/>
        <v>68859885.5</v>
      </c>
      <c r="Z30" s="170">
        <f>IF(A30="","",ROUND(AVERAGE(Q30,W30),0))</f>
        <v>1397755</v>
      </c>
      <c r="AA30" s="171">
        <f t="shared" si="29"/>
        <v>69887750</v>
      </c>
      <c r="AB30" s="172">
        <f t="shared" si="30"/>
        <v>1453645</v>
      </c>
      <c r="AC30" s="173">
        <f t="shared" si="31"/>
        <v>2.0799710965083294E-2</v>
      </c>
      <c r="AD30" s="115"/>
      <c r="BG30" s="7">
        <v>20</v>
      </c>
      <c r="CA30" s="7" t="e">
        <f>VLOOKUP(C30,#REF!,1,0)</f>
        <v>#REF!</v>
      </c>
      <c r="CB30" s="7" t="e">
        <f>VLOOKUP(C30,#REF!,2,0)</f>
        <v>#REF!</v>
      </c>
      <c r="CC30" s="7" t="e">
        <f>VLOOKUP(C30,#REF!,10,0)</f>
        <v>#REF!</v>
      </c>
      <c r="CD30" s="145" t="e">
        <f>VLOOKUP(C30,#REF!,14,0)</f>
        <v>#REF!</v>
      </c>
      <c r="CE30" s="145" t="e">
        <f>VLOOKUP(C30,#REF!,15,0)</f>
        <v>#REF!</v>
      </c>
      <c r="CF30" s="7" t="e">
        <f>VLOOKUP(C30,#REF!,23,0)</f>
        <v>#REF!</v>
      </c>
      <c r="CG30" s="145" t="e">
        <f>VLOOKUP(C30,#REF!,27,0)</f>
        <v>#REF!</v>
      </c>
      <c r="CH30" s="145" t="e">
        <f>VLOOKUP(C30,#REF!,28,0)</f>
        <v>#REF!</v>
      </c>
      <c r="CI30" s="7" t="e">
        <f>VLOOKUP(C30,#REF!,36,0)</f>
        <v>#REF!</v>
      </c>
      <c r="CJ30" s="145" t="e">
        <f>VLOOKUP(C30,#REF!,40,0)</f>
        <v>#REF!</v>
      </c>
      <c r="CK30" s="145" t="e">
        <f>VLOOKUP(C30,#REF!,41,0)</f>
        <v>#REF!</v>
      </c>
      <c r="CL30" s="145" t="e">
        <f>VLOOKUP(C30,#REF!,45,0)</f>
        <v>#REF!</v>
      </c>
      <c r="CM30" s="146" t="e">
        <f>VLOOKUP(C30,#REF!,48,0)</f>
        <v>#REF!</v>
      </c>
      <c r="CN30" s="7" t="e">
        <f t="shared" si="8"/>
        <v>#REF!</v>
      </c>
      <c r="CO30" s="7" t="e">
        <f t="shared" si="9"/>
        <v>#REF!</v>
      </c>
      <c r="CP30" s="7" t="e">
        <f t="shared" si="10"/>
        <v>#REF!</v>
      </c>
      <c r="CQ30" s="7" t="e">
        <f t="shared" si="11"/>
        <v>#REF!</v>
      </c>
      <c r="CR30" s="7" t="e">
        <f t="shared" si="12"/>
        <v>#REF!</v>
      </c>
      <c r="CS30" s="7" t="e">
        <f t="shared" si="13"/>
        <v>#REF!</v>
      </c>
      <c r="CT30" s="7" t="e">
        <f t="shared" si="14"/>
        <v>#REF!</v>
      </c>
      <c r="CU30" s="7" t="e">
        <f t="shared" si="15"/>
        <v>#REF!</v>
      </c>
      <c r="CV30" s="7" t="e">
        <f t="shared" si="16"/>
        <v>#REF!</v>
      </c>
    </row>
    <row r="31" spans="1:100" s="7" customFormat="1" ht="90">
      <c r="A31" s="118">
        <v>21</v>
      </c>
      <c r="B31" s="141" t="s">
        <v>77</v>
      </c>
      <c r="C31" s="164" t="s">
        <v>138</v>
      </c>
      <c r="D31" s="115" t="s">
        <v>139</v>
      </c>
      <c r="E31" s="149" t="s">
        <v>56</v>
      </c>
      <c r="F31" s="165">
        <v>35</v>
      </c>
      <c r="G31" s="166" t="s">
        <v>92</v>
      </c>
      <c r="H31" s="142" t="s">
        <v>140</v>
      </c>
      <c r="I31" s="167">
        <v>450000</v>
      </c>
      <c r="J31" s="167">
        <f t="shared" si="24"/>
        <v>85500</v>
      </c>
      <c r="K31" s="167">
        <f t="shared" si="25"/>
        <v>535500</v>
      </c>
      <c r="L31" s="167">
        <f t="shared" si="33"/>
        <v>15750000</v>
      </c>
      <c r="M31" s="167">
        <f t="shared" si="34"/>
        <v>18742500</v>
      </c>
      <c r="N31" s="143" t="s">
        <v>122</v>
      </c>
      <c r="O31" s="168">
        <v>304500</v>
      </c>
      <c r="P31" s="168">
        <f t="shared" si="32"/>
        <v>57855</v>
      </c>
      <c r="Q31" s="168">
        <f t="shared" si="26"/>
        <v>362355</v>
      </c>
      <c r="R31" s="168">
        <f t="shared" si="35"/>
        <v>10657500</v>
      </c>
      <c r="S31" s="168">
        <f t="shared" si="36"/>
        <v>12682425</v>
      </c>
      <c r="T31" s="144" t="s">
        <v>135</v>
      </c>
      <c r="U31" s="169">
        <v>315126</v>
      </c>
      <c r="V31" s="169">
        <f t="shared" si="39"/>
        <v>59873.94</v>
      </c>
      <c r="W31" s="169">
        <f t="shared" si="27"/>
        <v>374999.94</v>
      </c>
      <c r="X31" s="169">
        <f t="shared" si="37"/>
        <v>11029410</v>
      </c>
      <c r="Y31" s="169">
        <f t="shared" si="38"/>
        <v>13124997.9</v>
      </c>
      <c r="Z31" s="170">
        <f t="shared" si="28"/>
        <v>424285</v>
      </c>
      <c r="AA31" s="171">
        <f t="shared" si="29"/>
        <v>14849975</v>
      </c>
      <c r="AB31" s="172">
        <f t="shared" si="30"/>
        <v>3378281</v>
      </c>
      <c r="AC31" s="173">
        <f t="shared" si="31"/>
        <v>0.22749405302029127</v>
      </c>
      <c r="AD31" s="115"/>
      <c r="BG31" s="7">
        <v>21</v>
      </c>
      <c r="CA31" s="7" t="e">
        <f>VLOOKUP(C31,#REF!,1,0)</f>
        <v>#REF!</v>
      </c>
      <c r="CB31" s="7" t="e">
        <f>VLOOKUP(C31,#REF!,2,0)</f>
        <v>#REF!</v>
      </c>
      <c r="CC31" s="7" t="e">
        <f>VLOOKUP(C31,#REF!,10,0)</f>
        <v>#REF!</v>
      </c>
      <c r="CD31" s="145" t="e">
        <f>VLOOKUP(C31,#REF!,14,0)</f>
        <v>#REF!</v>
      </c>
      <c r="CE31" s="145" t="e">
        <f>VLOOKUP(C31,#REF!,15,0)</f>
        <v>#REF!</v>
      </c>
      <c r="CF31" s="7" t="e">
        <f>VLOOKUP(C31,#REF!,23,0)</f>
        <v>#REF!</v>
      </c>
      <c r="CG31" s="145" t="e">
        <f>VLOOKUP(C31,#REF!,27,0)</f>
        <v>#REF!</v>
      </c>
      <c r="CH31" s="145" t="e">
        <f>VLOOKUP(C31,#REF!,28,0)</f>
        <v>#REF!</v>
      </c>
      <c r="CI31" s="7" t="e">
        <f>VLOOKUP(C31,#REF!,36,0)</f>
        <v>#REF!</v>
      </c>
      <c r="CJ31" s="145" t="e">
        <f>VLOOKUP(C31,#REF!,40,0)</f>
        <v>#REF!</v>
      </c>
      <c r="CK31" s="145" t="e">
        <f>VLOOKUP(C31,#REF!,41,0)</f>
        <v>#REF!</v>
      </c>
      <c r="CL31" s="145" t="e">
        <f>VLOOKUP(C31,#REF!,45,0)</f>
        <v>#REF!</v>
      </c>
      <c r="CM31" s="146" t="e">
        <f>VLOOKUP(C31,#REF!,48,0)</f>
        <v>#REF!</v>
      </c>
      <c r="CN31" s="7" t="e">
        <f t="shared" si="8"/>
        <v>#REF!</v>
      </c>
      <c r="CO31" s="7" t="e">
        <f t="shared" si="9"/>
        <v>#REF!</v>
      </c>
      <c r="CP31" s="7" t="e">
        <f t="shared" si="10"/>
        <v>#REF!</v>
      </c>
      <c r="CQ31" s="7" t="e">
        <f t="shared" si="11"/>
        <v>#REF!</v>
      </c>
      <c r="CR31" s="7" t="e">
        <f t="shared" si="12"/>
        <v>#REF!</v>
      </c>
      <c r="CS31" s="7" t="e">
        <f t="shared" si="13"/>
        <v>#REF!</v>
      </c>
      <c r="CT31" s="7" t="e">
        <f t="shared" si="14"/>
        <v>#REF!</v>
      </c>
      <c r="CU31" s="7" t="e">
        <f t="shared" si="15"/>
        <v>#REF!</v>
      </c>
      <c r="CV31" s="7" t="e">
        <f t="shared" si="16"/>
        <v>#REF!</v>
      </c>
    </row>
    <row r="32" spans="1:100" s="7" customFormat="1" ht="20.25">
      <c r="A32" s="118">
        <v>22</v>
      </c>
      <c r="B32" s="141" t="s">
        <v>141</v>
      </c>
      <c r="C32" s="164" t="s">
        <v>142</v>
      </c>
      <c r="D32" s="115" t="s">
        <v>143</v>
      </c>
      <c r="E32" s="149" t="s">
        <v>56</v>
      </c>
      <c r="F32" s="165">
        <v>75</v>
      </c>
      <c r="G32" s="166" t="s">
        <v>80</v>
      </c>
      <c r="H32" s="142"/>
      <c r="I32" s="167">
        <v>15000000</v>
      </c>
      <c r="J32" s="167"/>
      <c r="K32" s="167">
        <f t="shared" si="25"/>
        <v>15000000</v>
      </c>
      <c r="L32" s="167">
        <v>15000000</v>
      </c>
      <c r="M32" s="167">
        <f>L32*F32</f>
        <v>1125000000</v>
      </c>
      <c r="N32" s="143"/>
      <c r="O32" s="168">
        <v>15000000</v>
      </c>
      <c r="P32" s="168"/>
      <c r="Q32" s="168">
        <f t="shared" si="26"/>
        <v>15000000</v>
      </c>
      <c r="R32" s="168"/>
      <c r="S32" s="168"/>
      <c r="T32" s="144"/>
      <c r="U32" s="169">
        <v>15000000</v>
      </c>
      <c r="V32" s="169"/>
      <c r="W32" s="169">
        <f t="shared" si="27"/>
        <v>15000000</v>
      </c>
      <c r="X32" s="169"/>
      <c r="Y32" s="169"/>
      <c r="Z32" s="170">
        <f t="shared" si="28"/>
        <v>15000000</v>
      </c>
      <c r="AA32" s="171">
        <f t="shared" si="29"/>
        <v>1125000000</v>
      </c>
      <c r="AB32" s="172"/>
      <c r="AC32" s="173">
        <f t="shared" si="31"/>
        <v>0</v>
      </c>
      <c r="AD32" s="115"/>
      <c r="BG32" s="7">
        <v>22</v>
      </c>
      <c r="CA32" s="7" t="e">
        <f>VLOOKUP(C32,#REF!,1,0)</f>
        <v>#REF!</v>
      </c>
      <c r="CB32" s="7" t="e">
        <f>VLOOKUP(C32,#REF!,2,0)</f>
        <v>#REF!</v>
      </c>
      <c r="CC32" s="7" t="e">
        <f>VLOOKUP(C32,#REF!,10,0)</f>
        <v>#REF!</v>
      </c>
      <c r="CD32" s="145" t="e">
        <f>VLOOKUP(C32,#REF!,14,0)</f>
        <v>#REF!</v>
      </c>
      <c r="CE32" s="145" t="e">
        <f>VLOOKUP(C32,#REF!,15,0)</f>
        <v>#REF!</v>
      </c>
      <c r="CF32" s="7" t="e">
        <f>VLOOKUP(C32,#REF!,23,0)</f>
        <v>#REF!</v>
      </c>
      <c r="CG32" s="145" t="e">
        <f>VLOOKUP(C32,#REF!,27,0)</f>
        <v>#REF!</v>
      </c>
      <c r="CH32" s="145" t="e">
        <f>VLOOKUP(C32,#REF!,28,0)</f>
        <v>#REF!</v>
      </c>
      <c r="CI32" s="7" t="e">
        <f>VLOOKUP(C32,#REF!,36,0)</f>
        <v>#REF!</v>
      </c>
      <c r="CJ32" s="145" t="e">
        <f>VLOOKUP(C32,#REF!,40,0)</f>
        <v>#REF!</v>
      </c>
      <c r="CK32" s="145" t="e">
        <f>VLOOKUP(C32,#REF!,41,0)</f>
        <v>#REF!</v>
      </c>
      <c r="CL32" s="145" t="e">
        <f>VLOOKUP(C32,#REF!,45,0)</f>
        <v>#REF!</v>
      </c>
      <c r="CM32" s="146" t="e">
        <f>VLOOKUP(C32,#REF!,48,0)</f>
        <v>#REF!</v>
      </c>
      <c r="CN32" s="7" t="e">
        <f t="shared" si="8"/>
        <v>#REF!</v>
      </c>
      <c r="CO32" s="7" t="e">
        <f t="shared" si="9"/>
        <v>#REF!</v>
      </c>
      <c r="CP32" s="7" t="e">
        <f t="shared" si="10"/>
        <v>#REF!</v>
      </c>
      <c r="CQ32" s="7" t="e">
        <f t="shared" si="11"/>
        <v>#REF!</v>
      </c>
      <c r="CR32" s="7" t="e">
        <f t="shared" si="12"/>
        <v>#REF!</v>
      </c>
      <c r="CS32" s="7" t="e">
        <f t="shared" si="13"/>
        <v>#REF!</v>
      </c>
      <c r="CT32" s="7" t="e">
        <f t="shared" si="14"/>
        <v>#REF!</v>
      </c>
      <c r="CU32" s="7" t="e">
        <f t="shared" si="15"/>
        <v>#REF!</v>
      </c>
      <c r="CV32" s="7" t="e">
        <f t="shared" si="16"/>
        <v>#REF!</v>
      </c>
    </row>
    <row r="33" spans="1:91" s="7" customFormat="1" ht="46.9" customHeight="1">
      <c r="A33" s="175" t="s">
        <v>144</v>
      </c>
      <c r="B33" s="175"/>
      <c r="C33" s="175"/>
      <c r="D33" s="175"/>
      <c r="E33" s="175"/>
      <c r="F33" s="175"/>
      <c r="G33" s="175"/>
      <c r="H33" s="175"/>
      <c r="I33" s="175"/>
      <c r="J33" s="175"/>
      <c r="K33" s="175"/>
      <c r="L33" s="175"/>
      <c r="M33" s="175"/>
      <c r="N33" s="175"/>
      <c r="O33" s="175"/>
      <c r="P33" s="175"/>
      <c r="Q33" s="175"/>
      <c r="R33" s="175"/>
      <c r="S33" s="175"/>
      <c r="T33" s="175"/>
      <c r="U33" s="175"/>
      <c r="V33" s="175"/>
      <c r="W33" s="175"/>
      <c r="X33" s="175"/>
      <c r="Y33" s="175"/>
      <c r="Z33" s="175"/>
      <c r="AA33" s="116">
        <f>SUM(AA11:AA32)</f>
        <v>1267873817</v>
      </c>
      <c r="AB33" s="72"/>
      <c r="AC33" s="72"/>
      <c r="AD33" s="72"/>
      <c r="CG33" s="119"/>
      <c r="CH33" s="119"/>
      <c r="CJ33" s="119"/>
      <c r="CK33" s="119"/>
      <c r="CL33" s="119"/>
      <c r="CM33" s="120"/>
    </row>
    <row r="34" spans="1:91">
      <c r="L34" s="70"/>
      <c r="M34" s="70"/>
    </row>
    <row r="35" spans="1:91" s="7" customFormat="1" ht="20.25">
      <c r="A35" s="176" t="s">
        <v>145</v>
      </c>
      <c r="B35" s="176"/>
      <c r="C35" s="176"/>
      <c r="D35" s="176"/>
      <c r="E35" s="147"/>
      <c r="F35" s="147"/>
      <c r="G35" s="147"/>
      <c r="H35" s="3"/>
      <c r="I35" s="3"/>
      <c r="J35" s="3"/>
      <c r="K35" s="3"/>
      <c r="L35" s="70"/>
      <c r="M35" s="70"/>
      <c r="N35" s="3"/>
      <c r="O35" s="3"/>
      <c r="P35" s="3"/>
      <c r="Q35" s="3"/>
      <c r="R35" s="3"/>
      <c r="S35" s="3"/>
      <c r="T35" s="3"/>
      <c r="U35" s="3"/>
      <c r="V35" s="3"/>
      <c r="W35" s="3"/>
      <c r="X35" s="3"/>
      <c r="Y35" s="3"/>
      <c r="Z35" s="3"/>
      <c r="AA35" s="3"/>
      <c r="AB35" s="3"/>
      <c r="AC35" s="3"/>
      <c r="AD35" s="3"/>
      <c r="AE35" s="3"/>
      <c r="AF35" s="3"/>
      <c r="CD35" s="145"/>
      <c r="CE35" s="145"/>
      <c r="CG35" s="145"/>
      <c r="CH35" s="145"/>
      <c r="CJ35" s="145"/>
      <c r="CK35" s="145"/>
      <c r="CL35" s="145"/>
      <c r="CM35" s="146"/>
    </row>
    <row r="36" spans="1:91" s="7" customFormat="1">
      <c r="A36" s="78"/>
      <c r="B36" s="78"/>
      <c r="C36" s="78"/>
      <c r="D36" s="78"/>
      <c r="E36" s="78"/>
      <c r="F36" s="78"/>
      <c r="G36" s="78"/>
      <c r="H36" s="3"/>
      <c r="I36" s="3"/>
      <c r="J36" s="3"/>
      <c r="K36" s="3"/>
      <c r="L36" s="70"/>
      <c r="M36" s="70"/>
      <c r="N36" s="3"/>
      <c r="O36" s="3"/>
      <c r="P36" s="3"/>
      <c r="Q36" s="3"/>
      <c r="R36" s="3"/>
      <c r="S36" s="3"/>
      <c r="T36" s="157"/>
      <c r="U36" s="157"/>
      <c r="V36" s="157"/>
      <c r="W36" s="157"/>
      <c r="X36" s="157"/>
      <c r="Y36" s="3"/>
      <c r="Z36" s="3"/>
      <c r="AA36" s="3"/>
      <c r="AB36" s="3"/>
      <c r="AC36" s="3"/>
      <c r="AD36" s="3"/>
      <c r="AE36" s="3"/>
      <c r="AF36" s="3"/>
      <c r="CD36" s="145"/>
      <c r="CE36" s="145"/>
      <c r="CG36" s="145"/>
      <c r="CH36" s="145"/>
      <c r="CJ36" s="145"/>
      <c r="CK36" s="145"/>
      <c r="CL36" s="145"/>
      <c r="CM36" s="146"/>
    </row>
    <row r="37" spans="1:91" s="10" customFormat="1" ht="69.75">
      <c r="A37" s="76" t="s">
        <v>29</v>
      </c>
      <c r="B37" s="76" t="s">
        <v>30</v>
      </c>
      <c r="C37" s="76" t="s">
        <v>146</v>
      </c>
      <c r="D37" s="76" t="s">
        <v>147</v>
      </c>
      <c r="E37" s="76" t="s">
        <v>32</v>
      </c>
      <c r="F37" s="76" t="s">
        <v>33</v>
      </c>
      <c r="G37" s="77" t="s">
        <v>148</v>
      </c>
      <c r="H37" s="77" t="s">
        <v>149</v>
      </c>
      <c r="I37" s="77" t="s">
        <v>150</v>
      </c>
      <c r="J37" s="77" t="s">
        <v>151</v>
      </c>
      <c r="K37" s="148" t="s">
        <v>43</v>
      </c>
      <c r="L37" s="70"/>
      <c r="M37" s="70"/>
      <c r="N37" s="70"/>
      <c r="O37" s="70"/>
      <c r="P37" s="70"/>
      <c r="Q37" s="70"/>
      <c r="R37" s="70"/>
      <c r="S37" s="70"/>
      <c r="T37" s="157"/>
      <c r="U37" s="157"/>
      <c r="V37" s="157"/>
      <c r="W37" s="157"/>
      <c r="X37" s="157"/>
      <c r="AR37" s="7"/>
      <c r="CD37" s="158"/>
      <c r="CE37" s="158"/>
      <c r="CG37" s="158"/>
      <c r="CH37" s="158"/>
      <c r="CJ37" s="158"/>
      <c r="CK37" s="158"/>
      <c r="CL37" s="158"/>
      <c r="CM37" s="159"/>
    </row>
    <row r="38" spans="1:91" s="7" customFormat="1" ht="195">
      <c r="A38" s="118">
        <v>1</v>
      </c>
      <c r="B38" s="141" t="s">
        <v>145</v>
      </c>
      <c r="C38" s="115" t="s">
        <v>152</v>
      </c>
      <c r="D38" s="115" t="s">
        <v>153</v>
      </c>
      <c r="E38" s="149" t="s">
        <v>154</v>
      </c>
      <c r="F38" s="150">
        <v>1</v>
      </c>
      <c r="G38" s="151">
        <v>8</v>
      </c>
      <c r="H38" s="152" t="s">
        <v>155</v>
      </c>
      <c r="I38" s="163">
        <v>5500000</v>
      </c>
      <c r="J38" s="163">
        <f>I38*F38*G38</f>
        <v>44000000</v>
      </c>
      <c r="K38" s="153" t="s">
        <v>156</v>
      </c>
      <c r="L38" s="70"/>
      <c r="M38" s="70"/>
      <c r="N38" s="70"/>
      <c r="O38" s="70"/>
      <c r="P38" s="70"/>
      <c r="Q38" s="70"/>
      <c r="R38" s="70"/>
      <c r="S38" s="70"/>
      <c r="T38" s="157"/>
      <c r="U38" s="157"/>
      <c r="V38" s="157"/>
      <c r="W38" s="157"/>
      <c r="X38" s="157"/>
      <c r="Y38" s="154" t="s">
        <v>157</v>
      </c>
      <c r="Z38" s="155" t="s">
        <v>158</v>
      </c>
      <c r="AA38" s="121">
        <f>SUM(AA33,L44)</f>
        <v>1267873817</v>
      </c>
      <c r="AR38" s="7">
        <v>1</v>
      </c>
      <c r="CD38" s="145"/>
      <c r="CE38" s="145"/>
      <c r="CG38" s="145"/>
      <c r="CH38" s="145"/>
      <c r="CJ38" s="145"/>
      <c r="CK38" s="145"/>
      <c r="CL38" s="145"/>
      <c r="CM38" s="146"/>
    </row>
    <row r="39" spans="1:91" s="7" customFormat="1" ht="180">
      <c r="A39" s="118">
        <v>2</v>
      </c>
      <c r="B39" s="141" t="s">
        <v>145</v>
      </c>
      <c r="C39" s="115" t="s">
        <v>159</v>
      </c>
      <c r="D39" s="115" t="s">
        <v>160</v>
      </c>
      <c r="E39" s="149" t="s">
        <v>154</v>
      </c>
      <c r="F39" s="150">
        <v>1</v>
      </c>
      <c r="G39" s="151">
        <v>8</v>
      </c>
      <c r="H39" s="152" t="s">
        <v>155</v>
      </c>
      <c r="I39" s="163">
        <v>3095000</v>
      </c>
      <c r="J39" s="163">
        <f t="shared" ref="J39:J43" si="42">I39*F39*G39</f>
        <v>24760000</v>
      </c>
      <c r="K39" s="153" t="s">
        <v>156</v>
      </c>
      <c r="L39" s="70"/>
      <c r="M39" s="70"/>
      <c r="N39" s="70"/>
      <c r="O39" s="70"/>
      <c r="P39" s="70"/>
      <c r="Q39" s="70"/>
      <c r="R39" s="70"/>
      <c r="S39" s="70"/>
      <c r="T39" s="157"/>
      <c r="U39" s="157"/>
      <c r="V39" s="157"/>
      <c r="W39" s="157"/>
      <c r="X39" s="157"/>
      <c r="Y39" s="156"/>
      <c r="Z39" s="10"/>
      <c r="AA39" s="10"/>
      <c r="AR39" s="7">
        <v>2</v>
      </c>
      <c r="CD39" s="145"/>
      <c r="CE39" s="145"/>
      <c r="CG39" s="145"/>
      <c r="CH39" s="145"/>
      <c r="CJ39" s="145"/>
      <c r="CK39" s="145"/>
      <c r="CL39" s="145"/>
      <c r="CM39" s="146"/>
    </row>
    <row r="40" spans="1:91" s="7" customFormat="1" ht="123.75">
      <c r="A40" s="118">
        <v>3</v>
      </c>
      <c r="B40" s="141" t="s">
        <v>145</v>
      </c>
      <c r="C40" s="115" t="s">
        <v>161</v>
      </c>
      <c r="D40" s="115" t="s">
        <v>162</v>
      </c>
      <c r="E40" s="149" t="s">
        <v>154</v>
      </c>
      <c r="F40" s="150">
        <v>2</v>
      </c>
      <c r="G40" s="151">
        <v>8</v>
      </c>
      <c r="H40" s="152" t="s">
        <v>155</v>
      </c>
      <c r="I40" s="163">
        <v>1602000</v>
      </c>
      <c r="J40" s="163">
        <f t="shared" si="42"/>
        <v>25632000</v>
      </c>
      <c r="K40" s="153" t="s">
        <v>156</v>
      </c>
      <c r="L40" s="70"/>
      <c r="M40" s="70"/>
      <c r="N40" s="70"/>
      <c r="O40" s="70"/>
      <c r="P40" s="70"/>
      <c r="Q40" s="70"/>
      <c r="R40" s="70"/>
      <c r="S40" s="70"/>
      <c r="T40" s="157"/>
      <c r="U40" s="157"/>
      <c r="V40" s="157"/>
      <c r="W40" s="157"/>
      <c r="X40" s="157"/>
      <c r="Y40" s="157"/>
      <c r="Z40" s="10"/>
      <c r="AA40" s="10"/>
      <c r="CD40" s="145"/>
      <c r="CE40" s="145"/>
      <c r="CG40" s="145"/>
      <c r="CH40" s="145"/>
      <c r="CJ40" s="145"/>
      <c r="CK40" s="145"/>
      <c r="CL40" s="145"/>
      <c r="CM40" s="146"/>
    </row>
    <row r="41" spans="1:91" s="7" customFormat="1" ht="165">
      <c r="A41" s="118">
        <v>4</v>
      </c>
      <c r="B41" s="141" t="s">
        <v>145</v>
      </c>
      <c r="C41" s="115" t="s">
        <v>163</v>
      </c>
      <c r="D41" s="115" t="s">
        <v>164</v>
      </c>
      <c r="E41" s="149" t="s">
        <v>154</v>
      </c>
      <c r="F41" s="150">
        <v>4</v>
      </c>
      <c r="G41" s="151">
        <v>1</v>
      </c>
      <c r="H41" s="152" t="s">
        <v>155</v>
      </c>
      <c r="I41" s="163">
        <v>5000000</v>
      </c>
      <c r="J41" s="163">
        <f t="shared" si="42"/>
        <v>20000000</v>
      </c>
      <c r="K41" s="153" t="s">
        <v>156</v>
      </c>
      <c r="L41" s="70"/>
      <c r="M41" s="70"/>
      <c r="N41" s="70"/>
      <c r="O41" s="70"/>
      <c r="P41" s="70"/>
      <c r="Q41" s="70"/>
      <c r="R41" s="70"/>
      <c r="S41" s="70"/>
      <c r="T41" s="157"/>
      <c r="U41" s="157"/>
      <c r="V41" s="157"/>
      <c r="W41" s="157"/>
      <c r="X41" s="157"/>
      <c r="Y41" s="157"/>
      <c r="Z41" s="10"/>
      <c r="AA41" s="10"/>
      <c r="CD41" s="145"/>
      <c r="CE41" s="145"/>
      <c r="CG41" s="145"/>
      <c r="CH41" s="145"/>
      <c r="CJ41" s="145"/>
      <c r="CK41" s="145"/>
      <c r="CL41" s="145"/>
      <c r="CM41" s="146"/>
    </row>
    <row r="42" spans="1:91" s="7" customFormat="1" ht="165">
      <c r="A42" s="118">
        <v>5</v>
      </c>
      <c r="B42" s="141" t="s">
        <v>145</v>
      </c>
      <c r="C42" s="115" t="s">
        <v>165</v>
      </c>
      <c r="D42" s="115" t="s">
        <v>166</v>
      </c>
      <c r="E42" s="149" t="s">
        <v>154</v>
      </c>
      <c r="F42" s="150">
        <v>2</v>
      </c>
      <c r="G42" s="151">
        <v>2</v>
      </c>
      <c r="H42" s="152" t="s">
        <v>155</v>
      </c>
      <c r="I42" s="163">
        <v>5000000</v>
      </c>
      <c r="J42" s="163">
        <f t="shared" si="42"/>
        <v>20000000</v>
      </c>
      <c r="K42" s="153" t="s">
        <v>156</v>
      </c>
      <c r="L42" s="70"/>
      <c r="M42" s="70"/>
      <c r="N42" s="70"/>
      <c r="O42" s="70"/>
      <c r="P42" s="70"/>
      <c r="Q42" s="70"/>
      <c r="R42" s="70"/>
      <c r="S42" s="70"/>
      <c r="T42" s="157"/>
      <c r="U42" s="157"/>
      <c r="V42" s="157"/>
      <c r="W42" s="157"/>
      <c r="X42" s="157"/>
      <c r="Y42" s="157"/>
      <c r="Z42" s="10"/>
      <c r="AA42" s="10"/>
      <c r="CD42" s="145"/>
      <c r="CE42" s="145"/>
      <c r="CG42" s="145"/>
      <c r="CH42" s="145"/>
      <c r="CJ42" s="145"/>
      <c r="CK42" s="145"/>
      <c r="CL42" s="145"/>
      <c r="CM42" s="146"/>
    </row>
    <row r="43" spans="1:91" s="7" customFormat="1" ht="165">
      <c r="A43" s="118">
        <v>6</v>
      </c>
      <c r="B43" s="141" t="s">
        <v>145</v>
      </c>
      <c r="C43" s="115" t="s">
        <v>167</v>
      </c>
      <c r="D43" s="115" t="s">
        <v>168</v>
      </c>
      <c r="E43" s="149" t="s">
        <v>154</v>
      </c>
      <c r="F43" s="150">
        <v>2</v>
      </c>
      <c r="G43" s="151">
        <v>2</v>
      </c>
      <c r="H43" s="152" t="s">
        <v>155</v>
      </c>
      <c r="I43" s="163">
        <v>5000000</v>
      </c>
      <c r="J43" s="163">
        <f t="shared" si="42"/>
        <v>20000000</v>
      </c>
      <c r="K43" s="153" t="s">
        <v>156</v>
      </c>
      <c r="L43" s="70"/>
      <c r="M43" s="70"/>
      <c r="N43" s="70"/>
      <c r="O43" s="70"/>
      <c r="P43" s="70"/>
      <c r="Q43" s="70"/>
      <c r="R43" s="70"/>
      <c r="S43" s="70"/>
      <c r="T43" s="157"/>
      <c r="U43" s="157"/>
      <c r="V43" s="157"/>
      <c r="W43" s="157"/>
      <c r="X43" s="157"/>
      <c r="Y43" s="157"/>
      <c r="Z43" s="10"/>
      <c r="AA43" s="10"/>
      <c r="CD43" s="145"/>
      <c r="CE43" s="145"/>
      <c r="CG43" s="145"/>
      <c r="CH43" s="145"/>
      <c r="CJ43" s="145"/>
      <c r="CK43" s="145"/>
      <c r="CL43" s="145"/>
      <c r="CM43" s="146"/>
    </row>
    <row r="44" spans="1:91" s="7" customFormat="1" ht="63" customHeight="1">
      <c r="A44" s="174" t="s">
        <v>169</v>
      </c>
      <c r="B44" s="174"/>
      <c r="C44" s="174"/>
      <c r="D44" s="174"/>
      <c r="E44" s="174"/>
      <c r="F44" s="174"/>
      <c r="G44" s="174"/>
      <c r="H44" s="174"/>
      <c r="I44" s="174"/>
      <c r="J44" s="75">
        <f>SUM(J38:J43)</f>
        <v>154392000</v>
      </c>
      <c r="K44" s="70"/>
      <c r="L44" s="70"/>
      <c r="CD44" s="145"/>
      <c r="CE44" s="145"/>
      <c r="CG44" s="145"/>
      <c r="CH44" s="145"/>
      <c r="CJ44" s="145"/>
      <c r="CK44" s="145"/>
      <c r="CL44" s="145"/>
      <c r="CM44" s="146"/>
    </row>
    <row r="45" spans="1:91">
      <c r="L45" s="70"/>
      <c r="M45" s="70"/>
    </row>
    <row r="46" spans="1:91">
      <c r="L46" s="70"/>
      <c r="M46" s="70"/>
    </row>
    <row r="47" spans="1:91">
      <c r="L47" s="70"/>
      <c r="M47" s="70"/>
      <c r="P47" s="80"/>
      <c r="Q47" s="80"/>
      <c r="R47" s="80"/>
    </row>
    <row r="48" spans="1:91">
      <c r="L48" s="70"/>
      <c r="M48" s="70"/>
    </row>
  </sheetData>
  <sheetProtection algorithmName="SHA-512" hashValue="I1BAusFMyNbJdaAcF3Hhyw+ShbINaqBilrfKuAa2TVHRuRK/2l+0zMeehS6vQsBmaODZhZUtbSJ4mDoZvfKsvA==" saltValue="K9DazgjJgH4Zsr8qNkXYXg==" spinCount="100000" sheet="1" formatColumns="0" formatRows="0" insertColumns="0" insertRows="0" autoFilter="0"/>
  <autoFilter ref="A10:CV33" xr:uid="{CD4E1CA7-A360-49FE-9893-C36C580FA894}"/>
  <mergeCells count="14">
    <mergeCell ref="A44:I44"/>
    <mergeCell ref="A33:Z33"/>
    <mergeCell ref="A35:D35"/>
    <mergeCell ref="Z4:AA4"/>
    <mergeCell ref="Z5:AA5"/>
    <mergeCell ref="Z6:AA6"/>
    <mergeCell ref="N3:W6"/>
    <mergeCell ref="A3:M3"/>
    <mergeCell ref="A4:B6"/>
    <mergeCell ref="D4:I4"/>
    <mergeCell ref="J4:K4"/>
    <mergeCell ref="L4:M4"/>
    <mergeCell ref="F6:M6"/>
    <mergeCell ref="D5:M5"/>
  </mergeCells>
  <conditionalFormatting sqref="AC11:AC32">
    <cfRule type="cellIs" dxfId="16" priority="18" stopIfTrue="1" operator="greaterThan">
      <formula>0.2</formula>
    </cfRule>
  </conditionalFormatting>
  <dataValidations count="2">
    <dataValidation type="list" allowBlank="1" showInputMessage="1" sqref="G16:G32" xr:uid="{4CC2BC95-6C7B-467E-B94E-803DA1489329}">
      <formula1>"Compra,Alquiler,PrestaciónServicio"</formula1>
    </dataValidation>
    <dataValidation type="list" allowBlank="1" showInputMessage="1" promptTitle="Seleccione Item " prompt="Si es un ítem de la bolsa básica, seleccione de la lista" sqref="C13 C16:C32" xr:uid="{A7F407A3-6C48-4EDF-BD2A-226B53F935CB}">
      <formula1>#REF!</formula1>
    </dataValidation>
  </dataValidations>
  <pageMargins left="0.25" right="0.25" top="0.75" bottom="0.75" header="0.3" footer="0.3"/>
  <pageSetup paperSize="3" scale="16"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750C36C-53AB-4024-94CE-11C3C31AE4C6}">
          <x14:formula1>
            <xm:f>Lista!$V$8:$V$14</xm:f>
          </x14:formula1>
          <xm:sqref>D5 J4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baseColWidth="10" defaultColWidth="11.375" defaultRowHeight="14.25"/>
  <cols>
    <col min="1" max="1" width="16.625" bestFit="1" customWidth="1"/>
    <col min="2" max="2" width="50.125" bestFit="1" customWidth="1"/>
  </cols>
  <sheetData>
    <row r="1" spans="1:2">
      <c r="A1" t="s">
        <v>170</v>
      </c>
    </row>
    <row r="2" spans="1:2">
      <c r="A2" s="61" t="s">
        <v>171</v>
      </c>
      <c r="B2" t="s">
        <v>172</v>
      </c>
    </row>
    <row r="3" spans="1:2">
      <c r="A3" s="62" t="s">
        <v>173</v>
      </c>
      <c r="B3">
        <v>87</v>
      </c>
    </row>
    <row r="4" spans="1:2">
      <c r="A4" s="62" t="s">
        <v>174</v>
      </c>
      <c r="B4">
        <v>87</v>
      </c>
    </row>
    <row r="100" spans="1:2">
      <c r="A100" t="s">
        <v>175</v>
      </c>
    </row>
    <row r="102" spans="1:2">
      <c r="A102" s="61" t="s">
        <v>171</v>
      </c>
      <c r="B102" t="s">
        <v>176</v>
      </c>
    </row>
    <row r="103" spans="1:2">
      <c r="A103" s="62" t="s">
        <v>173</v>
      </c>
      <c r="B103" t="e">
        <v>#DIV/0!</v>
      </c>
    </row>
    <row r="104" spans="1:2">
      <c r="A104" s="62" t="s">
        <v>174</v>
      </c>
      <c r="B104" t="e">
        <v>#DIV/0!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baseColWidth="10" defaultColWidth="11.375" defaultRowHeight="14.25"/>
  <cols>
    <col min="1" max="1" width="17.125" style="3" customWidth="1"/>
    <col min="2" max="2" width="24.375" style="3" customWidth="1"/>
    <col min="3" max="4" width="52.375" style="3" customWidth="1"/>
    <col min="5" max="6" width="28.375" style="3" customWidth="1"/>
    <col min="7" max="7" width="31.375" style="3" customWidth="1"/>
    <col min="8" max="13" width="25.375" style="3" customWidth="1"/>
    <col min="14" max="40" width="24.375" style="3" customWidth="1"/>
    <col min="41" max="50" width="23" style="3" customWidth="1"/>
    <col min="51" max="51" width="56.375" style="3" customWidth="1"/>
    <col min="52" max="54" width="11.375" style="3"/>
    <col min="55" max="56" width="31.375" style="3" customWidth="1"/>
    <col min="57" max="57" width="29.375" style="3" customWidth="1"/>
    <col min="58" max="58" width="66.625" style="3" customWidth="1"/>
    <col min="59" max="61" width="22.625" style="3" customWidth="1"/>
    <col min="62" max="63" width="32.375" style="3" customWidth="1"/>
    <col min="64" max="66" width="22.625" style="3" customWidth="1"/>
    <col min="67" max="88" width="11.375" style="3"/>
    <col min="89" max="89" width="5.375" style="3" bestFit="1" customWidth="1"/>
    <col min="90" max="16384" width="11.375" style="3"/>
  </cols>
  <sheetData>
    <row r="3" spans="1:92" s="1" customFormat="1" ht="32.450000000000003" customHeight="1">
      <c r="A3" s="179" t="s">
        <v>177</v>
      </c>
      <c r="B3" s="179"/>
      <c r="C3" s="179"/>
      <c r="D3" s="179"/>
      <c r="E3" s="179"/>
      <c r="F3" s="179"/>
      <c r="G3" s="179"/>
      <c r="H3" s="179"/>
      <c r="I3" s="179"/>
      <c r="J3" s="179"/>
      <c r="K3" s="179"/>
      <c r="L3" s="179"/>
      <c r="M3" s="216" t="s">
        <v>1</v>
      </c>
      <c r="N3" s="217"/>
      <c r="O3" s="217"/>
      <c r="P3" s="217"/>
      <c r="Q3" s="217"/>
      <c r="R3" s="217"/>
      <c r="S3" s="217"/>
      <c r="T3" s="217"/>
      <c r="U3" s="217"/>
      <c r="V3" s="217"/>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c r="A4" s="180"/>
      <c r="B4" s="180"/>
      <c r="C4" s="45" t="s">
        <v>178</v>
      </c>
      <c r="D4" s="17"/>
      <c r="E4" s="222" t="s">
        <v>6</v>
      </c>
      <c r="F4" s="222"/>
      <c r="G4" s="223"/>
      <c r="H4" s="223"/>
      <c r="I4" s="223"/>
      <c r="J4" s="223"/>
      <c r="K4" s="223"/>
      <c r="L4" s="223"/>
      <c r="M4" s="218"/>
      <c r="N4" s="219"/>
      <c r="O4" s="219"/>
      <c r="P4" s="219"/>
      <c r="Q4" s="219"/>
      <c r="R4" s="219"/>
      <c r="S4" s="219"/>
      <c r="T4" s="219"/>
      <c r="U4" s="219"/>
      <c r="V4" s="219"/>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180"/>
      <c r="B5" s="180"/>
      <c r="C5" s="20" t="s">
        <v>10</v>
      </c>
      <c r="D5" s="224"/>
      <c r="E5" s="225"/>
      <c r="F5" s="226"/>
      <c r="G5" s="20" t="s">
        <v>11</v>
      </c>
      <c r="H5" s="224"/>
      <c r="I5" s="226"/>
      <c r="J5" s="20" t="s">
        <v>179</v>
      </c>
      <c r="K5" s="224"/>
      <c r="L5" s="226"/>
      <c r="M5" s="218"/>
      <c r="N5" s="219"/>
      <c r="O5" s="219"/>
      <c r="P5" s="219"/>
      <c r="Q5" s="219"/>
      <c r="R5" s="219"/>
      <c r="S5" s="219"/>
      <c r="T5" s="219"/>
      <c r="U5" s="219"/>
      <c r="V5" s="219"/>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180"/>
      <c r="B6" s="180"/>
      <c r="C6" s="46" t="s">
        <v>2</v>
      </c>
      <c r="D6" s="222"/>
      <c r="E6" s="222"/>
      <c r="F6" s="222"/>
      <c r="G6" s="222"/>
      <c r="H6" s="222"/>
      <c r="I6" s="222"/>
      <c r="J6" s="222"/>
      <c r="K6" s="222"/>
      <c r="L6" s="222"/>
      <c r="M6" s="220"/>
      <c r="N6" s="221"/>
      <c r="O6" s="221"/>
      <c r="P6" s="221"/>
      <c r="Q6" s="221"/>
      <c r="R6" s="221"/>
      <c r="S6" s="221"/>
      <c r="T6" s="221"/>
      <c r="U6" s="221"/>
      <c r="V6" s="221"/>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200" t="s">
        <v>145</v>
      </c>
      <c r="BD6" s="200"/>
      <c r="BE6" s="200"/>
      <c r="BF6" s="200"/>
      <c r="BG6" s="200"/>
      <c r="BH6" s="200"/>
      <c r="BI6" s="200"/>
      <c r="BJ6" s="200"/>
      <c r="BK6" s="200"/>
      <c r="BL6" s="200"/>
      <c r="BM6" s="200"/>
      <c r="BN6" s="200"/>
    </row>
    <row r="8" spans="1:92">
      <c r="A8" s="4"/>
      <c r="I8" s="16"/>
      <c r="J8" s="16"/>
      <c r="K8" s="16"/>
      <c r="L8" s="16"/>
      <c r="O8" s="16"/>
      <c r="P8" s="16"/>
      <c r="Q8" s="16"/>
      <c r="R8" s="16"/>
      <c r="U8" s="16"/>
      <c r="V8" s="16"/>
      <c r="W8" s="16"/>
      <c r="X8" s="16"/>
      <c r="Y8" s="16"/>
      <c r="AA8" s="16"/>
      <c r="AB8" s="16"/>
      <c r="AC8" s="16"/>
      <c r="AD8" s="16"/>
      <c r="AE8" s="16"/>
    </row>
    <row r="9" spans="1:92" s="18" customFormat="1" ht="15.6" customHeight="1">
      <c r="G9" s="207" t="s">
        <v>23</v>
      </c>
      <c r="H9" s="208"/>
      <c r="I9" s="208"/>
      <c r="J9" s="208"/>
      <c r="K9" s="208"/>
      <c r="L9" s="209"/>
      <c r="M9" s="210" t="s">
        <v>24</v>
      </c>
      <c r="N9" s="211"/>
      <c r="O9" s="211"/>
      <c r="P9" s="211"/>
      <c r="Q9" s="211"/>
      <c r="R9" s="212"/>
      <c r="S9" s="213" t="s">
        <v>25</v>
      </c>
      <c r="T9" s="214"/>
      <c r="U9" s="214"/>
      <c r="V9" s="214"/>
      <c r="W9" s="214"/>
      <c r="X9" s="215"/>
      <c r="Y9" s="210" t="s">
        <v>180</v>
      </c>
      <c r="Z9" s="211"/>
      <c r="AA9" s="211"/>
      <c r="AB9" s="211"/>
      <c r="AC9" s="211"/>
      <c r="AD9" s="212"/>
      <c r="AE9" s="204" t="s">
        <v>26</v>
      </c>
      <c r="AF9" s="205"/>
      <c r="AG9" s="205"/>
      <c r="AH9" s="205"/>
      <c r="AI9" s="203" t="s">
        <v>181</v>
      </c>
      <c r="AJ9" s="203"/>
      <c r="AO9" s="204" t="s">
        <v>26</v>
      </c>
      <c r="AP9" s="205"/>
      <c r="AQ9" s="205"/>
      <c r="AR9" s="205"/>
      <c r="AS9" s="203" t="s">
        <v>181</v>
      </c>
      <c r="AT9" s="203"/>
    </row>
    <row r="10" spans="1:92" s="18" customFormat="1" ht="97.9" customHeight="1">
      <c r="A10" s="19" t="s">
        <v>29</v>
      </c>
      <c r="B10" s="19" t="s">
        <v>30</v>
      </c>
      <c r="C10" s="19" t="s">
        <v>14</v>
      </c>
      <c r="D10" s="19" t="s">
        <v>15</v>
      </c>
      <c r="E10" s="19" t="s">
        <v>32</v>
      </c>
      <c r="F10" s="19" t="s">
        <v>33</v>
      </c>
      <c r="G10" s="21" t="s">
        <v>16</v>
      </c>
      <c r="H10" s="21" t="s">
        <v>21</v>
      </c>
      <c r="I10" s="21" t="s">
        <v>39</v>
      </c>
      <c r="J10" s="21" t="s">
        <v>19</v>
      </c>
      <c r="K10" s="21" t="s">
        <v>36</v>
      </c>
      <c r="L10" s="21" t="s">
        <v>37</v>
      </c>
      <c r="M10" s="19" t="s">
        <v>18</v>
      </c>
      <c r="N10" s="19" t="s">
        <v>21</v>
      </c>
      <c r="O10" s="19" t="s">
        <v>39</v>
      </c>
      <c r="P10" s="19" t="s">
        <v>19</v>
      </c>
      <c r="Q10" s="19" t="s">
        <v>36</v>
      </c>
      <c r="R10" s="19" t="s">
        <v>37</v>
      </c>
      <c r="S10" s="28" t="s">
        <v>20</v>
      </c>
      <c r="T10" s="28" t="s">
        <v>21</v>
      </c>
      <c r="U10" s="28" t="s">
        <v>39</v>
      </c>
      <c r="V10" s="28" t="s">
        <v>19</v>
      </c>
      <c r="W10" s="28" t="s">
        <v>36</v>
      </c>
      <c r="X10" s="28" t="s">
        <v>37</v>
      </c>
      <c r="Y10" s="19" t="s">
        <v>182</v>
      </c>
      <c r="Z10" s="19" t="s">
        <v>21</v>
      </c>
      <c r="AA10" s="19" t="s">
        <v>39</v>
      </c>
      <c r="AB10" s="19" t="s">
        <v>19</v>
      </c>
      <c r="AC10" s="19" t="s">
        <v>36</v>
      </c>
      <c r="AD10" s="19" t="s">
        <v>37</v>
      </c>
      <c r="AE10" s="21" t="s">
        <v>40</v>
      </c>
      <c r="AF10" s="21" t="s">
        <v>41</v>
      </c>
      <c r="AG10" s="21" t="s">
        <v>42</v>
      </c>
      <c r="AH10" s="21" t="s">
        <v>22</v>
      </c>
      <c r="AI10" s="21" t="s">
        <v>40</v>
      </c>
      <c r="AJ10" s="21" t="s">
        <v>41</v>
      </c>
      <c r="AK10" s="21" t="s">
        <v>183</v>
      </c>
      <c r="AL10" s="21" t="s">
        <v>184</v>
      </c>
      <c r="AM10" s="21" t="s">
        <v>185</v>
      </c>
      <c r="AN10" s="21" t="s">
        <v>186</v>
      </c>
      <c r="AO10" s="71" t="s">
        <v>40</v>
      </c>
      <c r="AP10" s="71" t="s">
        <v>41</v>
      </c>
      <c r="AQ10" s="71" t="s">
        <v>42</v>
      </c>
      <c r="AR10" s="71" t="s">
        <v>22</v>
      </c>
      <c r="AS10" s="71" t="s">
        <v>40</v>
      </c>
      <c r="AT10" s="71" t="s">
        <v>41</v>
      </c>
      <c r="AU10" s="71" t="s">
        <v>183</v>
      </c>
      <c r="AV10" s="71" t="s">
        <v>184</v>
      </c>
      <c r="AW10" s="71" t="s">
        <v>185</v>
      </c>
      <c r="AX10" s="71" t="s">
        <v>186</v>
      </c>
      <c r="AY10" s="71" t="s">
        <v>43</v>
      </c>
      <c r="BC10" s="21" t="s">
        <v>30</v>
      </c>
      <c r="BD10" s="21" t="s">
        <v>187</v>
      </c>
      <c r="BE10" s="21" t="s">
        <v>188</v>
      </c>
      <c r="BF10" s="21" t="s">
        <v>189</v>
      </c>
      <c r="BG10" s="21" t="s">
        <v>149</v>
      </c>
      <c r="BH10" s="21" t="s">
        <v>190</v>
      </c>
      <c r="BI10" s="21" t="s">
        <v>148</v>
      </c>
      <c r="BJ10" s="21" t="s">
        <v>191</v>
      </c>
      <c r="BK10" s="21" t="s">
        <v>192</v>
      </c>
      <c r="BL10" s="21" t="s">
        <v>24</v>
      </c>
      <c r="BM10" s="21" t="s">
        <v>25</v>
      </c>
      <c r="BN10" s="21" t="s">
        <v>193</v>
      </c>
    </row>
    <row r="11" spans="1:92" s="7" customFormat="1" ht="15">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ht="15">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ht="15">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ht="15">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ht="15">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ht="15">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ht="15">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ht="15">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ht="15">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ht="15">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ht="15">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ht="15">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ht="15">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ht="15">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ht="15">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ht="15">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ht="15">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ht="15">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ht="15">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ht="15">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ht="15">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ht="15">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ht="15">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ht="15">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ht="15">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ht="15">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ht="15">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201" t="s">
        <v>194</v>
      </c>
      <c r="BG37" s="201"/>
      <c r="BH37" s="201"/>
      <c r="BI37" s="201"/>
      <c r="BJ37" s="201"/>
      <c r="BK37" s="201"/>
      <c r="BL37" s="201"/>
      <c r="BM37" s="202"/>
      <c r="BN37" s="68" t="e">
        <f>SUM(BN11:BN36)</f>
        <v>#DIV/0!</v>
      </c>
      <c r="CN37" s="7">
        <v>27</v>
      </c>
    </row>
    <row r="38" spans="1:92" s="7" customFormat="1" ht="15">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ht="15">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ht="15">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ht="15">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ht="15">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ht="15">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ht="15">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ht="15">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5" customHeight="1">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186" t="s">
        <v>157</v>
      </c>
      <c r="BD46" s="187"/>
      <c r="BE46" s="187"/>
      <c r="BF46" s="187"/>
      <c r="BG46" s="187"/>
      <c r="BH46" s="187"/>
      <c r="BI46" s="187"/>
      <c r="BJ46" s="188"/>
      <c r="BK46" s="189" t="s">
        <v>158</v>
      </c>
      <c r="BL46" s="192" t="e">
        <f>SUM(AP98,BN37)</f>
        <v>#DIV/0!</v>
      </c>
      <c r="BM46" s="193"/>
      <c r="CN46" s="7">
        <v>36</v>
      </c>
    </row>
    <row r="47" spans="1:92" s="7" customFormat="1" ht="14.45" customHeight="1">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198" t="s">
        <v>195</v>
      </c>
      <c r="BD47" s="198"/>
      <c r="BE47" s="198"/>
      <c r="BF47" s="198"/>
      <c r="BG47" s="198"/>
      <c r="BH47" s="198"/>
      <c r="BI47" s="198"/>
      <c r="BJ47" s="198"/>
      <c r="BK47" s="190"/>
      <c r="BL47" s="194"/>
      <c r="BM47" s="195"/>
      <c r="CN47" s="7">
        <v>37</v>
      </c>
    </row>
    <row r="48" spans="1:92" s="7" customFormat="1" ht="14.45" customHeight="1">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198"/>
      <c r="BD48" s="198"/>
      <c r="BE48" s="198"/>
      <c r="BF48" s="198"/>
      <c r="BG48" s="198"/>
      <c r="BH48" s="198"/>
      <c r="BI48" s="198"/>
      <c r="BJ48" s="198"/>
      <c r="BK48" s="190"/>
      <c r="BL48" s="194"/>
      <c r="BM48" s="195"/>
      <c r="CN48" s="7">
        <v>38</v>
      </c>
    </row>
    <row r="49" spans="1:92" s="7" customFormat="1" ht="14.45" customHeight="1">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198"/>
      <c r="BD49" s="198"/>
      <c r="BE49" s="198"/>
      <c r="BF49" s="198"/>
      <c r="BG49" s="198"/>
      <c r="BH49" s="198"/>
      <c r="BI49" s="198"/>
      <c r="BJ49" s="198"/>
      <c r="BK49" s="190"/>
      <c r="BL49" s="194"/>
      <c r="BM49" s="195"/>
      <c r="CN49" s="7">
        <v>39</v>
      </c>
    </row>
    <row r="50" spans="1:92" s="7" customFormat="1" ht="14.45" customHeight="1">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198"/>
      <c r="BD50" s="198"/>
      <c r="BE50" s="198"/>
      <c r="BF50" s="198"/>
      <c r="BG50" s="198"/>
      <c r="BH50" s="198"/>
      <c r="BI50" s="198"/>
      <c r="BJ50" s="198"/>
      <c r="BK50" s="190"/>
      <c r="BL50" s="194"/>
      <c r="BM50" s="195"/>
      <c r="CN50" s="7">
        <v>40</v>
      </c>
    </row>
    <row r="51" spans="1:92" s="7" customFormat="1" ht="14.45" customHeight="1">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198"/>
      <c r="BD51" s="198"/>
      <c r="BE51" s="198"/>
      <c r="BF51" s="198"/>
      <c r="BG51" s="198"/>
      <c r="BH51" s="198"/>
      <c r="BI51" s="198"/>
      <c r="BJ51" s="198"/>
      <c r="BK51" s="190"/>
      <c r="BL51" s="194"/>
      <c r="BM51" s="195"/>
      <c r="CN51" s="7">
        <v>41</v>
      </c>
    </row>
    <row r="52" spans="1:92" s="7" customFormat="1" ht="14.45" customHeight="1">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198"/>
      <c r="BD52" s="198"/>
      <c r="BE52" s="198"/>
      <c r="BF52" s="198"/>
      <c r="BG52" s="198"/>
      <c r="BH52" s="198"/>
      <c r="BI52" s="198"/>
      <c r="BJ52" s="198"/>
      <c r="BK52" s="190"/>
      <c r="BL52" s="194"/>
      <c r="BM52" s="195"/>
      <c r="CN52" s="7">
        <v>42</v>
      </c>
    </row>
    <row r="53" spans="1:92" s="7" customFormat="1" ht="14.45" customHeight="1">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198"/>
      <c r="BD53" s="198"/>
      <c r="BE53" s="198"/>
      <c r="BF53" s="198"/>
      <c r="BG53" s="198"/>
      <c r="BH53" s="198"/>
      <c r="BI53" s="198"/>
      <c r="BJ53" s="198"/>
      <c r="BK53" s="190"/>
      <c r="BL53" s="194"/>
      <c r="BM53" s="195"/>
      <c r="CN53" s="7">
        <v>43</v>
      </c>
    </row>
    <row r="54" spans="1:92" s="7" customFormat="1" ht="14.45" customHeight="1">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198"/>
      <c r="BD54" s="198"/>
      <c r="BE54" s="198"/>
      <c r="BF54" s="198"/>
      <c r="BG54" s="198"/>
      <c r="BH54" s="198"/>
      <c r="BI54" s="198"/>
      <c r="BJ54" s="198"/>
      <c r="BK54" s="190"/>
      <c r="BL54" s="194"/>
      <c r="BM54" s="195"/>
      <c r="CN54" s="7">
        <v>44</v>
      </c>
    </row>
    <row r="55" spans="1:92" s="7" customFormat="1" ht="14.45" customHeight="1">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198"/>
      <c r="BD55" s="198"/>
      <c r="BE55" s="198"/>
      <c r="BF55" s="198"/>
      <c r="BG55" s="198"/>
      <c r="BH55" s="198"/>
      <c r="BI55" s="198"/>
      <c r="BJ55" s="198"/>
      <c r="BK55" s="190"/>
      <c r="BL55" s="194"/>
      <c r="BM55" s="195"/>
      <c r="CN55" s="7">
        <v>45</v>
      </c>
    </row>
    <row r="56" spans="1:92" s="7" customFormat="1" ht="14.45" customHeight="1">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198"/>
      <c r="BD56" s="198"/>
      <c r="BE56" s="198"/>
      <c r="BF56" s="198"/>
      <c r="BG56" s="198"/>
      <c r="BH56" s="198"/>
      <c r="BI56" s="198"/>
      <c r="BJ56" s="198"/>
      <c r="BK56" s="190"/>
      <c r="BL56" s="194"/>
      <c r="BM56" s="195"/>
      <c r="CN56" s="7">
        <v>46</v>
      </c>
    </row>
    <row r="57" spans="1:92" s="7" customFormat="1" ht="14.45" customHeight="1">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198"/>
      <c r="BD57" s="198"/>
      <c r="BE57" s="198"/>
      <c r="BF57" s="198"/>
      <c r="BG57" s="198"/>
      <c r="BH57" s="198"/>
      <c r="BI57" s="198"/>
      <c r="BJ57" s="198"/>
      <c r="BK57" s="190"/>
      <c r="BL57" s="194"/>
      <c r="BM57" s="195"/>
      <c r="CN57" s="7">
        <v>47</v>
      </c>
    </row>
    <row r="58" spans="1:92" s="7" customFormat="1" ht="14.45" customHeight="1">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198"/>
      <c r="BD58" s="198"/>
      <c r="BE58" s="198"/>
      <c r="BF58" s="198"/>
      <c r="BG58" s="198"/>
      <c r="BH58" s="198"/>
      <c r="BI58" s="198"/>
      <c r="BJ58" s="198"/>
      <c r="BK58" s="190"/>
      <c r="BL58" s="194"/>
      <c r="BM58" s="195"/>
      <c r="CN58" s="7">
        <v>48</v>
      </c>
    </row>
    <row r="59" spans="1:92" s="7" customFormat="1" ht="14.45" customHeight="1">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198"/>
      <c r="BD59" s="198"/>
      <c r="BE59" s="198"/>
      <c r="BF59" s="198"/>
      <c r="BG59" s="198"/>
      <c r="BH59" s="198"/>
      <c r="BI59" s="198"/>
      <c r="BJ59" s="198"/>
      <c r="BK59" s="191"/>
      <c r="BL59" s="196"/>
      <c r="BM59" s="197"/>
      <c r="CN59" s="7">
        <v>49</v>
      </c>
    </row>
    <row r="60" spans="1:92" s="7" customFormat="1" ht="15">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ht="15">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ht="15">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ht="15">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ht="15">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ht="15">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ht="15">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ht="15">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5" customHeight="1">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5" customHeight="1">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186" t="s">
        <v>157</v>
      </c>
      <c r="BZ69" s="187"/>
      <c r="CA69" s="187"/>
      <c r="CB69" s="187"/>
      <c r="CC69" s="187"/>
      <c r="CD69" s="187"/>
      <c r="CE69" s="187"/>
      <c r="CF69" s="188"/>
      <c r="CG69" s="189" t="s">
        <v>158</v>
      </c>
      <c r="CH69" s="192">
        <f>SUM(AF120,BN59)</f>
        <v>0</v>
      </c>
      <c r="CI69" s="193"/>
      <c r="CN69" s="7">
        <v>59</v>
      </c>
    </row>
    <row r="70" spans="1:92" s="7" customFormat="1" ht="14.45" customHeight="1">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198" t="s">
        <v>195</v>
      </c>
      <c r="BZ70" s="198"/>
      <c r="CA70" s="198"/>
      <c r="CB70" s="198"/>
      <c r="CC70" s="198"/>
      <c r="CD70" s="198"/>
      <c r="CE70" s="198"/>
      <c r="CF70" s="198"/>
      <c r="CG70" s="190"/>
      <c r="CH70" s="194"/>
      <c r="CI70" s="195"/>
      <c r="CN70" s="7">
        <v>60</v>
      </c>
    </row>
    <row r="71" spans="1:92" s="7" customFormat="1" ht="14.45" customHeight="1">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198"/>
      <c r="BZ71" s="198"/>
      <c r="CA71" s="198"/>
      <c r="CB71" s="198"/>
      <c r="CC71" s="198"/>
      <c r="CD71" s="198"/>
      <c r="CE71" s="198"/>
      <c r="CF71" s="198"/>
      <c r="CG71" s="190"/>
      <c r="CH71" s="194"/>
      <c r="CI71" s="195"/>
      <c r="CN71" s="7">
        <v>61</v>
      </c>
    </row>
    <row r="72" spans="1:92" s="7" customFormat="1" ht="14.45" customHeight="1">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198"/>
      <c r="BZ72" s="198"/>
      <c r="CA72" s="198"/>
      <c r="CB72" s="198"/>
      <c r="CC72" s="198"/>
      <c r="CD72" s="198"/>
      <c r="CE72" s="198"/>
      <c r="CF72" s="198"/>
      <c r="CG72" s="190"/>
      <c r="CH72" s="194"/>
      <c r="CI72" s="195"/>
      <c r="CN72" s="7">
        <v>62</v>
      </c>
    </row>
    <row r="73" spans="1:92" s="7" customFormat="1" ht="14.45" customHeight="1">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198"/>
      <c r="BZ73" s="198"/>
      <c r="CA73" s="198"/>
      <c r="CB73" s="198"/>
      <c r="CC73" s="198"/>
      <c r="CD73" s="198"/>
      <c r="CE73" s="198"/>
      <c r="CF73" s="198"/>
      <c r="CG73" s="190"/>
      <c r="CH73" s="194"/>
      <c r="CI73" s="195"/>
      <c r="CN73" s="7">
        <v>63</v>
      </c>
    </row>
    <row r="74" spans="1:92" s="7" customFormat="1" ht="14.45" customHeight="1">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198"/>
      <c r="BZ74" s="198"/>
      <c r="CA74" s="198"/>
      <c r="CB74" s="198"/>
      <c r="CC74" s="198"/>
      <c r="CD74" s="198"/>
      <c r="CE74" s="198"/>
      <c r="CF74" s="198"/>
      <c r="CG74" s="190"/>
      <c r="CH74" s="194"/>
      <c r="CI74" s="195"/>
      <c r="CN74" s="7">
        <v>64</v>
      </c>
    </row>
    <row r="75" spans="1:92" s="7" customFormat="1" ht="14.45" customHeight="1">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198"/>
      <c r="BZ75" s="198"/>
      <c r="CA75" s="198"/>
      <c r="CB75" s="198"/>
      <c r="CC75" s="198"/>
      <c r="CD75" s="198"/>
      <c r="CE75" s="198"/>
      <c r="CF75" s="198"/>
      <c r="CG75" s="190"/>
      <c r="CH75" s="194"/>
      <c r="CI75" s="195"/>
      <c r="CN75" s="7">
        <v>65</v>
      </c>
    </row>
    <row r="76" spans="1:92" s="7" customFormat="1" ht="14.45" customHeight="1">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198"/>
      <c r="BZ76" s="198"/>
      <c r="CA76" s="198"/>
      <c r="CB76" s="198"/>
      <c r="CC76" s="198"/>
      <c r="CD76" s="198"/>
      <c r="CE76" s="198"/>
      <c r="CF76" s="198"/>
      <c r="CG76" s="190"/>
      <c r="CH76" s="194"/>
      <c r="CI76" s="195"/>
      <c r="CN76" s="7">
        <v>66</v>
      </c>
    </row>
    <row r="77" spans="1:92" s="7" customFormat="1" ht="14.45" customHeight="1">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198"/>
      <c r="BZ77" s="198"/>
      <c r="CA77" s="198"/>
      <c r="CB77" s="198"/>
      <c r="CC77" s="198"/>
      <c r="CD77" s="198"/>
      <c r="CE77" s="198"/>
      <c r="CF77" s="198"/>
      <c r="CG77" s="190"/>
      <c r="CH77" s="194"/>
      <c r="CI77" s="195"/>
      <c r="CN77" s="7">
        <v>67</v>
      </c>
    </row>
    <row r="78" spans="1:92" s="7" customFormat="1" ht="14.45" customHeight="1">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198"/>
      <c r="BZ78" s="198"/>
      <c r="CA78" s="198"/>
      <c r="CB78" s="198"/>
      <c r="CC78" s="198"/>
      <c r="CD78" s="198"/>
      <c r="CE78" s="198"/>
      <c r="CF78" s="198"/>
      <c r="CG78" s="190"/>
      <c r="CH78" s="194"/>
      <c r="CI78" s="195"/>
      <c r="CN78" s="7">
        <v>68</v>
      </c>
    </row>
    <row r="79" spans="1:92" s="7" customFormat="1" ht="14.45" customHeight="1">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198"/>
      <c r="BZ79" s="198"/>
      <c r="CA79" s="198"/>
      <c r="CB79" s="198"/>
      <c r="CC79" s="198"/>
      <c r="CD79" s="198"/>
      <c r="CE79" s="198"/>
      <c r="CF79" s="198"/>
      <c r="CG79" s="190"/>
      <c r="CH79" s="194"/>
      <c r="CI79" s="195"/>
      <c r="CN79" s="7">
        <v>69</v>
      </c>
    </row>
    <row r="80" spans="1:92" s="7" customFormat="1" ht="14.45" customHeight="1">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198"/>
      <c r="BZ80" s="198"/>
      <c r="CA80" s="198"/>
      <c r="CB80" s="198"/>
      <c r="CC80" s="198"/>
      <c r="CD80" s="198"/>
      <c r="CE80" s="198"/>
      <c r="CF80" s="198"/>
      <c r="CG80" s="190"/>
      <c r="CH80" s="194"/>
      <c r="CI80" s="195"/>
      <c r="CN80" s="7">
        <v>70</v>
      </c>
    </row>
    <row r="81" spans="1:92" s="7" customFormat="1" ht="15">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198"/>
      <c r="BZ81" s="198"/>
      <c r="CA81" s="198"/>
      <c r="CB81" s="198"/>
      <c r="CC81" s="198"/>
      <c r="CD81" s="198"/>
      <c r="CE81" s="198"/>
      <c r="CF81" s="198"/>
      <c r="CG81" s="190"/>
      <c r="CH81" s="194"/>
      <c r="CI81" s="195"/>
      <c r="CN81" s="7">
        <v>71</v>
      </c>
    </row>
    <row r="82" spans="1:92" s="7" customFormat="1" ht="15">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198"/>
      <c r="BZ82" s="198"/>
      <c r="CA82" s="198"/>
      <c r="CB82" s="198"/>
      <c r="CC82" s="198"/>
      <c r="CD82" s="198"/>
      <c r="CE82" s="198"/>
      <c r="CF82" s="198"/>
      <c r="CG82" s="191"/>
      <c r="CH82" s="196"/>
      <c r="CI82" s="197"/>
      <c r="CN82" s="7">
        <v>72</v>
      </c>
    </row>
    <row r="83" spans="1:92" s="7" customFormat="1" ht="15">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ht="15">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ht="15">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ht="15">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ht="15">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ht="15">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ht="15">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ht="15">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ht="15">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ht="15">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ht="15">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ht="15">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ht="15">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ht="15">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ht="15">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5" customHeight="1">
      <c r="A98" s="199" t="s">
        <v>144</v>
      </c>
      <c r="B98" s="199"/>
      <c r="C98" s="199"/>
      <c r="D98" s="199"/>
      <c r="E98" s="199"/>
      <c r="F98" s="199"/>
      <c r="G98" s="199"/>
      <c r="H98" s="199"/>
      <c r="I98" s="199"/>
      <c r="J98" s="199"/>
      <c r="K98" s="199"/>
      <c r="L98" s="199"/>
      <c r="M98" s="199"/>
      <c r="N98" s="199"/>
      <c r="O98" s="199"/>
      <c r="P98" s="199"/>
      <c r="Q98" s="199"/>
      <c r="R98" s="199"/>
      <c r="S98" s="199"/>
      <c r="T98" s="199"/>
      <c r="U98" s="199"/>
      <c r="V98" s="199"/>
      <c r="W98" s="199"/>
      <c r="X98" s="199"/>
      <c r="Y98" s="199"/>
      <c r="Z98" s="199"/>
      <c r="AA98" s="199"/>
      <c r="AB98" s="199"/>
      <c r="AC98" s="199"/>
      <c r="AD98" s="199"/>
      <c r="AE98" s="199"/>
      <c r="AF98" s="60">
        <f>SUM(AF11:AF97)</f>
        <v>0</v>
      </c>
      <c r="AI98" s="60">
        <f>SUM(AI11:AI97)</f>
        <v>0</v>
      </c>
      <c r="AP98" s="60">
        <f>SUM(AP11:AP97)</f>
        <v>0</v>
      </c>
      <c r="AS98" s="60">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
      <c r="A100" s="206"/>
      <c r="B100" s="206"/>
      <c r="C100" s="206"/>
      <c r="D100" s="206"/>
      <c r="E100" s="206"/>
      <c r="F100" s="206"/>
      <c r="G100" s="206"/>
      <c r="H100" s="206"/>
      <c r="I100" s="206"/>
      <c r="J100" s="206"/>
      <c r="K100" s="206"/>
      <c r="L100" s="206"/>
      <c r="M100" s="206"/>
      <c r="N100" s="206"/>
      <c r="O100" s="206"/>
      <c r="P100" s="206"/>
      <c r="Q100" s="206"/>
      <c r="R100" s="206"/>
      <c r="S100" s="206"/>
      <c r="T100" s="206"/>
      <c r="U100" s="206"/>
      <c r="V100" s="206"/>
      <c r="W100" s="206"/>
      <c r="X100" s="206"/>
      <c r="Y100" s="206"/>
      <c r="Z100" s="206"/>
      <c r="AA100" s="206"/>
      <c r="AB100" s="206"/>
      <c r="AC100" s="206"/>
      <c r="AD100" s="206"/>
      <c r="AE100" s="206"/>
      <c r="AF100" s="206"/>
      <c r="AG100" s="206"/>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14999999999998" customHeight="1">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 customHeight="1">
      <c r="AL103" s="72"/>
      <c r="AM103" s="72"/>
      <c r="AN103" s="72"/>
      <c r="AO103" s="72"/>
      <c r="AP103" s="72"/>
      <c r="AQ103" s="72"/>
      <c r="AR103" s="72"/>
      <c r="CN103" s="7">
        <v>92</v>
      </c>
    </row>
    <row r="104" spans="1:92" s="7" customFormat="1" ht="30.6" customHeight="1">
      <c r="AL104" s="72"/>
      <c r="AM104" s="72"/>
      <c r="AN104" s="72"/>
      <c r="AO104" s="72"/>
      <c r="AP104" s="72"/>
      <c r="AQ104" s="72"/>
      <c r="AR104" s="72"/>
      <c r="CN104" s="7">
        <v>92</v>
      </c>
    </row>
    <row r="105" spans="1:92" s="7" customFormat="1" ht="30.6" customHeight="1">
      <c r="AL105" s="72"/>
      <c r="AM105" s="72"/>
      <c r="AN105" s="72"/>
      <c r="AO105" s="72"/>
      <c r="AP105" s="72"/>
      <c r="AQ105" s="72"/>
      <c r="AR105" s="72"/>
    </row>
    <row r="106" spans="1:92" s="7" customFormat="1" ht="30.6" customHeight="1">
      <c r="A106" s="72"/>
      <c r="B106" s="72"/>
      <c r="C106" s="72"/>
      <c r="D106" s="72"/>
      <c r="E106" s="72"/>
      <c r="F106" s="72"/>
      <c r="G106" s="72"/>
    </row>
    <row r="107" spans="1:92" s="7" customFormat="1" ht="30.6" customHeight="1">
      <c r="A107" s="72"/>
      <c r="B107" s="72"/>
      <c r="C107" s="72"/>
      <c r="D107" s="72"/>
      <c r="E107" s="72"/>
      <c r="F107" s="72"/>
      <c r="G107" s="72"/>
    </row>
    <row r="108" spans="1:92" s="7" customFormat="1" ht="30.6" customHeight="1">
      <c r="A108" s="72"/>
      <c r="B108" s="72"/>
      <c r="C108" s="72"/>
      <c r="D108" s="72"/>
      <c r="E108" s="72"/>
      <c r="F108" s="72"/>
      <c r="G108" s="72"/>
      <c r="AO108" s="59"/>
    </row>
    <row r="109" spans="1:92" s="7" customFormat="1" ht="30.6" customHeight="1">
      <c r="A109" s="72"/>
      <c r="B109" s="72"/>
      <c r="C109" s="72"/>
      <c r="D109" s="72"/>
      <c r="E109" s="72"/>
      <c r="F109" s="72"/>
      <c r="G109" s="72"/>
    </row>
    <row r="110" spans="1:92" s="7" customFormat="1" ht="30.6" customHeight="1">
      <c r="A110" s="72"/>
      <c r="B110" s="72"/>
      <c r="C110" s="72"/>
      <c r="D110" s="72"/>
      <c r="E110" s="72"/>
      <c r="F110" s="72"/>
      <c r="G110" s="72"/>
    </row>
    <row r="111" spans="1:92" s="7" customFormat="1" ht="30.6" customHeight="1">
      <c r="A111" s="72"/>
      <c r="B111" s="72"/>
      <c r="C111" s="72"/>
      <c r="D111" s="72"/>
      <c r="E111" s="72"/>
      <c r="F111" s="72"/>
      <c r="G111" s="72"/>
    </row>
    <row r="112" spans="1:92" s="7" customFormat="1" ht="30.6" customHeight="1">
      <c r="A112" s="72"/>
      <c r="B112" s="72"/>
      <c r="C112" s="72"/>
      <c r="D112" s="72"/>
      <c r="E112" s="72"/>
      <c r="F112" s="72"/>
      <c r="G112" s="72"/>
    </row>
    <row r="113" spans="1:92" s="7" customFormat="1" ht="30.6" customHeight="1">
      <c r="A113" s="72"/>
      <c r="B113" s="72"/>
      <c r="C113" s="72"/>
      <c r="D113" s="72"/>
      <c r="E113" s="72"/>
      <c r="F113" s="72"/>
      <c r="G113" s="72"/>
    </row>
    <row r="114" spans="1:92" s="7" customFormat="1" ht="30.6" customHeight="1">
      <c r="A114" s="72"/>
      <c r="B114" s="72"/>
      <c r="C114" s="72"/>
      <c r="D114" s="72"/>
      <c r="E114" s="72"/>
      <c r="F114" s="72"/>
      <c r="G114" s="72"/>
    </row>
    <row r="115" spans="1:92" s="7" customFormat="1" ht="30.6" customHeight="1">
      <c r="A115" s="72"/>
      <c r="B115" s="72"/>
      <c r="C115" s="72"/>
      <c r="D115" s="72"/>
      <c r="E115" s="72"/>
      <c r="F115" s="72"/>
      <c r="G115" s="72"/>
    </row>
    <row r="116" spans="1:92" s="7" customFormat="1" ht="30.6" customHeight="1">
      <c r="A116" s="72"/>
      <c r="B116" s="72"/>
      <c r="C116" s="72"/>
      <c r="D116" s="72"/>
      <c r="E116" s="72"/>
      <c r="F116" s="72"/>
      <c r="G116" s="72"/>
    </row>
    <row r="117" spans="1:92" s="7" customFormat="1" ht="30.6" customHeight="1">
      <c r="A117" s="72"/>
      <c r="B117" s="72"/>
      <c r="C117" s="72"/>
      <c r="D117" s="72"/>
      <c r="E117" s="72"/>
      <c r="F117" s="72"/>
      <c r="G117" s="72"/>
    </row>
    <row r="118" spans="1:92" s="7" customFormat="1" ht="30.6" customHeight="1">
      <c r="A118" s="72"/>
      <c r="B118" s="72"/>
      <c r="C118" s="72"/>
      <c r="D118" s="72"/>
      <c r="E118" s="72"/>
      <c r="F118" s="72"/>
      <c r="G118" s="72"/>
    </row>
    <row r="119" spans="1:92" s="7" customFormat="1" ht="30.6" customHeight="1">
      <c r="A119" s="72"/>
      <c r="B119" s="72"/>
      <c r="C119" s="72"/>
      <c r="D119" s="72"/>
      <c r="E119" s="72"/>
      <c r="F119" s="72"/>
      <c r="G119" s="72"/>
    </row>
    <row r="120" spans="1:92" s="7" customFormat="1" ht="30.6" customHeight="1">
      <c r="A120" s="72"/>
      <c r="B120" s="72"/>
      <c r="C120" s="72"/>
      <c r="D120" s="72"/>
      <c r="E120" s="72"/>
      <c r="F120" s="72"/>
      <c r="G120" s="72"/>
    </row>
    <row r="121" spans="1:92" s="7" customFormat="1" ht="30.6" customHeight="1">
      <c r="A121" s="72"/>
      <c r="B121" s="72"/>
      <c r="C121" s="72"/>
      <c r="D121" s="72"/>
      <c r="E121" s="72"/>
      <c r="F121" s="72"/>
      <c r="G121" s="72"/>
    </row>
    <row r="122" spans="1:92" s="7" customFormat="1" ht="30.6" customHeight="1">
      <c r="A122" s="72"/>
      <c r="B122" s="72"/>
      <c r="C122" s="72"/>
      <c r="D122" s="72"/>
      <c r="E122" s="72"/>
      <c r="F122" s="72"/>
      <c r="G122" s="72"/>
    </row>
    <row r="123" spans="1:92" s="7" customFormat="1" ht="30.6" customHeight="1">
      <c r="A123" s="72"/>
      <c r="B123" s="72"/>
      <c r="C123" s="72"/>
      <c r="D123" s="72"/>
      <c r="E123" s="72"/>
      <c r="F123" s="72"/>
      <c r="G123" s="72"/>
      <c r="CN123" s="7">
        <v>92</v>
      </c>
    </row>
    <row r="124" spans="1:92" s="7" customFormat="1" ht="30.6" customHeight="1">
      <c r="A124" s="72"/>
      <c r="B124" s="72"/>
      <c r="C124" s="72"/>
      <c r="D124" s="72"/>
      <c r="E124" s="72"/>
      <c r="F124" s="72"/>
      <c r="G124" s="72"/>
      <c r="CN124" s="7">
        <v>93</v>
      </c>
    </row>
    <row r="125" spans="1:92" s="7" customFormat="1" ht="30.6" customHeight="1">
      <c r="A125" s="72"/>
      <c r="B125" s="72"/>
      <c r="C125" s="72"/>
      <c r="D125" s="72"/>
      <c r="E125" s="72"/>
      <c r="F125" s="72"/>
      <c r="G125" s="72"/>
      <c r="CN125" s="7">
        <v>94</v>
      </c>
    </row>
    <row r="126" spans="1:92" s="7" customFormat="1" ht="30.6" customHeight="1">
      <c r="A126" s="72"/>
      <c r="B126" s="72"/>
      <c r="C126" s="72"/>
      <c r="D126" s="72"/>
      <c r="E126" s="72"/>
      <c r="F126" s="72"/>
      <c r="G126" s="72"/>
      <c r="CN126" s="7">
        <v>95</v>
      </c>
    </row>
    <row r="127" spans="1:92" s="7" customFormat="1" ht="30.6" customHeight="1">
      <c r="A127" s="72"/>
      <c r="B127" s="72"/>
      <c r="C127" s="72"/>
      <c r="D127" s="72"/>
      <c r="E127" s="72"/>
      <c r="F127" s="72"/>
      <c r="G127" s="72"/>
      <c r="CN127" s="7">
        <v>96</v>
      </c>
    </row>
    <row r="128" spans="1:92" s="7" customFormat="1" ht="30.6" customHeight="1">
      <c r="A128" s="72"/>
      <c r="B128" s="72"/>
      <c r="C128" s="72"/>
      <c r="D128" s="72"/>
      <c r="E128" s="72"/>
      <c r="F128" s="72"/>
      <c r="G128" s="72"/>
      <c r="CN128" s="7">
        <v>97</v>
      </c>
    </row>
    <row r="129" spans="1:92" s="7" customFormat="1" ht="30.6" customHeight="1">
      <c r="A129" s="72"/>
      <c r="B129" s="72"/>
      <c r="C129" s="72"/>
      <c r="D129" s="72"/>
      <c r="E129" s="72"/>
      <c r="F129" s="72"/>
      <c r="G129" s="72"/>
      <c r="CN129" s="7">
        <v>98</v>
      </c>
    </row>
    <row r="130" spans="1:92">
      <c r="CN130" s="3">
        <v>101</v>
      </c>
    </row>
    <row r="131" spans="1:92">
      <c r="CN131" s="3">
        <v>102</v>
      </c>
    </row>
    <row r="132" spans="1:92" ht="59.25" customHeight="1">
      <c r="CN132" s="3">
        <v>103</v>
      </c>
    </row>
  </sheetData>
  <sheetProtection formatColumns="0" formatRows="0" insertColumns="0" insertRows="0"/>
  <mergeCells count="29">
    <mergeCell ref="A3:L3"/>
    <mergeCell ref="M3:V6"/>
    <mergeCell ref="A4:B6"/>
    <mergeCell ref="E4:F4"/>
    <mergeCell ref="G4:L4"/>
    <mergeCell ref="D5:F5"/>
    <mergeCell ref="D6:L6"/>
    <mergeCell ref="H5:I5"/>
    <mergeCell ref="K5:L5"/>
    <mergeCell ref="AI9:AJ9"/>
    <mergeCell ref="AO9:AR9"/>
    <mergeCell ref="AS9:AT9"/>
    <mergeCell ref="A100:AG100"/>
    <mergeCell ref="G9:L9"/>
    <mergeCell ref="M9:R9"/>
    <mergeCell ref="S9:X9"/>
    <mergeCell ref="Y9:AD9"/>
    <mergeCell ref="AE9:AH9"/>
    <mergeCell ref="BC6:BN6"/>
    <mergeCell ref="BF37:BM37"/>
    <mergeCell ref="BC46:BJ46"/>
    <mergeCell ref="BK46:BK59"/>
    <mergeCell ref="BL46:BM59"/>
    <mergeCell ref="BC47:BJ59"/>
    <mergeCell ref="BY69:CF69"/>
    <mergeCell ref="CG69:CG82"/>
    <mergeCell ref="CH69:CI82"/>
    <mergeCell ref="BY70:CF82"/>
    <mergeCell ref="A98:AE98"/>
  </mergeCells>
  <conditionalFormatting sqref="AH11:AH97">
    <cfRule type="cellIs" dxfId="15" priority="2" stopIfTrue="1" operator="greaterThan">
      <formula>0.2</formula>
    </cfRule>
  </conditionalFormatting>
  <conditionalFormatting sqref="AR11:AR97">
    <cfRule type="cellIs" dxfId="14"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baseColWidth="10" defaultColWidth="11.375" defaultRowHeight="14.25"/>
  <sheetData>
    <row r="3" spans="1:3">
      <c r="A3" s="49"/>
      <c r="B3" s="50"/>
      <c r="C3" s="51"/>
    </row>
    <row r="4" spans="1:3">
      <c r="A4" s="52"/>
      <c r="B4" s="53"/>
      <c r="C4" s="54"/>
    </row>
    <row r="5" spans="1:3">
      <c r="A5" s="52"/>
      <c r="B5" s="53"/>
      <c r="C5" s="54"/>
    </row>
    <row r="6" spans="1:3">
      <c r="A6" s="52"/>
      <c r="B6" s="53"/>
      <c r="C6" s="54"/>
    </row>
    <row r="7" spans="1:3">
      <c r="A7" s="52"/>
      <c r="B7" s="53"/>
      <c r="C7" s="54"/>
    </row>
    <row r="8" spans="1:3">
      <c r="A8" s="52"/>
      <c r="B8" s="53"/>
      <c r="C8" s="54"/>
    </row>
    <row r="9" spans="1:3">
      <c r="A9" s="52"/>
      <c r="B9" s="53"/>
      <c r="C9" s="54"/>
    </row>
    <row r="10" spans="1:3">
      <c r="A10" s="52"/>
      <c r="B10" s="53"/>
      <c r="C10" s="54"/>
    </row>
    <row r="11" spans="1:3">
      <c r="A11" s="52"/>
      <c r="B11" s="53"/>
      <c r="C11" s="54"/>
    </row>
    <row r="12" spans="1:3">
      <c r="A12" s="52"/>
      <c r="B12" s="53"/>
      <c r="C12" s="54"/>
    </row>
    <row r="13" spans="1:3">
      <c r="A13" s="52"/>
      <c r="B13" s="53"/>
      <c r="C13" s="54"/>
    </row>
    <row r="14" spans="1:3">
      <c r="A14" s="52"/>
      <c r="B14" s="53"/>
      <c r="C14" s="54"/>
    </row>
    <row r="15" spans="1:3">
      <c r="A15" s="52"/>
      <c r="B15" s="53"/>
      <c r="C15" s="54"/>
    </row>
    <row r="16" spans="1:3">
      <c r="A16" s="52"/>
      <c r="B16" s="53"/>
      <c r="C16" s="54"/>
    </row>
    <row r="17" spans="1:3">
      <c r="A17" s="52"/>
      <c r="B17" s="53"/>
      <c r="C17" s="54"/>
    </row>
    <row r="18" spans="1:3">
      <c r="A18" s="52"/>
      <c r="B18" s="53"/>
      <c r="C18" s="54"/>
    </row>
    <row r="19" spans="1:3">
      <c r="A19" s="52"/>
      <c r="B19" s="53"/>
      <c r="C19" s="54"/>
    </row>
    <row r="20" spans="1:3">
      <c r="A20" s="55"/>
      <c r="B20" s="56"/>
      <c r="C20" s="5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baseColWidth="10" defaultColWidth="11.375" defaultRowHeight="14.25"/>
  <cols>
    <col min="12" max="12" width="36.375" customWidth="1"/>
    <col min="14" max="14" width="16.375" customWidth="1"/>
    <col min="16" max="16" width="49.375" customWidth="1"/>
  </cols>
  <sheetData>
    <row r="2" spans="1:22">
      <c r="A2" t="s">
        <v>196</v>
      </c>
      <c r="C2" t="s">
        <v>197</v>
      </c>
    </row>
    <row r="3" spans="1:22">
      <c r="A3" t="s">
        <v>198</v>
      </c>
      <c r="C3" t="s">
        <v>199</v>
      </c>
    </row>
    <row r="7" spans="1:22" ht="90">
      <c r="A7" s="11" t="s">
        <v>200</v>
      </c>
      <c r="C7" s="11" t="s">
        <v>201</v>
      </c>
      <c r="F7" s="11" t="s">
        <v>202</v>
      </c>
      <c r="H7" s="11" t="s">
        <v>203</v>
      </c>
      <c r="J7" s="11" t="s">
        <v>204</v>
      </c>
      <c r="L7" s="48" t="s">
        <v>205</v>
      </c>
      <c r="N7" s="11" t="s">
        <v>206</v>
      </c>
      <c r="P7" s="11" t="s">
        <v>207</v>
      </c>
      <c r="R7" s="11" t="s">
        <v>208</v>
      </c>
      <c r="T7" t="s">
        <v>209</v>
      </c>
      <c r="V7" t="s">
        <v>210</v>
      </c>
    </row>
    <row r="8" spans="1:22">
      <c r="A8" t="s">
        <v>211</v>
      </c>
      <c r="C8" t="s">
        <v>212</v>
      </c>
      <c r="F8" t="s">
        <v>213</v>
      </c>
      <c r="H8" t="s">
        <v>214</v>
      </c>
      <c r="J8" t="s">
        <v>215</v>
      </c>
      <c r="L8" s="14" t="s">
        <v>216</v>
      </c>
      <c r="N8" t="s">
        <v>217</v>
      </c>
      <c r="P8" s="13" t="s">
        <v>218</v>
      </c>
      <c r="R8" t="s">
        <v>219</v>
      </c>
      <c r="T8" t="s">
        <v>220</v>
      </c>
      <c r="V8" t="s">
        <v>221</v>
      </c>
    </row>
    <row r="9" spans="1:22" ht="28.5">
      <c r="A9" t="s">
        <v>222</v>
      </c>
      <c r="C9" t="s">
        <v>223</v>
      </c>
      <c r="F9" t="s">
        <v>224</v>
      </c>
      <c r="H9" t="s">
        <v>225</v>
      </c>
      <c r="J9" t="s">
        <v>226</v>
      </c>
      <c r="L9" s="14" t="s">
        <v>227</v>
      </c>
      <c r="N9" t="s">
        <v>228</v>
      </c>
      <c r="P9" s="13" t="s">
        <v>229</v>
      </c>
      <c r="R9" t="s">
        <v>230</v>
      </c>
      <c r="T9" t="s">
        <v>231</v>
      </c>
      <c r="V9" t="s">
        <v>232</v>
      </c>
    </row>
    <row r="10" spans="1:22">
      <c r="A10" t="s">
        <v>233</v>
      </c>
      <c r="C10" t="s">
        <v>234</v>
      </c>
      <c r="H10" t="s">
        <v>235</v>
      </c>
      <c r="J10" t="s">
        <v>236</v>
      </c>
      <c r="L10" s="14" t="s">
        <v>237</v>
      </c>
      <c r="N10" t="s">
        <v>238</v>
      </c>
      <c r="P10" s="13" t="s">
        <v>239</v>
      </c>
      <c r="R10" t="s">
        <v>240</v>
      </c>
      <c r="T10" t="s">
        <v>241</v>
      </c>
      <c r="V10" t="s">
        <v>7</v>
      </c>
    </row>
    <row r="11" spans="1:22">
      <c r="A11" t="s">
        <v>242</v>
      </c>
      <c r="C11" t="s">
        <v>243</v>
      </c>
      <c r="H11" t="s">
        <v>244</v>
      </c>
      <c r="J11" t="s">
        <v>245</v>
      </c>
      <c r="L11" s="14" t="s">
        <v>246</v>
      </c>
      <c r="T11" t="s">
        <v>247</v>
      </c>
      <c r="V11" t="s">
        <v>248</v>
      </c>
    </row>
    <row r="12" spans="1:22" ht="28.5">
      <c r="C12" s="7"/>
      <c r="D12" s="7"/>
      <c r="E12" s="7"/>
      <c r="F12" s="7"/>
      <c r="G12" s="7"/>
      <c r="H12" s="7" t="s">
        <v>249</v>
      </c>
      <c r="I12" s="7"/>
      <c r="J12" s="7" t="s">
        <v>250</v>
      </c>
      <c r="K12" s="7"/>
      <c r="L12" s="14" t="s">
        <v>251</v>
      </c>
      <c r="M12" s="7"/>
      <c r="N12" s="7"/>
      <c r="T12" t="s">
        <v>252</v>
      </c>
      <c r="V12" t="s">
        <v>253</v>
      </c>
    </row>
    <row r="13" spans="1:22">
      <c r="H13" t="s">
        <v>254</v>
      </c>
      <c r="I13" s="15"/>
      <c r="J13" s="15" t="s">
        <v>255</v>
      </c>
      <c r="L13" s="14" t="s">
        <v>256</v>
      </c>
      <c r="T13" t="s">
        <v>257</v>
      </c>
      <c r="V13" t="s">
        <v>258</v>
      </c>
    </row>
    <row r="14" spans="1:22">
      <c r="H14" t="s">
        <v>259</v>
      </c>
      <c r="I14" s="15"/>
      <c r="J14" s="15" t="s">
        <v>260</v>
      </c>
      <c r="L14" s="14" t="s">
        <v>261</v>
      </c>
      <c r="T14" t="s">
        <v>262</v>
      </c>
      <c r="V14" t="s">
        <v>263</v>
      </c>
    </row>
    <row r="15" spans="1:22">
      <c r="G15" s="15"/>
      <c r="H15" s="15" t="s">
        <v>264</v>
      </c>
      <c r="I15" s="15"/>
      <c r="J15" s="15" t="s">
        <v>265</v>
      </c>
      <c r="K15" s="15"/>
      <c r="L15" s="14" t="s">
        <v>266</v>
      </c>
      <c r="M15" s="15"/>
      <c r="N15" s="15"/>
      <c r="T15" t="s">
        <v>267</v>
      </c>
    </row>
    <row r="16" spans="1:22" ht="60">
      <c r="A16" s="11" t="s">
        <v>268</v>
      </c>
      <c r="J16" t="s">
        <v>269</v>
      </c>
      <c r="L16" s="14" t="s">
        <v>270</v>
      </c>
      <c r="T16" t="s">
        <v>271</v>
      </c>
    </row>
    <row r="17" spans="1:20">
      <c r="A17" t="s">
        <v>272</v>
      </c>
      <c r="J17" t="s">
        <v>273</v>
      </c>
      <c r="L17" s="14" t="s">
        <v>274</v>
      </c>
      <c r="T17" t="s">
        <v>275</v>
      </c>
    </row>
    <row r="18" spans="1:20">
      <c r="A18" t="s">
        <v>276</v>
      </c>
      <c r="J18" t="s">
        <v>277</v>
      </c>
      <c r="L18" s="14" t="s">
        <v>278</v>
      </c>
      <c r="T18" t="s">
        <v>279</v>
      </c>
    </row>
    <row r="19" spans="1:20">
      <c r="J19" t="s">
        <v>280</v>
      </c>
      <c r="L19" s="14" t="s">
        <v>281</v>
      </c>
    </row>
    <row r="20" spans="1:20">
      <c r="J20" t="s">
        <v>282</v>
      </c>
      <c r="L20" s="14" t="s">
        <v>283</v>
      </c>
    </row>
    <row r="21" spans="1:20">
      <c r="J21" t="s">
        <v>284</v>
      </c>
      <c r="L21" s="12"/>
    </row>
    <row r="22" spans="1:20">
      <c r="J22" t="s">
        <v>285</v>
      </c>
    </row>
    <row r="23" spans="1:20">
      <c r="J23" t="s">
        <v>286</v>
      </c>
    </row>
    <row r="24" spans="1:20">
      <c r="J24" t="s">
        <v>287</v>
      </c>
    </row>
    <row r="25" spans="1:20">
      <c r="A25" t="s">
        <v>288</v>
      </c>
      <c r="J25" t="s">
        <v>289</v>
      </c>
    </row>
    <row r="26" spans="1:20">
      <c r="J26" t="s">
        <v>290</v>
      </c>
    </row>
    <row r="27" spans="1:20">
      <c r="J27" t="s">
        <v>291</v>
      </c>
    </row>
  </sheetData>
  <sortState ref="V8:V14">
    <sortCondition ref="V8:V14"/>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51355-B2F1-46CE-9EBD-277C9A3D747D}">
  <dimension ref="B2:AZ52"/>
  <sheetViews>
    <sheetView tabSelected="1" zoomScale="70" zoomScaleNormal="70" workbookViewId="0">
      <selection activeCell="G65" sqref="G65"/>
    </sheetView>
  </sheetViews>
  <sheetFormatPr baseColWidth="10" defaultColWidth="9.375" defaultRowHeight="15"/>
  <cols>
    <col min="1" max="1" width="9.375" style="84"/>
    <col min="2" max="2" width="9.375" style="84" bestFit="1" customWidth="1"/>
    <col min="3" max="3" width="58.625" style="84" customWidth="1"/>
    <col min="4" max="4" width="72" style="84" customWidth="1"/>
    <col min="5" max="5" width="15.125" style="84" customWidth="1"/>
    <col min="6" max="6" width="18.625" style="85" customWidth="1"/>
    <col min="7" max="7" width="25.375" style="85" customWidth="1"/>
    <col min="8" max="8" width="27.125" style="84" customWidth="1"/>
    <col min="9" max="9" width="34.375" style="84" customWidth="1"/>
    <col min="10" max="11" width="17.375" style="84" hidden="1" customWidth="1"/>
    <col min="12" max="12" width="17.625" style="84" hidden="1" customWidth="1"/>
    <col min="13" max="13" width="19.375" style="84" hidden="1" customWidth="1"/>
    <col min="14" max="14" width="9.375" style="84" customWidth="1"/>
    <col min="15" max="16384" width="9.375" style="84"/>
  </cols>
  <sheetData>
    <row r="2" spans="2:52" ht="30">
      <c r="F2" s="85" t="s">
        <v>292</v>
      </c>
      <c r="G2" s="85">
        <f>G8-Estudio_Mercado!AB6</f>
        <v>0</v>
      </c>
    </row>
    <row r="6" spans="2:52" s="1" customFormat="1" ht="36.6" customHeight="1">
      <c r="B6" s="236"/>
      <c r="C6" s="236"/>
      <c r="D6" s="237" t="s">
        <v>293</v>
      </c>
      <c r="E6" s="238"/>
      <c r="F6" s="238"/>
      <c r="G6" s="238"/>
      <c r="H6" s="238"/>
      <c r="I6" s="239"/>
      <c r="J6" s="227" t="s">
        <v>294</v>
      </c>
      <c r="K6" s="228"/>
      <c r="L6" s="228"/>
      <c r="M6" s="228"/>
    </row>
    <row r="7" spans="2:52" s="2" customFormat="1" ht="23.25">
      <c r="B7" s="236"/>
      <c r="C7" s="236"/>
      <c r="D7" s="17" t="s">
        <v>2</v>
      </c>
      <c r="E7" s="222" t="str">
        <f>Estudio_Mercado!D4</f>
        <v>PRESTAR LOS SERVICIOS PARA LA IMPLEMENTACIÓN DE INICIATIVAS DEPORTIVAS, RECREATIVAS Y DE ACTIVIDAD FÍSICA A COLECTIVOS Y ORGANIZACIONES DE CARÁCTER BARRIAL O VEREDAL QUE HARÁN PARTE DEL BANCO DE INICIATIVAS DE LA ALCALDÍA LOCAL DE SUBA</v>
      </c>
      <c r="F7" s="222"/>
      <c r="G7" s="222"/>
      <c r="H7" s="222"/>
      <c r="I7" s="222"/>
      <c r="J7" s="227"/>
      <c r="K7" s="228"/>
      <c r="L7" s="228"/>
      <c r="M7" s="228"/>
    </row>
    <row r="8" spans="2:52" s="90" customFormat="1" ht="23.25">
      <c r="B8" s="240" t="s">
        <v>295</v>
      </c>
      <c r="C8" s="240"/>
      <c r="D8" s="240"/>
      <c r="E8" s="240"/>
      <c r="F8" s="86" t="s">
        <v>296</v>
      </c>
      <c r="G8" s="87">
        <f>SUM(G11:G32)+SUM(G36:G41)</f>
        <v>1422265817</v>
      </c>
      <c r="H8" s="88" t="s">
        <v>297</v>
      </c>
      <c r="I8" s="89">
        <f>SUM(I11:I32)</f>
        <v>0</v>
      </c>
      <c r="J8" s="229"/>
      <c r="K8" s="230"/>
      <c r="L8" s="230"/>
      <c r="M8" s="230"/>
    </row>
    <row r="9" spans="2:52" ht="54" customHeight="1">
      <c r="B9" s="241" t="s">
        <v>298</v>
      </c>
      <c r="C9" s="241" t="s">
        <v>299</v>
      </c>
      <c r="D9" s="241" t="s">
        <v>45</v>
      </c>
      <c r="E9" s="241" t="s">
        <v>300</v>
      </c>
      <c r="F9" s="242" t="s">
        <v>301</v>
      </c>
      <c r="G9" s="242"/>
      <c r="H9" s="243" t="s">
        <v>302</v>
      </c>
      <c r="I9" s="243"/>
      <c r="J9" s="231" t="s">
        <v>303</v>
      </c>
      <c r="K9" s="232"/>
      <c r="L9" s="232"/>
      <c r="M9" s="233"/>
    </row>
    <row r="10" spans="2:52" ht="93.75">
      <c r="B10" s="241"/>
      <c r="C10" s="241"/>
      <c r="D10" s="241"/>
      <c r="E10" s="241"/>
      <c r="F10" s="91" t="s">
        <v>304</v>
      </c>
      <c r="G10" s="91" t="s">
        <v>305</v>
      </c>
      <c r="H10" s="92" t="s">
        <v>304</v>
      </c>
      <c r="I10" s="92" t="s">
        <v>306</v>
      </c>
      <c r="J10" s="93" t="s">
        <v>304</v>
      </c>
      <c r="K10" s="93" t="s">
        <v>307</v>
      </c>
      <c r="L10" s="93" t="s">
        <v>306</v>
      </c>
      <c r="M10" s="93" t="s">
        <v>308</v>
      </c>
    </row>
    <row r="11" spans="2:52" ht="75">
      <c r="B11" s="94">
        <f>IF(Estudio_Mercado!C11="","",Estudio_Mercado!A11)</f>
        <v>1</v>
      </c>
      <c r="C11" s="95" t="str">
        <f>IF(Estudio_Mercado!C11="","",Estudio_Mercado!C11)</f>
        <v>Estolas</v>
      </c>
      <c r="D11" s="95" t="str">
        <f>IF(Estudio_Mercado!D11="","",Estudio_Mercado!D11)</f>
        <v>Compra de estolas para la graduación hechas en las siguientes telas de opciones  por tela Lino. de alta calidad, puntas en forma de pico, panel de frente en V mide 6” de largo, el panel trasero mide 14.5”. Debe tener la siguiente frase “Banco de Iniciativas 2026” (Bordado), con un logo institucional de los establecidos en el Manual de Imagen y Marcas de la Secretaría Distrital de Gobierno-SDG-(Bordado).</v>
      </c>
      <c r="E11" s="94">
        <f>IF(Estudio_Mercado!F11="","",Estudio_Mercado!F11)</f>
        <v>76</v>
      </c>
      <c r="F11" s="96">
        <f>IF(Estudio_Mercado!Z11="","",Estudio_Mercado!Z11)</f>
        <v>19925</v>
      </c>
      <c r="G11" s="96">
        <f>IF(Estudio_Mercado!Z11="","",Estudio_Mercado!AA11)</f>
        <v>1514300</v>
      </c>
      <c r="H11" s="83"/>
      <c r="I11" s="97" t="str">
        <f>IF(H11="","",H11*E11)</f>
        <v/>
      </c>
      <c r="J11" s="98" t="str">
        <f>IF(AND(G11&lt;&gt;0,G11&lt;&gt;""),IF(AND(E11&gt;=G11,G11&lt;&gt;0),"Cumple","No cumple"),"Valor vacío")</f>
        <v>No cumple</v>
      </c>
      <c r="K11" s="99">
        <f>F11-H11</f>
        <v>19925</v>
      </c>
      <c r="L11" s="98" t="str">
        <f>IF(G11&gt;=I11,"Cumple","No cumple")</f>
        <v>No cumple</v>
      </c>
      <c r="M11" s="100" t="e">
        <f>G11-I11</f>
        <v>#VALUE!</v>
      </c>
      <c r="AZ11" s="84">
        <v>1</v>
      </c>
    </row>
    <row r="12" spans="2:52" ht="30">
      <c r="B12" s="94">
        <f>IF(Estudio_Mercado!C12="","",Estudio_Mercado!A12)</f>
        <v>2</v>
      </c>
      <c r="C12" s="95" t="str">
        <f>IF(Estudio_Mercado!C12="","",Estudio_Mercado!C12)</f>
        <v>Formatos de Inscripción.</v>
      </c>
      <c r="D12" s="95" t="str">
        <f>IF(Estudio_Mercado!D12="","",Estudio_Mercado!D12)</f>
        <v>Formatos impresos en hoja tamaño carta a dos tintas Incluye logos institucionales y deberán contar con la aprobación de la Oficina de Prensa de la ALS.</v>
      </c>
      <c r="E12" s="94">
        <f>IF(Estudio_Mercado!F12="","",Estudio_Mercado!F12)</f>
        <v>105</v>
      </c>
      <c r="F12" s="96">
        <f>IF(Estudio_Mercado!Z12="","",Estudio_Mercado!Z12)</f>
        <v>991</v>
      </c>
      <c r="G12" s="96">
        <f>IF(Estudio_Mercado!Z12="","",Estudio_Mercado!AA12)</f>
        <v>104055</v>
      </c>
      <c r="H12" s="83"/>
      <c r="I12" s="97" t="str">
        <f t="shared" ref="I12:I32" si="0">IF(H12="","",H12*E12)</f>
        <v/>
      </c>
      <c r="J12" s="98" t="str">
        <f t="shared" ref="J12:J32" si="1">IF(AND(G12&lt;&gt;0,G12&lt;&gt;""),IF(AND(E12&gt;=G12,G12&lt;&gt;0),"Cumple","No cumple"),"Valor vacío")</f>
        <v>No cumple</v>
      </c>
      <c r="K12" s="99">
        <f t="shared" ref="K12:K32" si="2">F12-H12</f>
        <v>991</v>
      </c>
      <c r="L12" s="98" t="str">
        <f t="shared" ref="L12:L32" si="3">IF(G12&gt;=I12,"Cumple","No cumple")</f>
        <v>No cumple</v>
      </c>
      <c r="M12" s="100" t="e">
        <f t="shared" ref="M12:M32" si="4">G12-I12</f>
        <v>#VALUE!</v>
      </c>
      <c r="AZ12" s="84">
        <v>2</v>
      </c>
    </row>
    <row r="13" spans="2:52" ht="255">
      <c r="B13" s="94">
        <f>IF(Estudio_Mercado!C13="","",Estudio_Mercado!A13)</f>
        <v>3</v>
      </c>
      <c r="C13" s="95" t="str">
        <f>IF(Estudio_Mercado!C13="","",Estudio_Mercado!C13)</f>
        <v>Plan de Medios</v>
      </c>
      <c r="D13" s="95" t="str">
        <f>IF(Estudio_Mercado!D13="","",Estudio_Mercado!D13)</f>
        <v>Con el fin de lograr mayor difusión y divulgación de las actividades, llegar e impactar a los grupos poblacionales de juventud y adultez quienes consumen principalmente redes sociales como medio de información, el contratista deberá vincular al proyecto un profesional (comentarista, deportista, periodista, coach, CEO, actor, actriz) del marketing digital deportivo, especialmente en plataformas como Instagram, TikTok y YouTube, Facebook y WhatsApp con amplia capacidad de influir en las decisiones de su audiencia que cuente con mínimo 70.000 seguidores (en una sola plataforma) o 150.000 (sumado en varias plataformas) y con más de cinco (5) años de reconocimiento en Redes Sociales, preferiblemente con residencia en la Localidad de Suba, quien realizará diez (10) pautas de dos (2) minutos de duración y serán publicadas tanto en sus redes sociales como en las redes de la Alcaldía Local de Suba en donde se realice:
1. Socialización del Proyecto
2. Días, lugares y fechas de la Presentación Pública Inicial
3. Requisitos, días, lugares y fechas para las inscripciones
4. Colaboración con el Alcalde Local de Suba para incentivar la participación en el proyecto.
5. Acompañamiento a la jornada de entrega de los Incentivos a las 75 organizaciones seleccionadas y beneficiarias del proyecto.</v>
      </c>
      <c r="E13" s="94">
        <f>IF(Estudio_Mercado!F13="","",Estudio_Mercado!F13)</f>
        <v>1</v>
      </c>
      <c r="F13" s="96">
        <f>IF(Estudio_Mercado!Z13="","",Estudio_Mercado!Z13)</f>
        <v>26107000</v>
      </c>
      <c r="G13" s="96">
        <f>IF(Estudio_Mercado!Z13="","",Estudio_Mercado!AA13)</f>
        <v>26107000</v>
      </c>
      <c r="H13" s="83"/>
      <c r="I13" s="97" t="str">
        <f t="shared" si="0"/>
        <v/>
      </c>
      <c r="J13" s="98" t="str">
        <f t="shared" si="1"/>
        <v>No cumple</v>
      </c>
      <c r="K13" s="99">
        <f t="shared" si="2"/>
        <v>26107000</v>
      </c>
      <c r="L13" s="98" t="str">
        <f t="shared" si="3"/>
        <v>No cumple</v>
      </c>
      <c r="M13" s="100" t="e">
        <f t="shared" si="4"/>
        <v>#VALUE!</v>
      </c>
      <c r="AZ13" s="84">
        <v>3</v>
      </c>
    </row>
    <row r="14" spans="2:52">
      <c r="B14" s="94">
        <f>IF(Estudio_Mercado!C14="","",Estudio_Mercado!A14)</f>
        <v>4</v>
      </c>
      <c r="C14" s="95" t="str">
        <f>IF(Estudio_Mercado!C14="","",Estudio_Mercado!C14)</f>
        <v>Separadores de carpetas o libros</v>
      </c>
      <c r="D14" s="95" t="str">
        <f>IF(Estudio_Mercado!D14="","",Estudio_Mercado!D14)</f>
        <v>Los separadores de carpetas o libros en papel de 75 gramos  tamaño carta</v>
      </c>
      <c r="E14" s="94">
        <f>IF(Estudio_Mercado!F14="","",Estudio_Mercado!F14)</f>
        <v>420</v>
      </c>
      <c r="F14" s="96">
        <f>IF(Estudio_Mercado!Z14="","",Estudio_Mercado!Z14)</f>
        <v>3433</v>
      </c>
      <c r="G14" s="96">
        <f>IF(Estudio_Mercado!Z14="","",Estudio_Mercado!AA14)</f>
        <v>1441860</v>
      </c>
      <c r="H14" s="83"/>
      <c r="I14" s="97" t="str">
        <f t="shared" si="0"/>
        <v/>
      </c>
      <c r="J14" s="98" t="str">
        <f t="shared" si="1"/>
        <v>No cumple</v>
      </c>
      <c r="K14" s="99">
        <f t="shared" si="2"/>
        <v>3433</v>
      </c>
      <c r="L14" s="98" t="str">
        <f t="shared" si="3"/>
        <v>No cumple</v>
      </c>
      <c r="M14" s="100" t="e">
        <f t="shared" si="4"/>
        <v>#VALUE!</v>
      </c>
      <c r="AZ14" s="84">
        <v>4</v>
      </c>
    </row>
    <row r="15" spans="2:52" ht="30">
      <c r="B15" s="94">
        <f>IF(Estudio_Mercado!C15="","",Estudio_Mercado!A15)</f>
        <v>5</v>
      </c>
      <c r="C15" s="95" t="str">
        <f>IF(Estudio_Mercado!C15="","",Estudio_Mercado!C15)</f>
        <v>Muestras Artísticas y/o culturales</v>
      </c>
      <c r="D15" s="95" t="str">
        <f>IF(Estudio_Mercado!D15="","",Estudio_Mercado!D15)</f>
        <v>Grupo de música folclórica (música del pacífico o carnaval de barranquilla o música andina o similar) compuesto por 3 a 5 integrantes y preferiblemente con 2 bailarines. Servicio por hora.</v>
      </c>
      <c r="E15" s="94">
        <f>IF(Estudio_Mercado!F15="","",Estudio_Mercado!F15)</f>
        <v>1</v>
      </c>
      <c r="F15" s="96">
        <f>IF(Estudio_Mercado!Z15="","",Estudio_Mercado!Z15)</f>
        <v>1854417</v>
      </c>
      <c r="G15" s="96">
        <f>IF(Estudio_Mercado!Z15="","",Estudio_Mercado!AA15)</f>
        <v>1854417</v>
      </c>
      <c r="H15" s="83"/>
      <c r="I15" s="97" t="str">
        <f t="shared" si="0"/>
        <v/>
      </c>
      <c r="J15" s="98" t="str">
        <f t="shared" si="1"/>
        <v>No cumple</v>
      </c>
      <c r="K15" s="99">
        <f t="shared" si="2"/>
        <v>1854417</v>
      </c>
      <c r="L15" s="98" t="str">
        <f t="shared" si="3"/>
        <v>No cumple</v>
      </c>
      <c r="M15" s="100" t="e">
        <f t="shared" si="4"/>
        <v>#VALUE!</v>
      </c>
      <c r="AZ15" s="84">
        <v>5</v>
      </c>
    </row>
    <row r="16" spans="2:52" ht="195">
      <c r="B16" s="94">
        <f>IF(Estudio_Mercado!C16="","",Estudio_Mercado!A16)</f>
        <v>6</v>
      </c>
      <c r="C16" s="95" t="str">
        <f>IF(Estudio_Mercado!C16="","",Estudio_Mercado!C16)</f>
        <v>refrigerio tipo 1</v>
      </c>
      <c r="D16" s="95" t="str">
        <f>IF(Estudio_Mercado!D16="","",Estudio_Mercado!D16)</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6" s="94">
        <f>IF(Estudio_Mercado!F16="","",Estudio_Mercado!F16)</f>
        <v>80</v>
      </c>
      <c r="F16" s="96">
        <f>IF(Estudio_Mercado!Z16="","",Estudio_Mercado!Z16)</f>
        <v>11921</v>
      </c>
      <c r="G16" s="96">
        <f>IF(Estudio_Mercado!Z16="","",Estudio_Mercado!AA16)</f>
        <v>953680</v>
      </c>
      <c r="H16" s="83"/>
      <c r="I16" s="97" t="str">
        <f t="shared" si="0"/>
        <v/>
      </c>
      <c r="J16" s="98" t="str">
        <f t="shared" si="1"/>
        <v>No cumple</v>
      </c>
      <c r="K16" s="99">
        <f t="shared" si="2"/>
        <v>11921</v>
      </c>
      <c r="L16" s="98" t="str">
        <f t="shared" si="3"/>
        <v>No cumple</v>
      </c>
      <c r="M16" s="100" t="e">
        <f t="shared" si="4"/>
        <v>#VALUE!</v>
      </c>
      <c r="AZ16" s="84">
        <v>6</v>
      </c>
    </row>
    <row r="17" spans="2:52" ht="60">
      <c r="B17" s="94">
        <f>IF(Estudio_Mercado!C17="","",Estudio_Mercado!A17)</f>
        <v>7</v>
      </c>
      <c r="C17" s="95" t="str">
        <f>IF(Estudio_Mercado!C17="","",Estudio_Mercado!C17)</f>
        <v>Salón - Espacio Apto para 100 personas  (media jornada más equipos audiovisuales)</v>
      </c>
      <c r="D17" s="95" t="str">
        <f>IF(Estudio_Mercado!D17="","",Estudio_Mercado!D17)</f>
        <v>Espacio físico para 100 personas con baño, sillas y mesas, ubicado en la localidad de Suba, con disponibilidad de espacio exterior para desarrollo de actividades_x000D_
Dotado con equipo de computo, video beam y sonido_x000D_
Jornada de 4 horas</v>
      </c>
      <c r="E17" s="94">
        <f>IF(Estudio_Mercado!F17="","",Estudio_Mercado!F17)</f>
        <v>3</v>
      </c>
      <c r="F17" s="96">
        <f>IF(Estudio_Mercado!Z17="","",Estudio_Mercado!Z17)</f>
        <v>330001</v>
      </c>
      <c r="G17" s="96">
        <f>IF(Estudio_Mercado!Z17="","",Estudio_Mercado!AA17)</f>
        <v>990003</v>
      </c>
      <c r="H17" s="83"/>
      <c r="I17" s="97" t="str">
        <f t="shared" si="0"/>
        <v/>
      </c>
      <c r="J17" s="98" t="str">
        <f t="shared" si="1"/>
        <v>No cumple</v>
      </c>
      <c r="K17" s="99">
        <f t="shared" si="2"/>
        <v>330001</v>
      </c>
      <c r="L17" s="98" t="str">
        <f t="shared" si="3"/>
        <v>No cumple</v>
      </c>
      <c r="M17" s="100" t="e">
        <f t="shared" si="4"/>
        <v>#VALUE!</v>
      </c>
      <c r="AZ17" s="84">
        <v>7</v>
      </c>
    </row>
    <row r="18" spans="2:52" ht="30">
      <c r="B18" s="94">
        <f>IF(Estudio_Mercado!C18="","",Estudio_Mercado!A18)</f>
        <v>8</v>
      </c>
      <c r="C18" s="95" t="str">
        <f>IF(Estudio_Mercado!C18="","",Estudio_Mercado!C18)</f>
        <v>Pendón Enrollable o Roll -Up</v>
      </c>
      <c r="D18" s="95" t="str">
        <f>IF(Estudio_Mercado!D18="","",Estudio_Mercado!D18)</f>
        <v>Gráfica impresa en gran formato 4x0 en lona o PVC con medidas de 1mt x 2 mts con base de aluminio y estuche que permite almacenarlo y transportarlo</v>
      </c>
      <c r="E18" s="94">
        <f>IF(Estudio_Mercado!F18="","",Estudio_Mercado!F18)</f>
        <v>2</v>
      </c>
      <c r="F18" s="96">
        <f>IF(Estudio_Mercado!Z18="","",Estudio_Mercado!Z18)</f>
        <v>256200</v>
      </c>
      <c r="G18" s="96">
        <f>IF(Estudio_Mercado!Z18="","",Estudio_Mercado!AA18)</f>
        <v>512400</v>
      </c>
      <c r="H18" s="83"/>
      <c r="I18" s="97" t="str">
        <f t="shared" si="0"/>
        <v/>
      </c>
      <c r="J18" s="98" t="str">
        <f t="shared" si="1"/>
        <v>No cumple</v>
      </c>
      <c r="K18" s="99">
        <f t="shared" si="2"/>
        <v>256200</v>
      </c>
      <c r="L18" s="98" t="str">
        <f t="shared" si="3"/>
        <v>No cumple</v>
      </c>
      <c r="M18" s="100" t="e">
        <f t="shared" si="4"/>
        <v>#VALUE!</v>
      </c>
      <c r="AZ18" s="84">
        <v>8</v>
      </c>
    </row>
    <row r="19" spans="2:52" ht="105">
      <c r="B19" s="94">
        <f>IF(Estudio_Mercado!C19="","",Estudio_Mercado!A19)</f>
        <v>9</v>
      </c>
      <c r="C19" s="95" t="str">
        <f>IF(Estudio_Mercado!C19="","",Estudio_Mercado!C19)</f>
        <v>Agendas con esfero con logos institucionales</v>
      </c>
      <c r="D19" s="95" t="str">
        <f>IF(Estudio_Mercado!D19="","",Estudio_Mercado!D19)</f>
        <v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v>
      </c>
      <c r="E19" s="94">
        <f>IF(Estudio_Mercado!F19="","",Estudio_Mercado!F19)</f>
        <v>105</v>
      </c>
      <c r="F19" s="96">
        <f>IF(Estudio_Mercado!Z19="","",Estudio_Mercado!Z19)</f>
        <v>31640</v>
      </c>
      <c r="G19" s="96">
        <f>IF(Estudio_Mercado!Z19="","",Estudio_Mercado!AA19)</f>
        <v>3322200</v>
      </c>
      <c r="H19" s="83"/>
      <c r="I19" s="97" t="str">
        <f t="shared" si="0"/>
        <v/>
      </c>
      <c r="J19" s="98" t="str">
        <f t="shared" si="1"/>
        <v>No cumple</v>
      </c>
      <c r="K19" s="99">
        <f t="shared" si="2"/>
        <v>31640</v>
      </c>
      <c r="L19" s="98" t="str">
        <f t="shared" si="3"/>
        <v>No cumple</v>
      </c>
      <c r="M19" s="100" t="e">
        <f t="shared" si="4"/>
        <v>#VALUE!</v>
      </c>
      <c r="AZ19" s="84">
        <v>9</v>
      </c>
    </row>
    <row r="20" spans="2:52" ht="45">
      <c r="B20" s="94">
        <f>IF(Estudio_Mercado!C20="","",Estudio_Mercado!A20)</f>
        <v>10</v>
      </c>
      <c r="C20" s="95" t="str">
        <f>IF(Estudio_Mercado!C20="","",Estudio_Mercado!C20)</f>
        <v>Memoria USB 8 GB</v>
      </c>
      <c r="D20" s="95" t="str">
        <f>IF(Estudio_Mercado!D20="","",Estudio_Mercado!D20)</f>
        <v>Dispositivo de almacenamiento flash con interfaz 2.0 y cuerpo de plástico resistente o metal. Posee tapa protectora o sistema retráctil y chip de memoria de alta velocidad para transferencia de archivos. Memoria USB 8 GB</v>
      </c>
      <c r="E20" s="94">
        <f>IF(Estudio_Mercado!F20="","",Estudio_Mercado!F20)</f>
        <v>105</v>
      </c>
      <c r="F20" s="96">
        <f>IF(Estudio_Mercado!Z20="","",Estudio_Mercado!Z20)</f>
        <v>16887</v>
      </c>
      <c r="G20" s="96">
        <f>IF(Estudio_Mercado!Z20="","",Estudio_Mercado!AA20)</f>
        <v>1773135</v>
      </c>
      <c r="H20" s="83"/>
      <c r="I20" s="97" t="str">
        <f t="shared" si="0"/>
        <v/>
      </c>
      <c r="J20" s="98" t="str">
        <f t="shared" si="1"/>
        <v>No cumple</v>
      </c>
      <c r="K20" s="99">
        <f t="shared" si="2"/>
        <v>16887</v>
      </c>
      <c r="L20" s="98" t="str">
        <f t="shared" si="3"/>
        <v>No cumple</v>
      </c>
      <c r="M20" s="100" t="e">
        <f t="shared" si="4"/>
        <v>#VALUE!</v>
      </c>
      <c r="AZ20" s="84">
        <v>10</v>
      </c>
    </row>
    <row r="21" spans="2:52" ht="60">
      <c r="B21" s="94">
        <f>IF(Estudio_Mercado!C21="","",Estudio_Mercado!A21)</f>
        <v>11</v>
      </c>
      <c r="C21" s="95" t="str">
        <f>IF(Estudio_Mercado!C21="","",Estudio_Mercado!C21)</f>
        <v>Salón - Espacio Apto para 100 personas   (jornada completa más equipos audiovisuales)</v>
      </c>
      <c r="D21" s="95" t="str">
        <f>IF(Estudio_Mercado!D21="","",Estudio_Mercado!D21)</f>
        <v>Espacio físico para 100 personas con baño, sillas y mesas, ubicado en la localidad de Suba, con disponibilidad de espacio exterior para desarrollo de actividades_x000D_
Dotado con equipo de computo, video beam y sonido_x000D_
Jornada de 8 horas</v>
      </c>
      <c r="E21" s="94">
        <f>IF(Estudio_Mercado!F21="","",Estudio_Mercado!F21)</f>
        <v>3</v>
      </c>
      <c r="F21" s="96">
        <f>IF(Estudio_Mercado!Z21="","",Estudio_Mercado!Z21)</f>
        <v>495001</v>
      </c>
      <c r="G21" s="96">
        <f>IF(Estudio_Mercado!Z21="","",Estudio_Mercado!AA21)</f>
        <v>1485003</v>
      </c>
      <c r="H21" s="83"/>
      <c r="I21" s="97" t="str">
        <f t="shared" si="0"/>
        <v/>
      </c>
      <c r="J21" s="98" t="str">
        <f t="shared" si="1"/>
        <v>No cumple</v>
      </c>
      <c r="K21" s="99">
        <f t="shared" si="2"/>
        <v>495001</v>
      </c>
      <c r="L21" s="98" t="str">
        <f t="shared" si="3"/>
        <v>No cumple</v>
      </c>
      <c r="M21" s="100" t="e">
        <f t="shared" si="4"/>
        <v>#VALUE!</v>
      </c>
      <c r="AZ21" s="84">
        <v>11</v>
      </c>
    </row>
    <row r="22" spans="2:52" ht="45">
      <c r="B22" s="94">
        <f>IF(Estudio_Mercado!C22="","",Estudio_Mercado!A22)</f>
        <v>12</v>
      </c>
      <c r="C22" s="95" t="str">
        <f>IF(Estudio_Mercado!C22="","",Estudio_Mercado!C22)</f>
        <v>Presentador evento</v>
      </c>
      <c r="D22" s="95" t="str">
        <f>IF(Estudio_Mercado!D22="","",Estudio_Mercado!D22)</f>
        <v>PRESENTADOR PARA EVENTO DIURNO O NOCTURNO CON EXPERIENCIA EN MANEJO DE PÚBLICO
(POR EVENTO O MAXIMO 8 HORAS).</v>
      </c>
      <c r="E22" s="94">
        <f>IF(Estudio_Mercado!F22="","",Estudio_Mercado!F22)</f>
        <v>1</v>
      </c>
      <c r="F22" s="96">
        <f>IF(Estudio_Mercado!Z22="","",Estudio_Mercado!Z22)</f>
        <v>461847</v>
      </c>
      <c r="G22" s="96">
        <f>IF(Estudio_Mercado!Z22="","",Estudio_Mercado!AA22)</f>
        <v>461847</v>
      </c>
      <c r="H22" s="83"/>
      <c r="I22" s="97" t="str">
        <f t="shared" si="0"/>
        <v/>
      </c>
      <c r="J22" s="98" t="str">
        <f t="shared" si="1"/>
        <v>No cumple</v>
      </c>
      <c r="K22" s="99">
        <f t="shared" si="2"/>
        <v>461847</v>
      </c>
      <c r="L22" s="98" t="str">
        <f t="shared" si="3"/>
        <v>No cumple</v>
      </c>
      <c r="M22" s="100" t="e">
        <f t="shared" si="4"/>
        <v>#VALUE!</v>
      </c>
      <c r="AZ22" s="84">
        <v>12</v>
      </c>
    </row>
    <row r="23" spans="2:52" ht="60">
      <c r="B23" s="94">
        <f>IF(Estudio_Mercado!C23="","",Estudio_Mercado!A23)</f>
        <v>13</v>
      </c>
      <c r="C23" s="95" t="str">
        <f>IF(Estudio_Mercado!C23="","",Estudio_Mercado!C23)</f>
        <v>Certificado de participación</v>
      </c>
      <c r="D23" s="95" t="str">
        <f>IF(Estudio_Mercado!D23="","",Estudio_Mercado!D23)</f>
        <v xml:space="preserve">Impresión a media carta 4 tintas en papel _x000D_
propalcote o kimberly 200 gr, tamaño 22x28 cm con nombres individuales o espacio para el mismo, refilados._x000D_
</v>
      </c>
      <c r="E23" s="94">
        <f>IF(Estudio_Mercado!F23="","",Estudio_Mercado!F23)</f>
        <v>75</v>
      </c>
      <c r="F23" s="96">
        <f>IF(Estudio_Mercado!Z23="","",Estudio_Mercado!Z23)</f>
        <v>3206</v>
      </c>
      <c r="G23" s="96">
        <f>IF(Estudio_Mercado!Z23="","",Estudio_Mercado!AA23)</f>
        <v>240450</v>
      </c>
      <c r="H23" s="83"/>
      <c r="I23" s="97" t="str">
        <f t="shared" si="0"/>
        <v/>
      </c>
      <c r="J23" s="98" t="str">
        <f t="shared" si="1"/>
        <v>No cumple</v>
      </c>
      <c r="K23" s="99">
        <f t="shared" si="2"/>
        <v>3206</v>
      </c>
      <c r="L23" s="98" t="str">
        <f t="shared" si="3"/>
        <v>No cumple</v>
      </c>
      <c r="M23" s="100" t="e">
        <f t="shared" si="4"/>
        <v>#VALUE!</v>
      </c>
      <c r="AZ23" s="84">
        <v>13</v>
      </c>
    </row>
    <row r="24" spans="2:52" ht="195">
      <c r="B24" s="94">
        <f>IF(Estudio_Mercado!C24="","",Estudio_Mercado!A24)</f>
        <v>14</v>
      </c>
      <c r="C24" s="95" t="str">
        <f>IF(Estudio_Mercado!C24="","",Estudio_Mercado!C24)</f>
        <v>Refrigerio Tipo 1</v>
      </c>
      <c r="D24" s="95" t="str">
        <f>IF(Estudio_Mercado!D24="","",Estudio_Mercado!D24)</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24" s="94">
        <f>IF(Estudio_Mercado!F24="","",Estudio_Mercado!F24)</f>
        <v>375</v>
      </c>
      <c r="F24" s="96">
        <f>IF(Estudio_Mercado!Z24="","",Estudio_Mercado!Z24)</f>
        <v>11921</v>
      </c>
      <c r="G24" s="96">
        <f>IF(Estudio_Mercado!Z24="","",Estudio_Mercado!AA24)</f>
        <v>4470375</v>
      </c>
      <c r="H24" s="83"/>
      <c r="I24" s="97" t="str">
        <f t="shared" si="0"/>
        <v/>
      </c>
      <c r="J24" s="98" t="str">
        <f t="shared" si="1"/>
        <v>No cumple</v>
      </c>
      <c r="K24" s="99">
        <f t="shared" si="2"/>
        <v>11921</v>
      </c>
      <c r="L24" s="98" t="str">
        <f t="shared" si="3"/>
        <v>No cumple</v>
      </c>
      <c r="M24" s="100" t="e">
        <f t="shared" si="4"/>
        <v>#VALUE!</v>
      </c>
      <c r="AZ24" s="84">
        <v>14</v>
      </c>
    </row>
    <row r="25" spans="2:52" ht="30">
      <c r="B25" s="94">
        <f>IF(Estudio_Mercado!C25="","",Estudio_Mercado!A25)</f>
        <v>15</v>
      </c>
      <c r="C25" s="95" t="str">
        <f>IF(Estudio_Mercado!C25="","",Estudio_Mercado!C25)</f>
        <v>Alquiler Sonido 2000 w 6 a 8 horas</v>
      </c>
      <c r="D25" s="95" t="str">
        <f>IF(Estudio_Mercado!D25="","",Estudio_Mercado!D25)</f>
        <v>Alquiler de Sonido de 2000 watios con operario por un periodo de 6 a 8 horas 2 cabinas de sonido, 2 trípodes para cabinas, sistema de monitoreo, set de micrófono, 1 consola de sonido.</v>
      </c>
      <c r="E25" s="94">
        <f>IF(Estudio_Mercado!F25="","",Estudio_Mercado!F25)</f>
        <v>1</v>
      </c>
      <c r="F25" s="96">
        <f>IF(Estudio_Mercado!Z25="","",Estudio_Mercado!Z25)</f>
        <v>2114500</v>
      </c>
      <c r="G25" s="96">
        <f>IF(Estudio_Mercado!Z25="","",Estudio_Mercado!AA25)</f>
        <v>2114500</v>
      </c>
      <c r="H25" s="83"/>
      <c r="I25" s="97" t="str">
        <f t="shared" si="0"/>
        <v/>
      </c>
      <c r="J25" s="98" t="str">
        <f t="shared" si="1"/>
        <v>No cumple</v>
      </c>
      <c r="K25" s="99">
        <f t="shared" si="2"/>
        <v>2114500</v>
      </c>
      <c r="L25" s="98" t="str">
        <f t="shared" si="3"/>
        <v>No cumple</v>
      </c>
      <c r="M25" s="100" t="e">
        <f t="shared" si="4"/>
        <v>#VALUE!</v>
      </c>
      <c r="AZ25" s="84">
        <v>15</v>
      </c>
    </row>
    <row r="26" spans="2:52" ht="60">
      <c r="B26" s="94">
        <f>IF(Estudio_Mercado!C26="","",Estudio_Mercado!A26)</f>
        <v>16</v>
      </c>
      <c r="C26" s="95" t="str">
        <f>IF(Estudio_Mercado!C26="","",Estudio_Mercado!C26)</f>
        <v>Alquiler planta electrica 200 KVA</v>
      </c>
      <c r="D26" s="95" t="str">
        <f>IF(Estudio_Mercado!D26="","",Estudio_Mercado!D26)</f>
        <v>ALQUILER DE PLANTA ELÉCTRICA DE 200 KVA: PLANTA ELECTRICA DE 200 KVA INSONORIZADA, QUE INCLUYA TRANSPORTE, PARCIAL DE CORRIENTE DE 10 METROS, TRIFÁSICA, TIERRA Y NEUTRO CON OPERARIO DISPONIBLE JORNADA POR EVENTO O DÍA</v>
      </c>
      <c r="E26" s="94">
        <f>IF(Estudio_Mercado!F26="","",Estudio_Mercado!F26)</f>
        <v>1</v>
      </c>
      <c r="F26" s="96">
        <f>IF(Estudio_Mercado!Z26="","",Estudio_Mercado!Z26)</f>
        <v>3346797</v>
      </c>
      <c r="G26" s="96">
        <f>IF(Estudio_Mercado!Z26="","",Estudio_Mercado!AA26)</f>
        <v>3346797</v>
      </c>
      <c r="H26" s="83"/>
      <c r="I26" s="97" t="str">
        <f t="shared" si="0"/>
        <v/>
      </c>
      <c r="J26" s="98" t="str">
        <f t="shared" si="1"/>
        <v>No cumple</v>
      </c>
      <c r="K26" s="99">
        <f t="shared" si="2"/>
        <v>3346797</v>
      </c>
      <c r="L26" s="98" t="str">
        <f t="shared" si="3"/>
        <v>No cumple</v>
      </c>
      <c r="M26" s="100" t="e">
        <f t="shared" si="4"/>
        <v>#VALUE!</v>
      </c>
      <c r="AZ26" s="84">
        <v>16</v>
      </c>
    </row>
    <row r="27" spans="2:52" ht="75">
      <c r="B27" s="94">
        <f>IF(Estudio_Mercado!C27="","",Estudio_Mercado!A27)</f>
        <v>17</v>
      </c>
      <c r="C27" s="95" t="str">
        <f>IF(Estudio_Mercado!C27="","",Estudio_Mercado!C27)</f>
        <v xml:space="preserve">Alquiler Tarima 3 x 3 Media Jornada
</v>
      </c>
      <c r="D27" s="95" t="str">
        <f>IF(Estudio_Mercado!D27="","",Estudio_Mercado!D27)</f>
        <v>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v>
      </c>
      <c r="E27" s="94">
        <f>IF(Estudio_Mercado!F27="","",Estudio_Mercado!F27)</f>
        <v>5</v>
      </c>
      <c r="F27" s="96">
        <f>IF(Estudio_Mercado!Z27="","",Estudio_Mercado!Z27)</f>
        <v>872450</v>
      </c>
      <c r="G27" s="96">
        <f>IF(Estudio_Mercado!Z27="","",Estudio_Mercado!AA27)</f>
        <v>4362250</v>
      </c>
      <c r="H27" s="83"/>
      <c r="I27" s="97" t="str">
        <f t="shared" si="0"/>
        <v/>
      </c>
      <c r="J27" s="98" t="str">
        <f t="shared" si="1"/>
        <v>No cumple</v>
      </c>
      <c r="K27" s="99">
        <f t="shared" si="2"/>
        <v>872450</v>
      </c>
      <c r="L27" s="98" t="str">
        <f t="shared" si="3"/>
        <v>No cumple</v>
      </c>
      <c r="M27" s="100" t="e">
        <f t="shared" si="4"/>
        <v>#VALUE!</v>
      </c>
      <c r="AZ27" s="84">
        <v>17</v>
      </c>
    </row>
    <row r="28" spans="2:52" ht="30">
      <c r="B28" s="94">
        <f>IF(Estudio_Mercado!C28="","",Estudio_Mercado!A28)</f>
        <v>18</v>
      </c>
      <c r="C28" s="95" t="str">
        <f>IF(Estudio_Mercado!C28="","",Estudio_Mercado!C28)</f>
        <v>Mesas portafolio</v>
      </c>
      <c r="D28" s="95" t="str">
        <f>IF(Estudio_Mercado!D28="","",Estudio_Mercado!D28)</f>
        <v>Alquiler de Mesa Portafolio Plegable 180cm  x 75 cm. Incluye transporte, instalación y entrega en el lugar requerido.</v>
      </c>
      <c r="E28" s="94">
        <f>IF(Estudio_Mercado!F28="","",Estudio_Mercado!F28)</f>
        <v>35</v>
      </c>
      <c r="F28" s="96">
        <f>IF(Estudio_Mercado!Z28="","",Estudio_Mercado!Z28)</f>
        <v>34202</v>
      </c>
      <c r="G28" s="96">
        <f>IF(Estudio_Mercado!Z28="","",Estudio_Mercado!AA28)</f>
        <v>1197070</v>
      </c>
      <c r="H28" s="83"/>
      <c r="I28" s="97" t="str">
        <f t="shared" si="0"/>
        <v/>
      </c>
      <c r="J28" s="98" t="str">
        <f t="shared" si="1"/>
        <v>No cumple</v>
      </c>
      <c r="K28" s="99">
        <f t="shared" si="2"/>
        <v>34202</v>
      </c>
      <c r="L28" s="98" t="str">
        <f t="shared" si="3"/>
        <v>No cumple</v>
      </c>
      <c r="M28" s="100" t="e">
        <f t="shared" si="4"/>
        <v>#VALUE!</v>
      </c>
      <c r="AZ28" s="84">
        <v>18</v>
      </c>
    </row>
    <row r="29" spans="2:52" ht="30">
      <c r="B29" s="94">
        <f>IF(Estudio_Mercado!C29="","",Estudio_Mercado!A29)</f>
        <v>19</v>
      </c>
      <c r="C29" s="95" t="str">
        <f>IF(Estudio_Mercado!C29="","",Estudio_Mercado!C29)</f>
        <v>Alquiler de sillas</v>
      </c>
      <c r="D29" s="95" t="str">
        <f>IF(Estudio_Mercado!D29="","",Estudio_Mercado!D29)</f>
        <v xml:space="preserve">Alquiler de sillas: sillas plástica tipo sin brazos de 46,7 cms de ancho x 50,5 cms de largo y 89 cms de alto incluido el transporte. </v>
      </c>
      <c r="E29" s="94">
        <f>IF(Estudio_Mercado!F29="","",Estudio_Mercado!F29)</f>
        <v>375</v>
      </c>
      <c r="F29" s="96">
        <f>IF(Estudio_Mercado!Z29="","",Estudio_Mercado!Z29)</f>
        <v>5026</v>
      </c>
      <c r="G29" s="96">
        <f>IF(Estudio_Mercado!Z29="","",Estudio_Mercado!AA29)</f>
        <v>1884750</v>
      </c>
      <c r="H29" s="83"/>
      <c r="I29" s="97" t="str">
        <f t="shared" si="0"/>
        <v/>
      </c>
      <c r="J29" s="98" t="str">
        <f t="shared" si="1"/>
        <v>No cumple</v>
      </c>
      <c r="K29" s="99">
        <f t="shared" si="2"/>
        <v>5026</v>
      </c>
      <c r="L29" s="98" t="str">
        <f t="shared" si="3"/>
        <v>No cumple</v>
      </c>
      <c r="M29" s="100" t="e">
        <f t="shared" si="4"/>
        <v>#VALUE!</v>
      </c>
      <c r="AZ29" s="84">
        <v>19</v>
      </c>
    </row>
    <row r="30" spans="2:52" ht="60">
      <c r="B30" s="94">
        <f>IF(Estudio_Mercado!C30="","",Estudio_Mercado!A30)</f>
        <v>20</v>
      </c>
      <c r="C30" s="95" t="str">
        <f>IF(Estudio_Mercado!C30="","",Estudio_Mercado!C30)</f>
        <v>Dúo interpretes lenguaje de señas</v>
      </c>
      <c r="D30" s="95" t="str">
        <f>IF(Estudio_Mercado!D30="","",Estudio_Mercado!D30)</f>
        <v xml:space="preserve">DUO DE INTÉRPRETES DE LENGUAJE DE SEÑAS O SIGNOS: MÍNIMO DE SEIS (6) MESES DE EXPERIENCIA CERTIFICADA. TURNOS DE 25 MINUTOS CADA UNO DURANTE LA DURACIÓN DEL EVENTO (SERVICIO POR EVENTO DE 3 A 4 HORAS) </v>
      </c>
      <c r="E30" s="94">
        <f>IF(Estudio_Mercado!F30="","",Estudio_Mercado!F30)</f>
        <v>50</v>
      </c>
      <c r="F30" s="96">
        <f>IF(Estudio_Mercado!Z30="","",Estudio_Mercado!Z30)</f>
        <v>1397755</v>
      </c>
      <c r="G30" s="96">
        <f>IF(Estudio_Mercado!Z30="","",Estudio_Mercado!AA30)</f>
        <v>69887750</v>
      </c>
      <c r="H30" s="83"/>
      <c r="I30" s="97" t="str">
        <f t="shared" si="0"/>
        <v/>
      </c>
      <c r="J30" s="98" t="str">
        <f t="shared" si="1"/>
        <v>No cumple</v>
      </c>
      <c r="K30" s="99">
        <f t="shared" si="2"/>
        <v>1397755</v>
      </c>
      <c r="L30" s="98" t="str">
        <f t="shared" si="3"/>
        <v>No cumple</v>
      </c>
      <c r="M30" s="100" t="e">
        <f t="shared" si="4"/>
        <v>#VALUE!</v>
      </c>
      <c r="AZ30" s="84">
        <v>20</v>
      </c>
    </row>
    <row r="31" spans="2:52" ht="30">
      <c r="B31" s="94">
        <f>IF(Estudio_Mercado!C31="","",Estudio_Mercado!A31)</f>
        <v>21</v>
      </c>
      <c r="C31" s="95" t="str">
        <f>IF(Estudio_Mercado!C31="","",Estudio_Mercado!C31)</f>
        <v>Alquiler Carpa 4 x 4</v>
      </c>
      <c r="D31" s="95" t="str">
        <f>IF(Estudio_Mercado!D31="","",Estudio_Mercado!D31)</f>
        <v>Alquiler Carpa 4X4 con laterales. Incluye transporte, instalación y entrega en el lugar requerido, montaje y desmontaje, alquiler por día.</v>
      </c>
      <c r="E31" s="94">
        <f>IF(Estudio_Mercado!F31="","",Estudio_Mercado!F31)</f>
        <v>35</v>
      </c>
      <c r="F31" s="96">
        <f>IF(Estudio_Mercado!Z31="","",Estudio_Mercado!Z31)</f>
        <v>424285</v>
      </c>
      <c r="G31" s="96">
        <f>IF(Estudio_Mercado!Z31="","",Estudio_Mercado!AA31)</f>
        <v>14849975</v>
      </c>
      <c r="H31" s="83"/>
      <c r="I31" s="97" t="str">
        <f t="shared" si="0"/>
        <v/>
      </c>
      <c r="J31" s="98" t="str">
        <f t="shared" si="1"/>
        <v>No cumple</v>
      </c>
      <c r="K31" s="99">
        <f t="shared" si="2"/>
        <v>424285</v>
      </c>
      <c r="L31" s="98" t="str">
        <f t="shared" si="3"/>
        <v>No cumple</v>
      </c>
      <c r="M31" s="100" t="e">
        <f t="shared" si="4"/>
        <v>#VALUE!</v>
      </c>
    </row>
    <row r="32" spans="2:52">
      <c r="B32" s="94">
        <f>IF(Estudio_Mercado!C32="","",Estudio_Mercado!A32)</f>
        <v>22</v>
      </c>
      <c r="C32" s="95" t="str">
        <f>IF(Estudio_Mercado!C32="","",Estudio_Mercado!C32)</f>
        <v>Incentivos Iniciativas Deportivas</v>
      </c>
      <c r="D32" s="95" t="str">
        <f>IF(Estudio_Mercado!D32="","",Estudio_Mercado!D32)</f>
        <v>Entrega de incentivis a 75 inicitivas depotivas ciudadanas a razón de $15.000.000 C/U</v>
      </c>
      <c r="E32" s="94">
        <f>IF(Estudio_Mercado!F32="","",Estudio_Mercado!F32)</f>
        <v>75</v>
      </c>
      <c r="F32" s="96">
        <f>IF(Estudio_Mercado!Z32="","",Estudio_Mercado!Z32)</f>
        <v>15000000</v>
      </c>
      <c r="G32" s="96">
        <f>IF(Estudio_Mercado!Z32="","",Estudio_Mercado!AA32)</f>
        <v>1125000000</v>
      </c>
      <c r="H32" s="83"/>
      <c r="I32" s="97" t="str">
        <f t="shared" si="0"/>
        <v/>
      </c>
      <c r="J32" s="98" t="str">
        <f t="shared" si="1"/>
        <v>No cumple</v>
      </c>
      <c r="K32" s="99">
        <f t="shared" si="2"/>
        <v>15000000</v>
      </c>
      <c r="L32" s="98" t="str">
        <f t="shared" si="3"/>
        <v>No cumple</v>
      </c>
      <c r="M32" s="100" t="e">
        <f t="shared" si="4"/>
        <v>#VALUE!</v>
      </c>
    </row>
    <row r="33" spans="2:13">
      <c r="B33" s="245" t="s">
        <v>309</v>
      </c>
      <c r="C33" s="245"/>
      <c r="D33" s="245"/>
      <c r="E33" s="245"/>
      <c r="F33" s="245"/>
      <c r="G33" s="245"/>
      <c r="H33" s="101">
        <f>SUM(H11:H32)</f>
        <v>0</v>
      </c>
      <c r="I33" s="102"/>
      <c r="J33" s="246"/>
      <c r="K33" s="246"/>
      <c r="L33" s="246"/>
      <c r="M33" s="247"/>
    </row>
    <row r="34" spans="2:13">
      <c r="B34" s="248" t="s">
        <v>145</v>
      </c>
      <c r="C34" s="249"/>
      <c r="D34" s="249"/>
      <c r="E34" s="249"/>
      <c r="F34" s="248" t="s">
        <v>145</v>
      </c>
      <c r="G34" s="249"/>
      <c r="H34" s="249"/>
      <c r="I34" s="249"/>
      <c r="J34" s="249"/>
      <c r="K34" s="249"/>
      <c r="L34" s="249"/>
      <c r="M34" s="252"/>
    </row>
    <row r="35" spans="2:13">
      <c r="B35" s="250"/>
      <c r="C35" s="251"/>
      <c r="D35" s="251"/>
      <c r="E35" s="251"/>
      <c r="F35" s="250"/>
      <c r="G35" s="251"/>
      <c r="H35" s="251"/>
      <c r="I35" s="251"/>
      <c r="J35" s="251"/>
      <c r="K35" s="251"/>
      <c r="L35" s="251"/>
      <c r="M35" s="253"/>
    </row>
    <row r="36" spans="2:13" ht="195">
      <c r="B36" s="94">
        <v>1</v>
      </c>
      <c r="C36" s="103" t="str">
        <f>Estudio_Mercado!C38</f>
        <v>Coordinador(a) general del proyecto.</v>
      </c>
      <c r="D36" s="103" t="str">
        <f>Estudio_Mercado!D38</f>
        <v>FORMACIÓN PROFESIONAL DE ACUERDO AL ÁREA DE CONOCIMIENTO DEL NÚCLEO BÁSICO DEL CONOCIMIENTO.
Área Básica del Conocimiento en Administración Deportiva y/o Profesional en Gestión Deportiva y/o Profesional en Ciencias del Deporte y/o Profesional en Deporte y Actividad Física y/o Licenciado en Educación Física y/o Recreación y Deporte y/o Profesional de la Cultura Física, Deporte y Recreación.
EXPERIENCIA PROFESIONAL: mínimo veinticuatro (24) meses de experiencia profesional, contados a partir de la expedición de la tarjeta profesional. 
EXPERIENCIA ESPECÍFICA: mínimo veinticuatro (24) meses de experiencia adicional relacionada como Coordinador y/o Supervisor y/o Gerente, en coordinación de eventos recreativos y/o deportivos dirigidos a jóvenes y/o persona mayor y/o población de enfoques diferenciales y/o población convencional.</v>
      </c>
      <c r="E36" s="94">
        <f>IF(Estudio_Mercado!F38="","",Estudio_Mercado!F38)</f>
        <v>1</v>
      </c>
      <c r="F36" s="104">
        <f>IF(Estudio_Mercado!I38="","",Estudio_Mercado!I38)</f>
        <v>5500000</v>
      </c>
      <c r="G36" s="104">
        <f>IF(Estudio_Mercado!J38="","",Estudio_Mercado!J38)</f>
        <v>44000000</v>
      </c>
      <c r="H36" s="105"/>
      <c r="I36" s="106"/>
      <c r="J36" s="98" t="str">
        <f t="shared" ref="J36:J41" si="5">IF(AND(G36&lt;&gt;0,G36&lt;&gt;""),IF(AND(E36&gt;=G36,G36&lt;&gt;0),"Cumple","No cumple"),"Valor vacío")</f>
        <v>No cumple</v>
      </c>
      <c r="K36" s="100">
        <f t="shared" ref="K36:K41" si="6">F36-H36</f>
        <v>5500000</v>
      </c>
      <c r="L36" s="98" t="str">
        <f t="shared" ref="L36:L41" si="7">IF(G36&gt;=I36,"Cumple","No cumple")</f>
        <v>Cumple</v>
      </c>
      <c r="M36" s="100">
        <f t="shared" ref="M36:M41" si="8">G36-I36</f>
        <v>44000000</v>
      </c>
    </row>
    <row r="37" spans="2:13" ht="180">
      <c r="B37" s="94">
        <v>2</v>
      </c>
      <c r="C37" s="103" t="str">
        <f>Estudio_Mercado!C39</f>
        <v>Asistente Administrativo</v>
      </c>
      <c r="D37" s="103" t="str">
        <f>Estudio_Mercado!D39</f>
        <v>FORMACIÓN PROFESIONAL DE ACUERDO AL ÁREA DE CONOCIMIENTO DEL NÚCLEO BÁSICO DEL CONOCIMIENTO.
Área Básica del Conocimiento en: Técnico (a) en sistemas o tecnólogo (a) en gestión comunitaria o tecnólogo (a) en promoción social o tecnólogo (a) en gestión de procesos sociales y comunitarios o tecnólogo (a) en gestión documental o tecnólogo (a) en logística, tecnólogo (a) en Asistencia Gerencial, tecnólogo (a) en Gestión Del Talento Humano, tecnólogo (a) en Administración de empresas.
EXPERIENCIA PROFESIONAL: mínimo treinta y seis (36) meses de experiencia profesional, contados a partir del grado.
EXPERIENCIA ESPECÍFICA: Mínimo de doce (12) meses en funciones relacionadas con la asistencia en proyectos sociales o recreo deportivos.
Preferiblemente que resida en la Localidad de Suba.</v>
      </c>
      <c r="E37" s="94">
        <f>IF(Estudio_Mercado!F39="","",Estudio_Mercado!F39)</f>
        <v>1</v>
      </c>
      <c r="F37" s="104">
        <f>IF(Estudio_Mercado!I39="","",Estudio_Mercado!I39)</f>
        <v>3095000</v>
      </c>
      <c r="G37" s="104">
        <f>IF(Estudio_Mercado!J39="","",Estudio_Mercado!J39)</f>
        <v>24760000</v>
      </c>
      <c r="H37" s="105"/>
      <c r="I37" s="106"/>
      <c r="J37" s="98" t="str">
        <f t="shared" si="5"/>
        <v>No cumple</v>
      </c>
      <c r="K37" s="100">
        <f t="shared" si="6"/>
        <v>3095000</v>
      </c>
      <c r="L37" s="98" t="str">
        <f t="shared" si="7"/>
        <v>Cumple</v>
      </c>
      <c r="M37" s="100">
        <f t="shared" si="8"/>
        <v>24760000</v>
      </c>
    </row>
    <row r="38" spans="2:13" ht="45">
      <c r="B38" s="94">
        <v>3</v>
      </c>
      <c r="C38" s="103" t="str">
        <f>Estudio_Mercado!C40</f>
        <v>Facilitador/a</v>
      </c>
      <c r="D38" s="103" t="str">
        <f>Estudio_Mercado!D40</f>
        <v xml:space="preserve">Título de bachiller. Experiencia: Mínimo seis (6) meses en trabajo comunitario y/o apoyo logístico en actividades sociales, recreativas o deportivas. Se sugiere que resida en la localidad de Suba. </v>
      </c>
      <c r="E38" s="94">
        <f>IF(Estudio_Mercado!F40="","",Estudio_Mercado!F40)</f>
        <v>2</v>
      </c>
      <c r="F38" s="104">
        <f>IF(Estudio_Mercado!I40="","",Estudio_Mercado!I40)</f>
        <v>1602000</v>
      </c>
      <c r="G38" s="104">
        <f>IF(Estudio_Mercado!J40="","",Estudio_Mercado!J40)</f>
        <v>25632000</v>
      </c>
      <c r="H38" s="105"/>
      <c r="I38" s="106"/>
      <c r="J38" s="98" t="str">
        <f t="shared" si="5"/>
        <v>No cumple</v>
      </c>
      <c r="K38" s="100">
        <f t="shared" si="6"/>
        <v>1602000</v>
      </c>
      <c r="L38" s="98" t="str">
        <f t="shared" si="7"/>
        <v>Cumple</v>
      </c>
      <c r="M38" s="100">
        <f t="shared" si="8"/>
        <v>25632000</v>
      </c>
    </row>
    <row r="39" spans="2:13" ht="165">
      <c r="B39" s="94">
        <v>4</v>
      </c>
      <c r="C39" s="103" t="str">
        <f>Estudio_Mercado!C41</f>
        <v>Evaluadores</v>
      </c>
      <c r="D39" s="103" t="str">
        <f>Estudio_Mercado!D41</f>
        <v>Perfil: Acreditar título profesional en alguna de las siguientes áreas: Educación física, Recreación, Deportes, Cultura física, deporte y recreación, Entrenamiento deportivo, Ciencias del Deporte, Administración deportiva y afines. 
Acreditar mínimo cuatro (4) años de experiencia profesional con alguno o varios de los siguientes campos: el deporte y/o la recreación y /o la actividad física y/o la administración deportiva y/o la gestión del deporte y/o educación física y/o gestión de proyectos deportivos y afines, a partir de la expedición de la tarjeta profesional. 
Experiencia específica: En mínimo doce (12) meses en evaluación de procesos deportivos o gestión de proyectos o iniciativas similares.</v>
      </c>
      <c r="E39" s="94">
        <f>IF(Estudio_Mercado!F41="","",Estudio_Mercado!F41)</f>
        <v>4</v>
      </c>
      <c r="F39" s="104">
        <f>IF(Estudio_Mercado!I41="","",Estudio_Mercado!I41)</f>
        <v>5000000</v>
      </c>
      <c r="G39" s="104">
        <f>IF(Estudio_Mercado!J41="","",Estudio_Mercado!J41)</f>
        <v>20000000</v>
      </c>
      <c r="H39" s="105"/>
      <c r="I39" s="106"/>
      <c r="J39" s="98" t="str">
        <f t="shared" si="5"/>
        <v>No cumple</v>
      </c>
      <c r="K39" s="100">
        <f t="shared" si="6"/>
        <v>5000000</v>
      </c>
      <c r="L39" s="98" t="str">
        <f t="shared" si="7"/>
        <v>Cumple</v>
      </c>
      <c r="M39" s="100">
        <f t="shared" si="8"/>
        <v>20000000</v>
      </c>
    </row>
    <row r="40" spans="2:13" ht="165">
      <c r="B40" s="94">
        <v>5</v>
      </c>
      <c r="C40" s="103" t="str">
        <f>Estudio_Mercado!C42</f>
        <v>Capacitadores(as)</v>
      </c>
      <c r="D40" s="103" t="str">
        <f>Estudio_Mercado!D42</f>
        <v>Perfil: Área Básica del Conocimiento Perfil: 
Profesional en Gestión Deportiva, en administración deportiva y/o Profesional en gestión deportiva y/o profesional en ciencias del deporte y/o profesional en deporte y actividad física y/o licenciado en educación física y/o recreación y deporte y/o profesional de la cultura física, deporte y recreación y /o Ingeniería (Industrial, o afines) y /o Administración de Empresas o áreas profesionales de las Ciencias social.
Experiencia General: Mínimo veinticuatro (24) meses de experiencia general.
Experiencia específica: Mínimo treinta y seis (36) meses de experiencia en: implementación de modelos de innovación social como las nuevas tecnologías y/o gestión de proyectos y/o talleres dirigidos a colectivos u organizaciones</v>
      </c>
      <c r="E40" s="94">
        <f>IF(Estudio_Mercado!F42="","",Estudio_Mercado!F42)</f>
        <v>2</v>
      </c>
      <c r="F40" s="104">
        <f>IF(Estudio_Mercado!I42="","",Estudio_Mercado!I42)</f>
        <v>5000000</v>
      </c>
      <c r="G40" s="104">
        <f>IF(Estudio_Mercado!J42="","",Estudio_Mercado!J42)</f>
        <v>20000000</v>
      </c>
      <c r="H40" s="105"/>
      <c r="I40" s="106"/>
      <c r="J40" s="98" t="str">
        <f t="shared" si="5"/>
        <v>No cumple</v>
      </c>
      <c r="K40" s="100">
        <f t="shared" si="6"/>
        <v>5000000</v>
      </c>
      <c r="L40" s="98" t="str">
        <f t="shared" si="7"/>
        <v>Cumple</v>
      </c>
      <c r="M40" s="100">
        <f t="shared" si="8"/>
        <v>20000000</v>
      </c>
    </row>
    <row r="41" spans="2:13" ht="165">
      <c r="B41" s="94">
        <v>6</v>
      </c>
      <c r="C41" s="103" t="str">
        <f>Estudio_Mercado!C43</f>
        <v>Profesional de Seguimiento</v>
      </c>
      <c r="D41" s="103" t="str">
        <f>Estudio_Mercado!D43</f>
        <v xml:space="preserve">Perfil: Área Básica del Conocimiento Perfil: 
Profesional en Gestión Deportiva, en administración deportiva y/o Profesional en gestión deportiva y/o profesional en ciencias del deporte y/o profesional en deporte y actividad física y/o licenciado en educación física y/o recreación y deporte y/o profesional de la cultura física, deporte y recreación y /o Ingeniería (Industrial, o afines) y /o Administración de Empresas o áreas profesionales de las Ciencias social.
Experiencia General: Mínimo veinticuatro (24) meses de experiencia general.
Experiencia específica: Mínimo treinta y seis (36) meses de experiencia en: implementación de modelos de innovación social como las nuevas tecnologías y/o gestión de proyectos y/o talleres dirigidos a colectivos u organizaciones. </v>
      </c>
      <c r="E41" s="94">
        <f>IF(Estudio_Mercado!F43="","",Estudio_Mercado!F43)</f>
        <v>2</v>
      </c>
      <c r="F41" s="104">
        <f>IF(Estudio_Mercado!I43="","",Estudio_Mercado!I43)</f>
        <v>5000000</v>
      </c>
      <c r="G41" s="104">
        <f>IF(Estudio_Mercado!J43="","",Estudio_Mercado!J43)</f>
        <v>20000000</v>
      </c>
      <c r="H41" s="105"/>
      <c r="I41" s="106"/>
      <c r="J41" s="98" t="str">
        <f t="shared" si="5"/>
        <v>No cumple</v>
      </c>
      <c r="K41" s="100">
        <f t="shared" si="6"/>
        <v>5000000</v>
      </c>
      <c r="L41" s="98" t="str">
        <f t="shared" si="7"/>
        <v>Cumple</v>
      </c>
      <c r="M41" s="100">
        <f t="shared" si="8"/>
        <v>20000000</v>
      </c>
    </row>
    <row r="42" spans="2:13">
      <c r="B42" s="245" t="s">
        <v>8</v>
      </c>
      <c r="C42" s="245"/>
      <c r="D42" s="245"/>
      <c r="E42" s="245"/>
      <c r="F42" s="245"/>
      <c r="G42" s="245"/>
      <c r="H42" s="101">
        <f>SUM(H36:H41)</f>
        <v>0</v>
      </c>
      <c r="I42" s="102"/>
      <c r="J42" s="246"/>
      <c r="K42" s="246"/>
      <c r="L42" s="246"/>
      <c r="M42" s="247"/>
    </row>
    <row r="43" spans="2:13" ht="15.75">
      <c r="B43" s="234" t="s">
        <v>310</v>
      </c>
      <c r="C43" s="234"/>
      <c r="D43" s="234"/>
      <c r="E43" s="235"/>
      <c r="F43" s="235"/>
      <c r="G43" s="235"/>
      <c r="H43" s="235"/>
      <c r="I43" s="235"/>
    </row>
    <row r="44" spans="2:13" ht="15.75">
      <c r="B44" s="234" t="s">
        <v>311</v>
      </c>
      <c r="C44" s="234"/>
      <c r="D44" s="234"/>
      <c r="E44" s="235"/>
      <c r="F44" s="235"/>
      <c r="G44" s="235"/>
      <c r="H44" s="235"/>
      <c r="I44" s="235"/>
    </row>
    <row r="45" spans="2:13" ht="15.75">
      <c r="B45" s="234" t="s">
        <v>312</v>
      </c>
      <c r="C45" s="234"/>
      <c r="D45" s="234"/>
      <c r="E45" s="235"/>
      <c r="F45" s="235"/>
      <c r="G45" s="235"/>
      <c r="H45" s="235"/>
      <c r="I45" s="235"/>
    </row>
    <row r="46" spans="2:13" ht="15.75">
      <c r="B46" s="234" t="s">
        <v>313</v>
      </c>
      <c r="C46" s="234"/>
      <c r="D46" s="234"/>
      <c r="E46" s="235"/>
      <c r="F46" s="235"/>
      <c r="G46" s="235"/>
      <c r="H46" s="235"/>
      <c r="I46" s="235"/>
    </row>
    <row r="47" spans="2:13">
      <c r="B47" s="244"/>
      <c r="C47" s="244"/>
      <c r="D47" s="244"/>
      <c r="E47" s="244"/>
      <c r="F47" s="244"/>
      <c r="G47" s="244"/>
      <c r="H47" s="244"/>
      <c r="I47" s="244"/>
    </row>
    <row r="48" spans="2:13">
      <c r="E48" s="7"/>
      <c r="F48" s="107"/>
      <c r="G48" s="107"/>
    </row>
    <row r="49" spans="4:7">
      <c r="D49" s="7"/>
      <c r="E49" s="7"/>
      <c r="F49" s="107"/>
      <c r="G49" s="107"/>
    </row>
    <row r="50" spans="4:7">
      <c r="D50" s="7"/>
      <c r="E50" s="7"/>
      <c r="F50" s="107"/>
      <c r="G50" s="107"/>
    </row>
    <row r="51" spans="4:7">
      <c r="D51" s="7"/>
      <c r="E51" s="7"/>
      <c r="F51" s="107"/>
      <c r="G51" s="107"/>
    </row>
    <row r="52" spans="4:7">
      <c r="D52" s="7"/>
      <c r="E52" s="7"/>
      <c r="F52" s="107"/>
      <c r="G52" s="107"/>
    </row>
  </sheetData>
  <mergeCells count="28">
    <mergeCell ref="B47:I47"/>
    <mergeCell ref="B43:D43"/>
    <mergeCell ref="E43:I43"/>
    <mergeCell ref="B33:G33"/>
    <mergeCell ref="J33:M33"/>
    <mergeCell ref="B34:E35"/>
    <mergeCell ref="F34:I35"/>
    <mergeCell ref="J34:M35"/>
    <mergeCell ref="B42:G42"/>
    <mergeCell ref="J42:M42"/>
    <mergeCell ref="B44:D44"/>
    <mergeCell ref="E44:I44"/>
    <mergeCell ref="J6:M8"/>
    <mergeCell ref="J9:M9"/>
    <mergeCell ref="B45:D45"/>
    <mergeCell ref="E45:I45"/>
    <mergeCell ref="B46:D46"/>
    <mergeCell ref="E46:I46"/>
    <mergeCell ref="B6:C7"/>
    <mergeCell ref="D6:I6"/>
    <mergeCell ref="E7:I7"/>
    <mergeCell ref="B8:E8"/>
    <mergeCell ref="B9:B10"/>
    <mergeCell ref="C9:C10"/>
    <mergeCell ref="D9:D10"/>
    <mergeCell ref="E9:E10"/>
    <mergeCell ref="F9:G9"/>
    <mergeCell ref="H9:I9"/>
  </mergeCells>
  <conditionalFormatting sqref="K11:K32 M11:M32">
    <cfRule type="cellIs" dxfId="13" priority="27" operator="lessThan">
      <formula>0</formula>
    </cfRule>
    <cfRule type="cellIs" dxfId="12" priority="28" operator="lessThan">
      <formula>0</formula>
    </cfRule>
  </conditionalFormatting>
  <conditionalFormatting sqref="K36 M36">
    <cfRule type="cellIs" dxfId="11" priority="11" operator="lessThan">
      <formula>0</formula>
    </cfRule>
    <cfRule type="cellIs" dxfId="10" priority="12" operator="lessThan">
      <formula>0</formula>
    </cfRule>
  </conditionalFormatting>
  <conditionalFormatting sqref="K37 M37">
    <cfRule type="cellIs" dxfId="9" priority="9" operator="lessThan">
      <formula>0</formula>
    </cfRule>
    <cfRule type="cellIs" dxfId="8" priority="10" operator="lessThan">
      <formula>0</formula>
    </cfRule>
  </conditionalFormatting>
  <conditionalFormatting sqref="K38 M38">
    <cfRule type="cellIs" dxfId="7" priority="7" operator="lessThan">
      <formula>0</formula>
    </cfRule>
    <cfRule type="cellIs" dxfId="6" priority="8" operator="lessThan">
      <formula>0</formula>
    </cfRule>
  </conditionalFormatting>
  <conditionalFormatting sqref="K39 M39">
    <cfRule type="cellIs" dxfId="5" priority="5" operator="lessThan">
      <formula>0</formula>
    </cfRule>
    <cfRule type="cellIs" dxfId="4" priority="6" operator="lessThan">
      <formula>0</formula>
    </cfRule>
  </conditionalFormatting>
  <conditionalFormatting sqref="K40 M40">
    <cfRule type="cellIs" dxfId="3" priority="3" operator="lessThan">
      <formula>0</formula>
    </cfRule>
    <cfRule type="cellIs" dxfId="2" priority="4" operator="lessThan">
      <formula>0</formula>
    </cfRule>
  </conditionalFormatting>
  <conditionalFormatting sqref="K41 M41">
    <cfRule type="cellIs" dxfId="1" priority="1" operator="lessThan">
      <formula>0</formula>
    </cfRule>
    <cfRule type="cellIs" dxfId="0" priority="2" operator="lessThan">
      <formula>0</formula>
    </cfRule>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Estudio_Mercado</vt:lpstr>
      <vt:lpstr>TablaD_3Provedores</vt:lpstr>
      <vt:lpstr>Tres_Entidad</vt:lpstr>
      <vt:lpstr>TablaDinamicaTres_Entidad</vt:lpstr>
      <vt:lpstr>Lista</vt:lpstr>
      <vt:lpstr>FORMATO DE OFERTA ECONÓMICA</vt:lpstr>
      <vt:lpstr>Estudio_Mercado!Área_de_impresión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Hernando Ernesto Gonzalez Atuesta</cp:lastModifiedBy>
  <cp:revision/>
  <dcterms:created xsi:type="dcterms:W3CDTF">2025-03-14T01:33:22Z</dcterms:created>
  <dcterms:modified xsi:type="dcterms:W3CDTF">2026-10-16T16:54:21Z</dcterms:modified>
  <cp:category/>
  <cp:contentStatus/>
</cp:coreProperties>
</file>