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mc:AlternateContent xmlns:mc="http://schemas.openxmlformats.org/markup-compatibility/2006">
    <mc:Choice Requires="x15">
      <x15ac:absPath xmlns:x15ac="http://schemas.microsoft.com/office/spreadsheetml/2010/11/ac" url="https://minjusticiagovco-my.sharepoint.com/personal/diego_quintanilla_minjusticia_gov_co/Documents/PROCESOS/PROCESOS 2026/137. Seguridad y vigilancia/"/>
    </mc:Choice>
  </mc:AlternateContent>
  <xr:revisionPtr revIDLastSave="37" documentId="11_1AB4BAFE573C657931B8D05B0C7C465BFF443947" xr6:coauthVersionLast="47" xr6:coauthVersionMax="47" xr10:uidLastSave="{9AD17C0F-CC06-4441-AFDB-BC75500AAF26}"/>
  <workbookProtection lockStructure="1"/>
  <bookViews>
    <workbookView xWindow="28680" yWindow="-120" windowWidth="29040" windowHeight="15720" xr2:uid="{00000000-000D-0000-FFFF-FFFF00000000}"/>
  </bookViews>
  <sheets>
    <sheet name="OFERTA ECONOMICA" sheetId="1" r:id="rId1"/>
  </sheets>
  <definedNames>
    <definedName name="_xlnm.Print_Area" localSheetId="0">'OFERTA ECONOMICA'!$A$1:$K$113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84" i="1" l="1"/>
  <c r="K106" i="1"/>
  <c r="I106" i="1"/>
  <c r="J97" i="1"/>
  <c r="I97" i="1"/>
  <c r="K97" i="1" s="1"/>
  <c r="G85" i="1"/>
  <c r="F85" i="1"/>
  <c r="K83" i="1"/>
  <c r="I83" i="1"/>
  <c r="J83" i="1" s="1"/>
  <c r="K82" i="1"/>
  <c r="I82" i="1"/>
  <c r="J82" i="1" s="1"/>
  <c r="K81" i="1"/>
  <c r="I81" i="1"/>
  <c r="J81" i="1" s="1"/>
  <c r="H79" i="1"/>
  <c r="H77" i="1"/>
  <c r="K76" i="1"/>
  <c r="I76" i="1"/>
  <c r="J76" i="1" s="1"/>
  <c r="K75" i="1"/>
  <c r="I75" i="1"/>
  <c r="J75" i="1" s="1"/>
  <c r="K74" i="1"/>
  <c r="I74" i="1"/>
  <c r="J74" i="1" s="1"/>
  <c r="K73" i="1"/>
  <c r="I73" i="1"/>
  <c r="G69" i="1"/>
  <c r="G87" i="1" s="1"/>
  <c r="F69" i="1"/>
  <c r="F87" i="1" s="1"/>
  <c r="H68" i="1"/>
  <c r="K67" i="1"/>
  <c r="I67" i="1"/>
  <c r="J67" i="1" s="1"/>
  <c r="H65" i="1"/>
  <c r="K64" i="1"/>
  <c r="I64" i="1"/>
  <c r="J64" i="1" s="1"/>
  <c r="H63" i="1"/>
  <c r="K62" i="1"/>
  <c r="I62" i="1"/>
  <c r="J62" i="1" s="1"/>
  <c r="K61" i="1"/>
  <c r="I61" i="1"/>
  <c r="J61" i="1" s="1"/>
  <c r="K60" i="1"/>
  <c r="I60" i="1"/>
  <c r="J60" i="1" s="1"/>
  <c r="K59" i="1"/>
  <c r="I59" i="1"/>
  <c r="J59" i="1" s="1"/>
  <c r="K58" i="1"/>
  <c r="I58" i="1"/>
  <c r="J58" i="1" s="1"/>
  <c r="K57" i="1"/>
  <c r="I57" i="1"/>
  <c r="J57" i="1" s="1"/>
  <c r="K56" i="1"/>
  <c r="I56" i="1"/>
  <c r="J56" i="1" s="1"/>
  <c r="K55" i="1"/>
  <c r="I55" i="1"/>
  <c r="J55" i="1" s="1"/>
  <c r="K54" i="1"/>
  <c r="I54" i="1"/>
  <c r="K50" i="1"/>
  <c r="K49" i="1"/>
  <c r="K48" i="1"/>
  <c r="F43" i="1"/>
  <c r="J42" i="1"/>
  <c r="I42" i="1"/>
  <c r="K42" i="1" s="1"/>
  <c r="J41" i="1"/>
  <c r="I41" i="1"/>
  <c r="K41" i="1" s="1"/>
  <c r="J40" i="1"/>
  <c r="I40" i="1"/>
  <c r="K40" i="1" s="1"/>
  <c r="J39" i="1"/>
  <c r="I39" i="1"/>
  <c r="K39" i="1" s="1"/>
  <c r="J38" i="1"/>
  <c r="I38" i="1"/>
  <c r="K38" i="1" s="1"/>
  <c r="J37" i="1"/>
  <c r="I37" i="1"/>
  <c r="K37" i="1" s="1"/>
  <c r="J36" i="1"/>
  <c r="I36" i="1"/>
  <c r="K36" i="1" s="1"/>
  <c r="J35" i="1"/>
  <c r="I35" i="1"/>
  <c r="K35" i="1" s="1"/>
  <c r="J34" i="1"/>
  <c r="J43" i="1" s="1"/>
  <c r="J91" i="1" s="1"/>
  <c r="I34" i="1"/>
  <c r="G17" i="1"/>
  <c r="I14" i="1"/>
  <c r="E15" i="1" s="1"/>
  <c r="E14" i="1"/>
  <c r="K105" i="1" l="1"/>
  <c r="I105" i="1"/>
  <c r="I80" i="1"/>
  <c r="J80" i="1" s="1"/>
  <c r="K80" i="1"/>
  <c r="I78" i="1"/>
  <c r="J78" i="1" s="1"/>
  <c r="K78" i="1"/>
  <c r="I66" i="1"/>
  <c r="J66" i="1" s="1"/>
  <c r="K66" i="1"/>
  <c r="I84" i="1"/>
  <c r="J84" i="1" s="1"/>
  <c r="K84" i="1"/>
  <c r="I79" i="1"/>
  <c r="J79" i="1" s="1"/>
  <c r="K79" i="1"/>
  <c r="K77" i="1"/>
  <c r="K85" i="1" s="1"/>
  <c r="I77" i="1"/>
  <c r="J77" i="1" s="1"/>
  <c r="J73" i="1"/>
  <c r="I85" i="1"/>
  <c r="K68" i="1"/>
  <c r="I68" i="1"/>
  <c r="J68" i="1" s="1"/>
  <c r="K65" i="1"/>
  <c r="I65" i="1"/>
  <c r="I63" i="1"/>
  <c r="J63" i="1" s="1"/>
  <c r="K63" i="1"/>
  <c r="J54" i="1"/>
  <c r="K107" i="1"/>
  <c r="K108" i="1"/>
  <c r="I108" i="1"/>
  <c r="I43" i="1"/>
  <c r="I91" i="1" s="1"/>
  <c r="K34" i="1"/>
  <c r="K43" i="1" s="1"/>
  <c r="I107" i="1" l="1"/>
  <c r="G16" i="1"/>
  <c r="E16" i="1"/>
  <c r="I16" i="1"/>
  <c r="K69" i="1"/>
  <c r="J65" i="1"/>
  <c r="J69" i="1" s="1"/>
  <c r="I69" i="1"/>
  <c r="I87" i="1" s="1"/>
  <c r="J85" i="1"/>
  <c r="J87" i="1" l="1"/>
  <c r="I92" i="1"/>
  <c r="I93" i="1" s="1"/>
  <c r="J92" i="1"/>
  <c r="J93" i="1" s="1"/>
  <c r="J94" i="1" s="1"/>
  <c r="J95" i="1" s="1"/>
  <c r="J96" i="1" s="1"/>
  <c r="J98" i="1" s="1"/>
  <c r="I94" i="1" l="1"/>
  <c r="I95" i="1" s="1"/>
  <c r="I96" i="1" s="1"/>
  <c r="I98" i="1" s="1"/>
  <c r="K98" i="1" s="1"/>
  <c r="K99" i="1" s="1"/>
  <c r="I17" i="1" s="1"/>
  <c r="E17" i="1" l="1"/>
  <c r="K101" i="1"/>
  <c r="I109" i="1" s="1"/>
  <c r="K109" i="1"/>
  <c r="K110" i="1" s="1"/>
  <c r="E18" i="1" s="1"/>
</calcChain>
</file>

<file path=xl/sharedStrings.xml><?xml version="1.0" encoding="utf-8"?>
<sst xmlns="http://schemas.openxmlformats.org/spreadsheetml/2006/main" count="226" uniqueCount="136">
  <si>
    <t>REPÚBLICA DE COLOMBIA
MINISTERIO DE JUSTICIA Y DEL DERECHO
GRUPO DE GESTIÓN ADMINISTRATIVA</t>
  </si>
  <si>
    <t>FORMATO DE OFERTA ECONÓMICA – SERVICIO INTEGRAL DE SEGURIDAD Y VIGILANCIA PRIVADA</t>
  </si>
  <si>
    <t>Objeto: Prestar el servicio de Seguridad y Vigilancia privada para las sedes del Ministerio de Justicia y del Derecho, incluyendo el personal requerido, servicio con medio canino, operación de CCTV y los medios tecnológicos previstos en la FECT.</t>
  </si>
  <si>
    <t>A. DATOS DEL PROPONENTE</t>
  </si>
  <si>
    <t>Proponente (razón social):</t>
  </si>
  <si>
    <t>NIT:</t>
  </si>
  <si>
    <t>Representante legal:</t>
  </si>
  <si>
    <t>C.C.:</t>
  </si>
  <si>
    <t>Correo electrónico:</t>
  </si>
  <si>
    <t>Fecha de la oferta:</t>
  </si>
  <si>
    <t>B. AVANCE DEL DILIGENCIAMIENTO</t>
  </si>
  <si>
    <t>Celdas diligenciadas (datos del proponente + valores unitarios)</t>
  </si>
  <si>
    <t>Porcentaje de avance</t>
  </si>
  <si>
    <t>Barra de avance</t>
  </si>
  <si>
    <t>Ítems de medios tecnológicos</t>
  </si>
  <si>
    <t>Valor total de la oferta / presupuesto oficial</t>
  </si>
  <si>
    <t>Estado general (ver sección G)</t>
  </si>
  <si>
    <t>C. NOTAS PARA EL DILIGENCIAMIENTO DE LA OFERTA ECONÓMICA</t>
  </si>
  <si>
    <t>El proponente solo diligencia las celdas en color azul: los datos del proponente (sección A) y el valor unitario mensual sin IVA de los medios tecnológicos (sección E). Las demás celdas están bloqueadas y se calculan automáticamente. El panel de la sección B muestra el avance y el semáforo de cada ítem indica si el valor está pendiente, correcto o con observación.</t>
  </si>
  <si>
    <t>ELEMENTOS NO COTIZABLES – Servicios de vigilancia (sección D): los servicios de vigilancia humana con y sin arma, con canino, de operación de medios tecnológicos (CCTV) y de supervisión no son objeto de ofrecimiento. Se liquidan con las tarifas mínimas reguladas por la Superintendencia de Vigilancia y Seguridad Privada (10,21 SMMLV para 2026, Circular Externa No. 20251300000115CS y Resolución No. 20251000059517CS), e incluyen los gastos de administración y supervisión (AyS) y la prima del seguro de vida; para 2027 se aplica la proyección del presupuesto oficial.</t>
  </si>
  <si>
    <t>ELEMENTOS NO COTIZABLES – Conceptos fijos: el AIU del 10 % (se usa solo como base gravable del IVA, artículo 462-1 del Estatuto Tributario, y no se suma al valor), el IVA del 19 % sobre el AIU, los meses de cada vigencia y las cantidades, unidades de medida y descripciones de los ítems no pueden modificarse.</t>
  </si>
  <si>
    <t>ELEMENTOS NO COTIZABLES – Equipos de propiedad del Ministerio: las ocho (8) cámaras de CCTV fijas de la sede Chapinero y el equipo tipo escáner para inspección de elementos de la sede principal son de propiedad de la Entidad y no se cotizan; su mantenimiento, integración al sistema CCTV y operación hacen parte del servicio sin costo adicional, conforme a la FECT.</t>
  </si>
  <si>
    <t>ELEMENTOS CON VALOR ÚNICO: los radios de comunicación, las linternas LED y el arco detector de metales se requieren en las dos sedes con las mismas especificaciones y el mismo precio techo; por eso se cotizan una sola vez en la sección E.1 y ese valor se aplica automáticamente en las dos sedes.</t>
  </si>
  <si>
    <t>PRECIO TECHO: el valor unitario mensual ofertado de cada ítem no podrá superar el precio techo, que corresponde al valor unitario mensual sin IVA del presupuesto oficial. La oferta que supere el precio techo en cualquier ítem, o el valor total del presupuesto oficial, será rechazada conforme a lo establecido en el pliego de condiciones.</t>
  </si>
  <si>
    <t>Todos los ítems deben ofertarse; no se aceptan celdas vacías ni valores en cero. Los valores se expresan en pesos colombianos, sin decimales (aproximados al peso).</t>
  </si>
  <si>
    <t>El valor unitario mensual incluye suministro, instalación, configuración, parametrización, licenciamiento, mantenimiento, soporte, repuestos, conectividad, traslados, retiro y restitución, y las demás obligaciones técnicas de la FECT, y permanece constante durante toda la ejecución (2026 y 2027).</t>
  </si>
  <si>
    <t>Si el valor de la oferta parece artificialmente bajo, la Entidad solicitará las explicaciones del caso, conforme al artículo 2.2.1.1.2.2.4 del Decreto 1082 de 2015.</t>
  </si>
  <si>
    <t>Los errores aritméticos se corregirán con base en los valores unitarios ofertados, conforme a lo establecido en el pliego de condiciones.</t>
  </si>
  <si>
    <t>D. SERVICIOS DE VIGILANCIA HUMANA, CANINOS, CCTV Y SUPERVISIÓN – NO COTIZABLES (tarifas reguladas)</t>
  </si>
  <si>
    <t>Nº</t>
  </si>
  <si>
    <t>SEDE</t>
  </si>
  <si>
    <t>COMPONENTE / HORARIO</t>
  </si>
  <si>
    <t>CÓDIGO TARIFA</t>
  </si>
  <si>
    <t>CANT.</t>
  </si>
  <si>
    <t>TARIFA MENSUAL 2026 SIN IVA</t>
  </si>
  <si>
    <t>TARIFA MENSUAL 2027 SIN IVA</t>
  </si>
  <si>
    <t>TOTAL MES 2026 SIN IVA</t>
  </si>
  <si>
    <t>TOTAL MES 2027 SIN IVA</t>
  </si>
  <si>
    <t>TOTAL CONTRATO SIN IVA</t>
  </si>
  <si>
    <t>Chapinero / Paloquemao</t>
  </si>
  <si>
    <t>Vigilancia humana con arma – 24 horas domingo a domingo incl. festivos</t>
  </si>
  <si>
    <t>24H CON ARMA 7D</t>
  </si>
  <si>
    <t>Chapinero</t>
  </si>
  <si>
    <t>Operador de medios tecnológicos CCTV – 24 horas domingo a domingo incl. festivos</t>
  </si>
  <si>
    <t>24H SIN ARMA 7D</t>
  </si>
  <si>
    <t>Vigilancia humana sin arma – 12 horas diurnas lunes a viernes sin festivos</t>
  </si>
  <si>
    <t>12H SIN ARMA L-V</t>
  </si>
  <si>
    <t>Vigilancia humana con canino – 12 horas diurnas lunes a viernes sin festivos</t>
  </si>
  <si>
    <t>12H CANINO L-V</t>
  </si>
  <si>
    <t>Bogotá – sedes MJD</t>
  </si>
  <si>
    <t>Supervisor – 12 horas diurnas lunes a viernes sin festivos</t>
  </si>
  <si>
    <t>SUPERVISOR 12H L-V</t>
  </si>
  <si>
    <t>Centro</t>
  </si>
  <si>
    <t>SUBTOTAL SERVICIOS NO COTIZABLES</t>
  </si>
  <si>
    <t>E. MEDIOS TECNOLÓGICOS – ÚNICO COMPONENTE COTIZABLE (valor unitario mensual sin IVA, constante en 2026 y 2027)</t>
  </si>
  <si>
    <t>E.1 ELEMENTOS CON VALOR ÚNICO PARA LAS DOS SEDES (se cotizan una sola vez)</t>
  </si>
  <si>
    <t>COMPONENTE</t>
  </si>
  <si>
    <t>DESCRIPCIÓN / ESPECIFICACIÓN</t>
  </si>
  <si>
    <t>UNIDAD</t>
  </si>
  <si>
    <t>CANT. TOTAL</t>
  </si>
  <si>
    <t>PRECIO TECHO UNITARIO MENSUAL SIN IVA</t>
  </si>
  <si>
    <t>VALOR UNITARIO MENSUAL OFERTADO SIN IVA</t>
  </si>
  <si>
    <t>SE APLICA EN</t>
  </si>
  <si>
    <t>ESTADO</t>
  </si>
  <si>
    <t>U1</t>
  </si>
  <si>
    <t>Comunicaciones</t>
  </si>
  <si>
    <t>Radios profesionales bidireccionales con auriculares y planes; mínimo 16 canales, batería ≥12 h, IP54 o superior, accesorios completos.</t>
  </si>
  <si>
    <t>Unidad</t>
  </si>
  <si>
    <t>Chapinero ítem 10 (11 und.) y Centro ítem 5 (10 und.)</t>
  </si>
  <si>
    <t>U2</t>
  </si>
  <si>
    <t>Apoyo</t>
  </si>
  <si>
    <t>Linternas LED recargables tipo vigilancia.</t>
  </si>
  <si>
    <t>Chapinero ítem 12 (9 und.) y Centro ítem 7 (8 und.)</t>
  </si>
  <si>
    <t>U3</t>
  </si>
  <si>
    <t>Detección / control de acceso</t>
  </si>
  <si>
    <t>Arco detector de metales para control de acceso de personas, incluido suministro, instalación, configuración y puesta en funcionamiento.</t>
  </si>
  <si>
    <t>Chapinero ítem 15 (1 und.) y Centro ítem 12 (1 und.)</t>
  </si>
  <si>
    <t>E.2 SEDE CHAPINERO Y PALOQUEMAO</t>
  </si>
  <si>
    <t>TOTAL MENSUAL SIN IVA</t>
  </si>
  <si>
    <t>CCTV</t>
  </si>
  <si>
    <t>Sistema CCTV: siete (7) DVR/XVR, 16 canales; video bit rate 32 Kbps–10 Mbps; reproducción 3MP/1080p; capacidad hasta 6 TB por disco; incluye grabación, respaldo, cableado, switch, servidor de video, patch panel y discos requeridos para las condiciones de almacenamiento de la Entidad.</t>
  </si>
  <si>
    <t>Global</t>
  </si>
  <si>
    <t>Monitores LED/OLED/QLED 42” Full HD para centro de monitoreo CCTV.</t>
  </si>
  <si>
    <t>Domos interiores PTZ, zoom óptico 4X, zoom digital 10X, infrarrojo, 2.8 mm, 3 MP. Incluye ubicación requerida en Archivo Central – Paloquemao.</t>
  </si>
  <si>
    <t>Domo exterior infrarrojo PTZ 30X, 2–3 MP a 4K. Incluye unidades requeridas en Archivo Central – Paloquemao.</t>
  </si>
  <si>
    <t>Cámara fija tipo domo, IP interna, infrarrojo, Full HD 1080P, lente varifocal.</t>
  </si>
  <si>
    <t>Detección</t>
  </si>
  <si>
    <t>Detectores de metal de mano tipo Garrett o similar. Incluye las ubicaciones definidas por la FECT.</t>
  </si>
  <si>
    <t>Control de acceso</t>
  </si>
  <si>
    <t>Biométricos de reconocimiento facial 3D, anti-spoofing, TCP/IP y USB, pantalla a color, mínimo 300 usuarios/rostros, suministro de accesorios, instalación, software, configuración, parametrización, enrolamiento, capacitación y mantenimiento.</t>
  </si>
  <si>
    <t>Área 1 – suministro e instalación de electroimanes, relés, cantonera o similares en puertas de vidrio existentes y botón de salida preferiblemente sin contacto.</t>
  </si>
  <si>
    <t>Área 2 – suministro e instalación del sistema, equipos, accesorios, software y cerramiento con vidrio templado; electroimanes, relés/cantoneras y botón de salida.</t>
  </si>
  <si>
    <t>Radios profesionales bidireccionales con auriculares y planes; mínimo 16 canales, batería ≥12 h, IP54 o superior, accesorios completos. (Valor tomado de la sección E.1)</t>
  </si>
  <si>
    <t>Sistema de registro de visitantes: 2 PC/portátiles licenciados, software, 2 impresoras térmicas/láser, 2 lectoras de código de barras, reconocimiento biométrico y fotografía, acceso multiusuario y capacitación.</t>
  </si>
  <si>
    <t>Linternas LED recargables tipo vigilancia. (Valor tomado de la sección E.1)</t>
  </si>
  <si>
    <t>Pasillo motorizado de alas ocultables/batientes: suministro de equipos, software, instalación, configuración, parametrización, tarjetas y otros; dos vías de acceso ingreso/salida.</t>
  </si>
  <si>
    <t>Infraestructura</t>
  </si>
  <si>
    <t>Ductería PVC, mano de obra, materiales, cableado, accesorios y puntos QR/NFC: 1 por piso, total 11 puntos en Chapinero.</t>
  </si>
  <si>
    <t>Arco detector de metales para control de acceso de personas, incluido suministro, instalación, configuración y puesta en funcionamiento. (Valor tomado de la sección E.1)</t>
  </si>
  <si>
    <t>TOTAL SEDE CHAPINERO Y PALOQUEMAO</t>
  </si>
  <si>
    <t>E.3 SEDE CENTRO – CARRERA 9 No. 12C-10</t>
  </si>
  <si>
    <t>Sistema CCTV compuesto por tres (3) NVR: mínimo 32 canales IP, ancho de banda entrada ≥256 Mbps, H.265+/H.265/H.264+/H.264, hasta 12 MP, HDMI/VGA, reproducción ≥16 canales, ONVIF, grabación continua/eventos, mínimo 4 discos SATA y almacenamiento total ≥40 TB, gestión remota y operación 24/7.</t>
  </si>
  <si>
    <t>Cámaras CCTV tipo IP, cámara fija tipo domo interna, infrarrojo, Full HD 1080P, lente varifocal con software de video, descarga y edición.</t>
  </si>
  <si>
    <t>Domo exterior infrarrojo PTZ 30X, 2–3 MP a 4K.</t>
  </si>
  <si>
    <t>Pasillo motorizado de alas ocultables/batientes: suministro de equipos, software, instalación, configuración, parametrización, tarjetas y otros; una vía de acceso por cada unidad.</t>
  </si>
  <si>
    <t>Ductería PVC, mano de obra, materiales, cableado, accesorios y puntos QR/NFC: 1 por piso, total 9 puntos.</t>
  </si>
  <si>
    <t>Detectores de metal de mano tipo Garrett o similar.</t>
  </si>
  <si>
    <t>Máquina de rayos X para inspección de maletas y objetos, incluido suministro del equipo, software, instalación y configuración.</t>
  </si>
  <si>
    <t>TOTAL SEDE CENTRO</t>
  </si>
  <si>
    <t>TOTAL MEDIOS TECNOLÓGICOS (dos sedes)</t>
  </si>
  <si>
    <t>F. RESUMEN DE LA OFERTA ECONÓMICA</t>
  </si>
  <si>
    <t>CONCEPTO</t>
  </si>
  <si>
    <t>VIGENCIA 2026</t>
  </si>
  <si>
    <t>VIGENCIA 2027</t>
  </si>
  <si>
    <t>TOTAL</t>
  </si>
  <si>
    <t>(1) Servicios de vigilancia no cotizables – valor mensual</t>
  </si>
  <si>
    <t>(2) Medios tecnológicos ofertados – valor mensual sin IVA</t>
  </si>
  <si>
    <t>(3) Subtotal mensual del servicio = (1) + (2)</t>
  </si>
  <si>
    <t>(4) AIU 10 % – solo base gravable del IVA (no se suma)</t>
  </si>
  <si>
    <t>(5) IVA 19 % sobre el AIU</t>
  </si>
  <si>
    <t>(6) Total mensual = (3) + (5)</t>
  </si>
  <si>
    <t>(7) Meses de la vigencia (2026: 21 al 31 de diciembre; 2027: enero a junio)</t>
  </si>
  <si>
    <t>(8) Valor de la vigencia = (6) × (7)</t>
  </si>
  <si>
    <t>VALOR TOTAL DE LA OFERTA (IVA incluido)</t>
  </si>
  <si>
    <t>Valor total del presupuesto oficial</t>
  </si>
  <si>
    <t>Diferencia (oferta – presupuesto oficial)</t>
  </si>
  <si>
    <t>G. LISTA DE VERIFICACIÓN ANTES DE PRESENTAR LA OFERTA</t>
  </si>
  <si>
    <t>VERIFICACIÓN</t>
  </si>
  <si>
    <t>RESULTADO</t>
  </si>
  <si>
    <t>1. Datos del proponente completos (sección A)</t>
  </si>
  <si>
    <t>2. Valores unitarios de medios tecnológicos diligenciados (secciones E.1 a E.3)</t>
  </si>
  <si>
    <t>3. Ningún valor unitario supera el precio techo</t>
  </si>
  <si>
    <t>4. Valores mayores que cero, numéricos y sin decimales</t>
  </si>
  <si>
    <t>5. Valor total de la oferta igual o inferior al presupuesto oficial</t>
  </si>
  <si>
    <t>ESTADO GENERAL DE LA OFERTA</t>
  </si>
  <si>
    <t>Firma del representante legal: ______________________________     Nombre: ______________________________     C.C.: ____________________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</si>
</sst>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 &quot;#,##0"/>
    <numFmt numFmtId="165" formatCode="&quot;$ &quot;#,##0.00"/>
    <numFmt numFmtId="166" formatCode="0.0000"/>
    <numFmt numFmtId="167" formatCode="0.0%"/>
  </numFmts>
  <fonts count="7" x14ac:knownFonts="1">
    <font>
      <sz val="11"/>
      <color theme="1"/>
      <name val="Calibri"/>
      <family val="2"/>
      <scheme val="minor"/>
    </font>
    <font>
      <b/>
      <sz val="11"/>
      <name val="Arial Narrow"/>
      <family val="2"/>
    </font>
    <font>
      <b/>
      <sz val="13"/>
      <name val="Arial Narrow"/>
      <family val="2"/>
    </font>
    <font>
      <b/>
      <sz val="11"/>
      <color rgb="FFFFFFFF"/>
      <name val="Arial Narrow"/>
      <family val="2"/>
    </font>
    <font>
      <sz val="11"/>
      <name val="Arial Narrow"/>
      <family val="2"/>
    </font>
    <font>
      <b/>
      <sz val="12"/>
      <name val="Arial Narrow"/>
      <family val="2"/>
    </font>
    <font>
      <sz val="11"/>
      <color rgb="FF1F4E79"/>
      <name val="Consolas"/>
      <family val="3"/>
    </font>
  </fonts>
  <fills count="8">
    <fill>
      <patternFill patternType="none"/>
    </fill>
    <fill>
      <patternFill patternType="gray125"/>
    </fill>
    <fill>
      <patternFill patternType="solid">
        <fgColor rgb="FFE7E6E6"/>
      </patternFill>
    </fill>
    <fill>
      <patternFill patternType="solid">
        <fgColor rgb="FF1F4E79"/>
      </patternFill>
    </fill>
    <fill>
      <patternFill patternType="solid">
        <fgColor rgb="FFD9EAF7"/>
      </patternFill>
    </fill>
    <fill>
      <patternFill patternType="solid">
        <fgColor rgb="FFD9E2F3"/>
      </patternFill>
    </fill>
    <fill>
      <patternFill patternType="solid">
        <fgColor rgb="FFF2F2F2"/>
      </patternFill>
    </fill>
    <fill>
      <patternFill patternType="solid">
        <fgColor rgb="FFFFF2CC"/>
      </patternFill>
    </fill>
  </fills>
  <borders count="3">
    <border>
      <left/>
      <right/>
      <top/>
      <bottom/>
      <diagonal/>
    </border>
    <border>
      <left style="thin">
        <color rgb="FF808080"/>
      </left>
      <right style="thin">
        <color rgb="FF808080"/>
      </right>
      <top style="thin">
        <color rgb="FF808080"/>
      </top>
      <bottom style="thin">
        <color rgb="FF808080"/>
      </bottom>
      <diagonal/>
    </border>
    <border>
      <left/>
      <right style="thin">
        <color rgb="FF808080"/>
      </right>
      <top style="thin">
        <color rgb="FF808080"/>
      </top>
      <bottom style="thin">
        <color rgb="FF808080"/>
      </bottom>
      <diagonal/>
    </border>
  </borders>
  <cellStyleXfs count="1">
    <xf numFmtId="0" fontId="0" fillId="0" borderId="0"/>
  </cellStyleXfs>
  <cellXfs count="43">
    <xf numFmtId="0" fontId="0" fillId="0" borderId="0" xfId="0"/>
    <xf numFmtId="0" fontId="1" fillId="0" borderId="1" xfId="0" applyFont="1" applyBorder="1" applyAlignment="1">
      <alignment horizontal="center" vertical="center" wrapText="1"/>
    </xf>
    <xf numFmtId="0" fontId="4" fillId="4" borderId="1" xfId="0" applyFont="1" applyFill="1" applyBorder="1" applyAlignment="1" applyProtection="1">
      <alignment vertical="center" wrapText="1"/>
      <protection locked="0"/>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0" fontId="4" fillId="0" borderId="1" xfId="0" applyFont="1" applyBorder="1" applyAlignment="1">
      <alignment horizontal="justify" vertical="center" wrapText="1"/>
    </xf>
    <xf numFmtId="0" fontId="1" fillId="5" borderId="1" xfId="0" applyFont="1" applyFill="1" applyBorder="1" applyAlignment="1">
      <alignment horizontal="center" vertical="center" wrapText="1"/>
    </xf>
    <xf numFmtId="0" fontId="4" fillId="6" borderId="1" xfId="0" applyFont="1" applyFill="1" applyBorder="1" applyAlignment="1">
      <alignment horizontal="center" vertical="center" wrapText="1"/>
    </xf>
    <xf numFmtId="0" fontId="4" fillId="6" borderId="1" xfId="0" applyFont="1" applyFill="1" applyBorder="1" applyAlignment="1">
      <alignment vertical="center" wrapText="1"/>
    </xf>
    <xf numFmtId="164" fontId="4" fillId="6" borderId="1" xfId="0" applyNumberFormat="1" applyFont="1" applyFill="1" applyBorder="1" applyAlignment="1">
      <alignment vertical="center" wrapText="1"/>
    </xf>
    <xf numFmtId="0" fontId="1" fillId="2" borderId="1" xfId="0" applyFont="1" applyFill="1" applyBorder="1" applyAlignment="1">
      <alignment horizontal="center" vertical="center" wrapText="1"/>
    </xf>
    <xf numFmtId="0" fontId="4" fillId="2" borderId="1" xfId="0" applyFont="1" applyFill="1" applyBorder="1" applyAlignment="1">
      <alignment vertical="center" wrapText="1"/>
    </xf>
    <xf numFmtId="164" fontId="1" fillId="2" borderId="1" xfId="0" applyNumberFormat="1" applyFont="1" applyFill="1" applyBorder="1" applyAlignment="1">
      <alignment vertical="center" wrapText="1"/>
    </xf>
    <xf numFmtId="0" fontId="4" fillId="0" borderId="1" xfId="0" applyFont="1" applyBorder="1" applyAlignment="1">
      <alignment vertical="center" wrapText="1"/>
    </xf>
    <xf numFmtId="164" fontId="4" fillId="7" borderId="1" xfId="0" applyNumberFormat="1" applyFont="1" applyFill="1" applyBorder="1" applyAlignment="1">
      <alignment vertical="center" wrapText="1"/>
    </xf>
    <xf numFmtId="164" fontId="4" fillId="4" borderId="1" xfId="0" applyNumberFormat="1" applyFont="1" applyFill="1" applyBorder="1" applyAlignment="1" applyProtection="1">
      <alignment vertical="center" wrapText="1"/>
      <protection locked="0"/>
    </xf>
    <xf numFmtId="164" fontId="4" fillId="0" borderId="1" xfId="0" applyNumberFormat="1" applyFont="1" applyBorder="1" applyAlignment="1">
      <alignment vertical="center" wrapText="1"/>
    </xf>
    <xf numFmtId="165" fontId="4" fillId="0" borderId="1" xfId="0" applyNumberFormat="1" applyFont="1" applyBorder="1" applyAlignment="1">
      <alignment vertical="center" wrapText="1"/>
    </xf>
    <xf numFmtId="165" fontId="1" fillId="2" borderId="1" xfId="0" applyNumberFormat="1" applyFont="1" applyFill="1" applyBorder="1" applyAlignment="1">
      <alignment vertical="center" wrapText="1"/>
    </xf>
    <xf numFmtId="166" fontId="4" fillId="0" borderId="1" xfId="0" applyNumberFormat="1" applyFont="1" applyBorder="1" applyAlignment="1">
      <alignment vertical="center" wrapText="1"/>
    </xf>
    <xf numFmtId="164" fontId="5" fillId="7" borderId="1" xfId="0" applyNumberFormat="1" applyFont="1" applyFill="1" applyBorder="1" applyAlignment="1">
      <alignment vertical="center" wrapText="1"/>
    </xf>
    <xf numFmtId="0" fontId="4" fillId="0" borderId="1" xfId="0" applyFont="1" applyBorder="1" applyAlignment="1">
      <alignment horizontal="right" vertical="center" wrapText="1"/>
    </xf>
    <xf numFmtId="0" fontId="0" fillId="0" borderId="1" xfId="0" applyBorder="1"/>
    <xf numFmtId="0" fontId="1" fillId="5" borderId="1" xfId="0" applyFont="1" applyFill="1" applyBorder="1" applyAlignment="1">
      <alignment horizontal="center" vertical="center" wrapText="1"/>
    </xf>
    <xf numFmtId="0" fontId="4" fillId="0" borderId="1" xfId="0" applyFont="1" applyBorder="1" applyAlignment="1">
      <alignment vertical="center" wrapText="1"/>
    </xf>
    <xf numFmtId="0" fontId="1" fillId="0" borderId="1" xfId="0" applyFont="1" applyBorder="1" applyAlignment="1">
      <alignment horizontal="center" vertical="center" wrapText="1"/>
    </xf>
    <xf numFmtId="0" fontId="3" fillId="3"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horizontal="justify" vertical="center" wrapText="1"/>
    </xf>
    <xf numFmtId="0" fontId="1" fillId="2" borderId="1" xfId="0" applyFont="1" applyFill="1" applyBorder="1" applyAlignment="1">
      <alignment horizontal="right" vertical="center" wrapText="1"/>
    </xf>
    <xf numFmtId="0" fontId="4" fillId="4" borderId="1" xfId="0" applyFont="1" applyFill="1" applyBorder="1" applyAlignment="1" applyProtection="1">
      <alignment vertical="center" wrapText="1"/>
      <protection locked="0"/>
    </xf>
    <xf numFmtId="0" fontId="1" fillId="0" borderId="1" xfId="0" applyFont="1" applyBorder="1" applyAlignment="1">
      <alignment vertical="center" wrapText="1"/>
    </xf>
    <xf numFmtId="14" fontId="4" fillId="4" borderId="1" xfId="0" applyNumberFormat="1" applyFont="1" applyFill="1" applyBorder="1" applyAlignment="1" applyProtection="1">
      <alignment vertical="center" wrapText="1"/>
      <protection locked="0"/>
    </xf>
    <xf numFmtId="0" fontId="2" fillId="2" borderId="1" xfId="0" applyFont="1" applyFill="1" applyBorder="1" applyAlignment="1">
      <alignment horizontal="center" vertical="center" wrapText="1"/>
    </xf>
    <xf numFmtId="167" fontId="5" fillId="0" borderId="1" xfId="0" applyNumberFormat="1" applyFont="1" applyBorder="1" applyAlignment="1">
      <alignment horizontal="center" vertical="center" wrapText="1"/>
    </xf>
    <xf numFmtId="0" fontId="5" fillId="0" borderId="1" xfId="0" applyFont="1" applyBorder="1" applyAlignment="1">
      <alignment horizontal="center" vertical="center" wrapText="1"/>
    </xf>
    <xf numFmtId="0" fontId="1" fillId="2" borderId="1" xfId="0" applyFont="1" applyFill="1" applyBorder="1" applyAlignment="1">
      <alignment vertical="center" wrapText="1"/>
    </xf>
    <xf numFmtId="0" fontId="6" fillId="0" borderId="1" xfId="0" applyFont="1" applyBorder="1" applyAlignment="1">
      <alignment vertical="center" wrapText="1"/>
    </xf>
    <xf numFmtId="0" fontId="0" fillId="0" borderId="2" xfId="0" applyBorder="1"/>
    <xf numFmtId="0" fontId="5" fillId="7" borderId="1" xfId="0" applyFont="1" applyFill="1" applyBorder="1" applyAlignment="1">
      <alignment horizontal="right" vertical="center" wrapText="1"/>
    </xf>
    <xf numFmtId="164" fontId="4" fillId="0" borderId="1" xfId="0" applyNumberFormat="1" applyFont="1" applyBorder="1" applyAlignment="1">
      <alignment horizontal="center" vertical="center" wrapText="1"/>
    </xf>
    <xf numFmtId="0" fontId="5" fillId="2" borderId="1" xfId="0" applyFont="1" applyFill="1" applyBorder="1" applyAlignment="1">
      <alignment horizontal="right" vertical="center" wrapText="1"/>
    </xf>
    <xf numFmtId="0" fontId="1" fillId="0" borderId="1" xfId="0" applyFont="1" applyBorder="1" applyAlignment="1">
      <alignment horizontal="right" vertical="center" wrapText="1"/>
    </xf>
  </cellXfs>
  <cellStyles count="1">
    <cellStyle name="Normal" xfId="0" builtinId="0"/>
  </cellStyles>
  <dxfs count="56">
    <dxf>
      <font>
        <b/>
        <color rgb="FF9C5700"/>
        <name val="Arial Narrow"/>
      </font>
      <fill>
        <patternFill patternType="solid">
          <fgColor rgb="FFFFEB9C"/>
        </patternFill>
      </fill>
    </dxf>
    <dxf>
      <font>
        <b/>
        <color rgb="FF006100"/>
        <name val="Arial Narrow"/>
      </font>
      <fill>
        <patternFill patternType="solid">
          <fgColor rgb="FFC6EFCE"/>
        </patternFill>
      </fill>
    </dxf>
    <dxf>
      <font>
        <b/>
        <color rgb="FF595959"/>
        <name val="Arial Narrow"/>
      </font>
      <fill>
        <patternFill patternType="solid">
          <fgColor rgb="FFEDEDED"/>
        </patternFill>
      </fill>
    </dxf>
    <dxf>
      <font>
        <b/>
        <color rgb="FF006100"/>
        <name val="Arial Narrow"/>
      </font>
      <fill>
        <patternFill patternType="solid">
          <fgColor rgb="FFC6EFCE"/>
        </patternFill>
      </fill>
    </dxf>
    <dxf>
      <font>
        <b/>
        <color rgb="FF9C0006"/>
        <name val="Arial Narrow"/>
      </font>
      <fill>
        <patternFill patternType="solid">
          <fgColor rgb="FFFFC7CE"/>
        </patternFill>
      </fill>
    </dxf>
    <dxf>
      <font>
        <b/>
        <color rgb="FF9C0006"/>
        <name val="Arial Narrow"/>
      </font>
      <fill>
        <patternFill patternType="solid">
          <fgColor rgb="FFFFC7CE"/>
        </patternFill>
      </fill>
    </dxf>
    <dxf>
      <font>
        <b/>
        <color rgb="FF9C5700"/>
        <name val="Arial Narrow"/>
      </font>
      <fill>
        <patternFill patternType="solid">
          <fgColor rgb="FFFFEB9C"/>
        </patternFill>
      </fill>
    </dxf>
    <dxf>
      <font>
        <b/>
        <color rgb="FF006100"/>
        <name val="Arial Narrow"/>
      </font>
      <fill>
        <patternFill patternType="solid">
          <fgColor rgb="FFC6EFCE"/>
        </patternFill>
      </fill>
    </dxf>
    <dxf>
      <font>
        <b/>
        <color rgb="FF595959"/>
        <name val="Arial Narrow"/>
      </font>
      <fill>
        <patternFill patternType="solid">
          <fgColor rgb="FFEDEDED"/>
        </patternFill>
      </fill>
    </dxf>
    <dxf>
      <font>
        <b/>
        <color rgb="FF9C0006"/>
        <name val="Arial Narrow"/>
      </font>
      <fill>
        <patternFill patternType="solid">
          <fgColor rgb="FFFFC7CE"/>
        </patternFill>
      </fill>
    </dxf>
    <dxf>
      <font>
        <b/>
        <color rgb="FF9C0006"/>
        <name val="Arial Narrow"/>
      </font>
      <fill>
        <patternFill patternType="solid">
          <fgColor rgb="FFFFC7CE"/>
        </patternFill>
      </fill>
    </dxf>
    <dxf>
      <font>
        <b/>
        <color rgb="FF595959"/>
        <name val="Arial Narrow"/>
      </font>
      <fill>
        <patternFill patternType="solid">
          <fgColor rgb="FFEDEDED"/>
        </patternFill>
      </fill>
    </dxf>
    <dxf>
      <font>
        <b/>
        <color rgb="FF006100"/>
        <name val="Arial Narrow"/>
      </font>
      <fill>
        <patternFill patternType="solid">
          <fgColor rgb="FFC6EFCE"/>
        </patternFill>
      </fill>
    </dxf>
    <dxf>
      <font>
        <b/>
        <color rgb="FF006100"/>
        <name val="Arial Narrow"/>
      </font>
      <fill>
        <patternFill patternType="solid">
          <fgColor rgb="FFC6EFCE"/>
        </patternFill>
      </fill>
    </dxf>
    <dxf>
      <font>
        <b/>
        <color rgb="FF9C0006"/>
        <name val="Arial Narrow"/>
      </font>
      <fill>
        <patternFill patternType="solid">
          <fgColor rgb="FFFFC7CE"/>
        </patternFill>
      </fill>
    </dxf>
    <dxf>
      <font>
        <b/>
        <color rgb="FF595959"/>
        <name val="Arial Narrow"/>
      </font>
      <fill>
        <patternFill patternType="solid">
          <fgColor rgb="FFEDEDED"/>
        </patternFill>
      </fill>
    </dxf>
    <dxf>
      <font>
        <b/>
        <color rgb="FF006100"/>
        <name val="Arial Narrow"/>
      </font>
      <fill>
        <patternFill patternType="solid">
          <fgColor rgb="FFC6EFCE"/>
        </patternFill>
      </fill>
    </dxf>
    <dxf>
      <font>
        <b/>
        <color rgb="FF9C0006"/>
        <name val="Arial Narrow"/>
      </font>
      <fill>
        <patternFill patternType="solid">
          <fgColor rgb="FFFFC7CE"/>
        </patternFill>
      </fill>
    </dxf>
    <dxf>
      <font>
        <b/>
        <color rgb="FF595959"/>
        <name val="Arial Narrow"/>
      </font>
      <fill>
        <patternFill patternType="solid">
          <fgColor rgb="FFEDEDED"/>
        </patternFill>
      </fill>
    </dxf>
    <dxf>
      <font>
        <b/>
        <color rgb="FF9C5700"/>
        <name val="Arial Narrow"/>
      </font>
      <fill>
        <patternFill patternType="solid">
          <fgColor rgb="FFFFEB9C"/>
        </patternFill>
      </fill>
    </dxf>
    <dxf>
      <font>
        <b/>
        <color rgb="FF9C0006"/>
        <name val="Arial Narrow"/>
      </font>
      <fill>
        <patternFill patternType="solid">
          <fgColor rgb="FFFFC7CE"/>
        </patternFill>
      </fill>
    </dxf>
    <dxf>
      <font>
        <b/>
        <color rgb="FF595959"/>
        <name val="Arial Narrow"/>
      </font>
      <fill>
        <patternFill patternType="solid">
          <fgColor rgb="FFEDEDED"/>
        </patternFill>
      </fill>
    </dxf>
    <dxf>
      <font>
        <b/>
        <color rgb="FF006100"/>
        <name val="Arial Narrow"/>
      </font>
      <fill>
        <patternFill patternType="solid">
          <fgColor rgb="FFC6EFCE"/>
        </patternFill>
      </fill>
    </dxf>
    <dxf>
      <font>
        <b/>
        <color rgb="FF595959"/>
        <name val="Arial Narrow"/>
      </font>
      <fill>
        <patternFill patternType="solid">
          <fgColor rgb="FFEDEDED"/>
        </patternFill>
      </fill>
    </dxf>
    <dxf>
      <font>
        <b/>
        <color rgb="FF9C0006"/>
        <name val="Arial Narrow"/>
      </font>
      <fill>
        <patternFill patternType="solid">
          <fgColor rgb="FFFFC7CE"/>
        </patternFill>
      </fill>
    </dxf>
    <dxf>
      <font>
        <b/>
        <color rgb="FF006100"/>
        <name val="Arial Narrow"/>
      </font>
      <fill>
        <patternFill patternType="solid">
          <fgColor rgb="FFC6EFCE"/>
        </patternFill>
      </fill>
    </dxf>
    <dxf>
      <font>
        <b/>
        <color rgb="FF006100"/>
        <name val="Arial Narrow"/>
      </font>
      <fill>
        <patternFill patternType="solid">
          <fgColor rgb="FFC6EFCE"/>
        </patternFill>
      </fill>
    </dxf>
    <dxf>
      <font>
        <b/>
        <color rgb="FF9C0006"/>
        <name val="Arial Narrow"/>
      </font>
      <fill>
        <patternFill patternType="solid">
          <fgColor rgb="FFFFC7CE"/>
        </patternFill>
      </fill>
    </dxf>
    <dxf>
      <font>
        <b/>
        <color rgb="FF595959"/>
        <name val="Arial Narrow"/>
      </font>
      <fill>
        <patternFill patternType="solid">
          <fgColor rgb="FFEDEDED"/>
        </patternFill>
      </fill>
    </dxf>
    <dxf>
      <font>
        <b/>
        <color rgb="FF006100"/>
        <name val="Arial Narrow"/>
      </font>
      <fill>
        <patternFill patternType="solid">
          <fgColor rgb="FFC6EFCE"/>
        </patternFill>
      </fill>
    </dxf>
    <dxf>
      <font>
        <b/>
        <color rgb="FF595959"/>
        <name val="Arial Narrow"/>
      </font>
      <fill>
        <patternFill patternType="solid">
          <fgColor rgb="FFEDEDED"/>
        </patternFill>
      </fill>
    </dxf>
    <dxf>
      <font>
        <b/>
        <color rgb="FF9C0006"/>
        <name val="Arial Narrow"/>
      </font>
      <fill>
        <patternFill patternType="solid">
          <fgColor rgb="FFFFC7CE"/>
        </patternFill>
      </fill>
    </dxf>
    <dxf>
      <font>
        <b/>
        <color rgb="FF006100"/>
        <name val="Arial Narrow"/>
      </font>
      <fill>
        <patternFill patternType="solid">
          <fgColor rgb="FFC6EFCE"/>
        </patternFill>
      </fill>
    </dxf>
    <dxf>
      <font>
        <b/>
        <color rgb="FF9C0006"/>
        <name val="Arial Narrow"/>
      </font>
      <fill>
        <patternFill patternType="solid">
          <fgColor rgb="FFFFC7CE"/>
        </patternFill>
      </fill>
    </dxf>
    <dxf>
      <font>
        <b/>
        <color rgb="FF595959"/>
        <name val="Arial Narrow"/>
      </font>
      <fill>
        <patternFill patternType="solid">
          <fgColor rgb="FFEDEDED"/>
        </patternFill>
      </fill>
    </dxf>
    <dxf>
      <font>
        <b/>
        <color rgb="FF9C0006"/>
        <name val="Arial Narrow"/>
      </font>
      <fill>
        <patternFill patternType="solid">
          <fgColor rgb="FFFFC7CE"/>
        </patternFill>
      </fill>
    </dxf>
    <dxf>
      <font>
        <b/>
        <color rgb="FF9C0006"/>
        <name val="Arial Narrow"/>
      </font>
      <fill>
        <patternFill patternType="solid">
          <fgColor rgb="FFFFC7CE"/>
        </patternFill>
      </fill>
    </dxf>
    <dxf>
      <fill>
        <patternFill patternType="solid">
          <fgColor rgb="FFC6EFCE"/>
        </patternFill>
      </fill>
    </dxf>
    <dxf>
      <fill>
        <patternFill patternType="solid">
          <fgColor rgb="FFC6EFCE"/>
        </patternFill>
      </fill>
    </dxf>
    <dxf>
      <font>
        <b/>
        <color rgb="FF9C0006"/>
        <name val="Arial Narrow"/>
      </font>
      <fill>
        <patternFill patternType="solid">
          <fgColor rgb="FFFFC7CE"/>
        </patternFill>
      </fill>
    </dxf>
    <dxf>
      <font>
        <b/>
        <color rgb="FF9C0006"/>
        <name val="Arial Narrow"/>
      </font>
      <fill>
        <patternFill patternType="solid">
          <fgColor rgb="FFFFC7CE"/>
        </patternFill>
      </fill>
    </dxf>
    <dxf>
      <fill>
        <patternFill patternType="solid">
          <fgColor rgb="FFC6EFCE"/>
        </patternFill>
      </fill>
    </dxf>
    <dxf>
      <fill>
        <patternFill patternType="solid">
          <fgColor rgb="FFC6EFCE"/>
        </patternFill>
      </fill>
    </dxf>
    <dxf>
      <font>
        <b/>
        <color rgb="FF9C0006"/>
        <name val="Arial Narrow"/>
      </font>
      <fill>
        <patternFill patternType="solid">
          <fgColor rgb="FFFFC7CE"/>
        </patternFill>
      </fill>
    </dxf>
    <dxf>
      <fill>
        <patternFill patternType="solid">
          <fgColor rgb="FFC6EFCE"/>
        </patternFill>
      </fill>
    </dxf>
    <dxf>
      <font>
        <b/>
        <color rgb="FF9C0006"/>
        <name val="Arial Narrow"/>
      </font>
      <fill>
        <patternFill patternType="solid">
          <fgColor rgb="FFFFC7CE"/>
        </patternFill>
      </fill>
    </dxf>
    <dxf>
      <fill>
        <patternFill patternType="solid">
          <fgColor rgb="FFC6EFCE"/>
        </patternFill>
      </fill>
    </dxf>
    <dxf>
      <font>
        <b/>
        <color rgb="FF9C0006"/>
        <name val="Arial Narrow"/>
      </font>
      <fill>
        <patternFill patternType="solid">
          <fgColor rgb="FFFFC7CE"/>
        </patternFill>
      </fill>
    </dxf>
    <dxf>
      <fill>
        <patternFill patternType="solid">
          <fgColor rgb="FFC6EFCE"/>
        </patternFill>
      </fill>
    </dxf>
    <dxf>
      <font>
        <b/>
        <color rgb="FF9C0006"/>
        <name val="Arial Narrow"/>
      </font>
      <fill>
        <patternFill patternType="solid">
          <fgColor rgb="FFFFC7CE"/>
        </patternFill>
      </fill>
    </dxf>
    <dxf>
      <fill>
        <patternFill patternType="solid">
          <fgColor rgb="FFC6EFCE"/>
        </patternFill>
      </fill>
    </dxf>
    <dxf>
      <font>
        <b/>
        <color rgb="FF9C5700"/>
        <name val="Arial Narrow"/>
      </font>
      <fill>
        <patternFill patternType="solid">
          <fgColor rgb="FFFFEB9C"/>
        </patternFill>
      </fill>
    </dxf>
    <dxf>
      <font>
        <b/>
        <color rgb="FF006100"/>
        <name val="Arial Narrow"/>
      </font>
      <fill>
        <patternFill patternType="solid">
          <fgColor rgb="FFC6EFCE"/>
        </patternFill>
      </fill>
    </dxf>
    <dxf>
      <font>
        <color rgb="FFC00000"/>
        <name val="Consolas"/>
      </font>
    </dxf>
    <dxf>
      <font>
        <b/>
        <color rgb="FF00B050"/>
        <name val="Consolas"/>
      </font>
    </dxf>
    <dxf>
      <fill>
        <patternFill patternType="solid">
          <fgColor rgb="FFC6EF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0</xdr:colOff>
      <xdr:row>1</xdr:row>
      <xdr:rowOff>0</xdr:rowOff>
    </xdr:from>
    <xdr:ext cx="942975" cy="781050"/>
    <xdr:pic>
      <xdr:nvPicPr>
        <xdr:cNvPr id="2" name="Image 1" descr="Picture">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cstate="print"/>
        <a:stretch>
          <a:fillRect/>
        </a:stretch>
      </xdr:blipFill>
      <xdr:spPr>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2:K112"/>
  <sheetViews>
    <sheetView showGridLines="0" tabSelected="1" topLeftCell="A37" zoomScale="90" workbookViewId="0">
      <selection activeCell="Q12" sqref="Q12"/>
    </sheetView>
  </sheetViews>
  <sheetFormatPr baseColWidth="10" defaultColWidth="8.88671875" defaultRowHeight="14.4" x14ac:dyDescent="0.3"/>
  <cols>
    <col min="1" max="1" width="2.44140625" customWidth="1"/>
    <col min="2" max="2" width="6" customWidth="1"/>
    <col min="3" max="3" width="17" customWidth="1"/>
    <col min="4" max="4" width="52" customWidth="1"/>
    <col min="5" max="5" width="11" customWidth="1"/>
    <col min="6" max="6" width="9" customWidth="1"/>
    <col min="7" max="7" width="17" customWidth="1"/>
    <col min="8" max="8" width="18" customWidth="1"/>
    <col min="9" max="9" width="17" customWidth="1"/>
    <col min="10" max="10" width="18" customWidth="1"/>
    <col min="11" max="11" width="16" customWidth="1"/>
  </cols>
  <sheetData>
    <row r="2" spans="2:11" ht="16.05" customHeight="1" x14ac:dyDescent="0.3">
      <c r="B2" s="22"/>
      <c r="C2" s="22"/>
      <c r="D2" s="25" t="s">
        <v>0</v>
      </c>
      <c r="E2" s="22"/>
      <c r="F2" s="22"/>
      <c r="G2" s="22"/>
      <c r="H2" s="22"/>
      <c r="I2" s="22"/>
      <c r="J2" s="22"/>
      <c r="K2" s="22"/>
    </row>
    <row r="3" spans="2:11" ht="16.05" customHeight="1" x14ac:dyDescent="0.3">
      <c r="B3" s="22"/>
      <c r="C3" s="22"/>
      <c r="D3" s="22"/>
      <c r="E3" s="22"/>
      <c r="F3" s="22"/>
      <c r="G3" s="22"/>
      <c r="H3" s="22"/>
      <c r="I3" s="22"/>
      <c r="J3" s="22"/>
      <c r="K3" s="22"/>
    </row>
    <row r="4" spans="2:11" ht="16.05" customHeight="1" x14ac:dyDescent="0.3">
      <c r="B4" s="22"/>
      <c r="C4" s="22"/>
      <c r="D4" s="22"/>
      <c r="E4" s="22"/>
      <c r="F4" s="22"/>
      <c r="G4" s="22"/>
      <c r="H4" s="22"/>
      <c r="I4" s="22"/>
      <c r="J4" s="22"/>
      <c r="K4" s="22"/>
    </row>
    <row r="5" spans="2:11" x14ac:dyDescent="0.3">
      <c r="B5" s="33" t="s">
        <v>1</v>
      </c>
      <c r="C5" s="22"/>
      <c r="D5" s="22"/>
      <c r="E5" s="22"/>
      <c r="F5" s="22"/>
      <c r="G5" s="22"/>
      <c r="H5" s="22"/>
      <c r="I5" s="22"/>
      <c r="J5" s="22"/>
      <c r="K5" s="22"/>
    </row>
    <row r="6" spans="2:11" ht="31.95" customHeight="1" x14ac:dyDescent="0.3">
      <c r="B6" s="25" t="s">
        <v>2</v>
      </c>
      <c r="C6" s="22"/>
      <c r="D6" s="22"/>
      <c r="E6" s="22"/>
      <c r="F6" s="22"/>
      <c r="G6" s="22"/>
      <c r="H6" s="22"/>
      <c r="I6" s="22"/>
      <c r="J6" s="22"/>
      <c r="K6" s="22"/>
    </row>
    <row r="8" spans="2:11" ht="19.95" customHeight="1" x14ac:dyDescent="0.3">
      <c r="B8" s="26" t="s">
        <v>3</v>
      </c>
      <c r="C8" s="22"/>
      <c r="D8" s="22"/>
      <c r="E8" s="22"/>
      <c r="F8" s="22"/>
      <c r="G8" s="22"/>
      <c r="H8" s="22"/>
      <c r="I8" s="22"/>
      <c r="J8" s="22"/>
      <c r="K8" s="22"/>
    </row>
    <row r="9" spans="2:11" ht="19.95" customHeight="1" x14ac:dyDescent="0.3">
      <c r="B9" s="31" t="s">
        <v>4</v>
      </c>
      <c r="C9" s="22"/>
      <c r="D9" s="2"/>
      <c r="E9" s="31" t="s">
        <v>5</v>
      </c>
      <c r="F9" s="22"/>
      <c r="G9" s="30"/>
      <c r="H9" s="22"/>
      <c r="I9" s="22"/>
      <c r="J9" s="22"/>
      <c r="K9" s="22"/>
    </row>
    <row r="10" spans="2:11" ht="19.95" customHeight="1" x14ac:dyDescent="0.3">
      <c r="B10" s="31" t="s">
        <v>6</v>
      </c>
      <c r="C10" s="22"/>
      <c r="D10" s="2"/>
      <c r="E10" s="31" t="s">
        <v>7</v>
      </c>
      <c r="F10" s="22"/>
      <c r="G10" s="30"/>
      <c r="H10" s="22"/>
      <c r="I10" s="22"/>
      <c r="J10" s="22"/>
      <c r="K10" s="22"/>
    </row>
    <row r="11" spans="2:11" ht="19.95" customHeight="1" x14ac:dyDescent="0.3">
      <c r="B11" s="31" t="s">
        <v>8</v>
      </c>
      <c r="C11" s="22"/>
      <c r="D11" s="2"/>
      <c r="E11" s="31" t="s">
        <v>9</v>
      </c>
      <c r="F11" s="22"/>
      <c r="G11" s="32"/>
      <c r="H11" s="22"/>
      <c r="I11" s="22"/>
      <c r="J11" s="22"/>
      <c r="K11" s="22"/>
    </row>
    <row r="13" spans="2:11" ht="19.95" customHeight="1" x14ac:dyDescent="0.3">
      <c r="B13" s="26" t="s">
        <v>10</v>
      </c>
      <c r="C13" s="22"/>
      <c r="D13" s="22"/>
      <c r="E13" s="22"/>
      <c r="F13" s="22"/>
      <c r="G13" s="22"/>
      <c r="H13" s="22"/>
      <c r="I13" s="22"/>
      <c r="J13" s="22"/>
      <c r="K13" s="22"/>
    </row>
    <row r="14" spans="2:11" ht="19.95" customHeight="1" x14ac:dyDescent="0.3">
      <c r="B14" s="31" t="s">
        <v>11</v>
      </c>
      <c r="C14" s="22"/>
      <c r="D14" s="22"/>
      <c r="E14" s="27" t="str">
        <f>(COUNTA(D9)+COUNTA(G9)+COUNTA(D10)+COUNTA(G10)+COUNTA(D11)+COUNTA(G11)+COUNT(H48)+COUNT(H49)+COUNT(H50)+COUNT(H54)+COUNT(H55)+COUNT(H56)+COUNT(H57)+COUNT(H58)+COUNT(H59)+COUNT(H60)+COUNT(H61)+COUNT(H62)+COUNT(H64)+COUNT(H66)+COUNT(H67)+COUNT(H73)+COUNT(H74)+COUNT(H75)+COUNT(H76)+COUNT(H78)+COUNT(H80)+COUNT(H81)+COUNT(H82)+COUNT(H83))&amp;" de 30"</f>
        <v>0 de 30</v>
      </c>
      <c r="F14" s="22"/>
      <c r="G14" s="42" t="s">
        <v>12</v>
      </c>
      <c r="H14" s="22"/>
      <c r="I14" s="34">
        <f>(COUNTA(D9)+COUNTA(G9)+COUNTA(D10)+COUNTA(G10)+COUNTA(D11)+COUNTA(G11)+COUNT(H48)+COUNT(H49)+COUNT(H50)+COUNT(H54)+COUNT(H55)+COUNT(H56)+COUNT(H57)+COUNT(H58)+COUNT(H59)+COUNT(H60)+COUNT(H61)+COUNT(H62)+COUNT(H64)+COUNT(H66)+COUNT(H67)+COUNT(H73)+COUNT(H74)+COUNT(H75)+COUNT(H76)+COUNT(H78)+COUNT(H80)+COUNT(H81)+COUNT(H82)+COUNT(H83))/30</f>
        <v>0</v>
      </c>
      <c r="J14" s="22"/>
      <c r="K14" s="22"/>
    </row>
    <row r="15" spans="2:11" ht="19.95" customHeight="1" x14ac:dyDescent="0.3">
      <c r="B15" s="31" t="s">
        <v>13</v>
      </c>
      <c r="C15" s="22"/>
      <c r="D15" s="22"/>
      <c r="E15" s="37" t="str">
        <f>REPT("█",ROUND(I14*40,0))&amp;REPT("░",40-ROUND(I14*40,0))&amp;"  "&amp;TEXT(I14,"0%")</f>
        <v>░░░░░░░░░░░░░░░░░░░░░░░░░░░░░░░░░░░░░░░░  0%</v>
      </c>
      <c r="F15" s="22"/>
      <c r="G15" s="22"/>
      <c r="H15" s="22"/>
      <c r="I15" s="22"/>
      <c r="J15" s="22"/>
      <c r="K15" s="22"/>
    </row>
    <row r="16" spans="2:11" ht="19.95" customHeight="1" x14ac:dyDescent="0.3">
      <c r="B16" s="31" t="s">
        <v>14</v>
      </c>
      <c r="C16" s="22"/>
      <c r="D16" s="22"/>
      <c r="E16" s="27" t="str">
        <f>"OK: "&amp;(COUNTIF(K48,"OK")+COUNTIF(K49,"OK")+COUNTIF(K50,"OK")+COUNTIF(K54,"OK")+COUNTIF(K55,"OK")+COUNTIF(K56,"OK")+COUNTIF(K57,"OK")+COUNTIF(K58,"OK")+COUNTIF(K59,"OK")+COUNTIF(K60,"OK")+COUNTIF(K61,"OK")+COUNTIF(K62,"OK")+COUNTIF(K64,"OK")+COUNTIF(K66,"OK")+COUNTIF(K67,"OK")+COUNTIF(K73,"OK")+COUNTIF(K74,"OK")+COUNTIF(K75,"OK")+COUNTIF(K76,"OK")+COUNTIF(K78,"OK")+COUNTIF(K80,"OK")+COUNTIF(K81,"OK")+COUNTIF(K82,"OK")+COUNTIF(K83,"OK"))</f>
        <v>OK: 0</v>
      </c>
      <c r="F16" s="22"/>
      <c r="G16" s="27" t="str">
        <f>"Pendientes: "&amp;(COUNTIF(K48,"PENDIENTE")+COUNTIF(K49,"PENDIENTE")+COUNTIF(K50,"PENDIENTE")+COUNTIF(K54,"PENDIENTE")+COUNTIF(K55,"PENDIENTE")+COUNTIF(K56,"PENDIENTE")+COUNTIF(K57,"PENDIENTE")+COUNTIF(K58,"PENDIENTE")+COUNTIF(K59,"PENDIENTE")+COUNTIF(K60,"PENDIENTE")+COUNTIF(K61,"PENDIENTE")+COUNTIF(K62,"PENDIENTE")+COUNTIF(K64,"PENDIENTE")+COUNTIF(K66,"PENDIENTE")+COUNTIF(K67,"PENDIENTE")+COUNTIF(K73,"PENDIENTE")+COUNTIF(K74,"PENDIENTE")+COUNTIF(K75,"PENDIENTE")+COUNTIF(K76,"PENDIENTE")+COUNTIF(K78,"PENDIENTE")+COUNTIF(K80,"PENDIENTE")+COUNTIF(K81,"PENDIENTE")+COUNTIF(K82,"PENDIENTE")+COUNTIF(K83,"PENDIENTE"))</f>
        <v>Pendientes: 24</v>
      </c>
      <c r="H16" s="22"/>
      <c r="I16" s="27" t="str">
        <f>"Con observación: "&amp;(24-(COUNTIF(K48,"OK")+COUNTIF(K49,"OK")+COUNTIF(K50,"OK")+COUNTIF(K54,"OK")+COUNTIF(K55,"OK")+COUNTIF(K56,"OK")+COUNTIF(K57,"OK")+COUNTIF(K58,"OK")+COUNTIF(K59,"OK")+COUNTIF(K60,"OK")+COUNTIF(K61,"OK")+COUNTIF(K62,"OK")+COUNTIF(K64,"OK")+COUNTIF(K66,"OK")+COUNTIF(K67,"OK")+COUNTIF(K73,"OK")+COUNTIF(K74,"OK")+COUNTIF(K75,"OK")+COUNTIF(K76,"OK")+COUNTIF(K78,"OK")+COUNTIF(K80,"OK")+COUNTIF(K81,"OK")+COUNTIF(K82,"OK")+COUNTIF(K83,"OK"))-(COUNTIF(K48,"PENDIENTE")+COUNTIF(K49,"PENDIENTE")+COUNTIF(K50,"PENDIENTE")+COUNTIF(K54,"PENDIENTE")+COUNTIF(K55,"PENDIENTE")+COUNTIF(K56,"PENDIENTE")+COUNTIF(K57,"PENDIENTE")+COUNTIF(K58,"PENDIENTE")+COUNTIF(K59,"PENDIENTE")+COUNTIF(K60,"PENDIENTE")+COUNTIF(K61,"PENDIENTE")+COUNTIF(K62,"PENDIENTE")+COUNTIF(K64,"PENDIENTE")+COUNTIF(K66,"PENDIENTE")+COUNTIF(K67,"PENDIENTE")+COUNTIF(K73,"PENDIENTE")+COUNTIF(K74,"PENDIENTE")+COUNTIF(K75,"PENDIENTE")+COUNTIF(K76,"PENDIENTE")+COUNTIF(K78,"PENDIENTE")+COUNTIF(K80,"PENDIENTE")+COUNTIF(K81,"PENDIENTE")+COUNTIF(K82,"PENDIENTE")+COUNTIF(K83,"PENDIENTE")))</f>
        <v>Con observación: 0</v>
      </c>
      <c r="J16" s="22"/>
      <c r="K16" s="22"/>
    </row>
    <row r="17" spans="2:11" ht="19.95" customHeight="1" x14ac:dyDescent="0.3">
      <c r="B17" s="31" t="s">
        <v>15</v>
      </c>
      <c r="C17" s="22"/>
      <c r="D17" s="22"/>
      <c r="E17" s="40">
        <f>K99</f>
        <v>1426932413</v>
      </c>
      <c r="F17" s="22"/>
      <c r="G17" s="40">
        <f>K100</f>
        <v>1734718315</v>
      </c>
      <c r="H17" s="22"/>
      <c r="I17" s="27" t="str">
        <f>IF((COUNT(H48)+COUNT(H49)+COUNT(H50)+COUNT(H54)+COUNT(H55)+COUNT(H56)+COUNT(H57)+COUNT(H58)+COUNT(H59)+COUNT(H60)+COUNT(H61)+COUNT(H62)+COUNT(H64)+COUNT(H66)+COUNT(H67)+COUNT(H73)+COUNT(H74)+COUNT(H75)+COUNT(H76)+COUNT(H78)+COUNT(H80)+COUNT(H81)+COUNT(H82)+COUNT(H83))&lt;24,"Pendiente: faltan valores unitarios",IF(K99&gt;K100,"SUPERA EL PRESUPUESTO",TEXT(IFERROR(K99/K100,0),"0.0%")&amp;" del presupuesto"))</f>
        <v>Pendiente: faltan valores unitarios</v>
      </c>
      <c r="J17" s="22"/>
      <c r="K17" s="22"/>
    </row>
    <row r="18" spans="2:11" ht="19.95" customHeight="1" x14ac:dyDescent="0.3">
      <c r="B18" s="31" t="s">
        <v>16</v>
      </c>
      <c r="C18" s="22"/>
      <c r="D18" s="22"/>
      <c r="E18" s="35" t="str">
        <f>K110</f>
        <v>INCOMPLETA</v>
      </c>
      <c r="F18" s="22"/>
      <c r="G18" s="22"/>
      <c r="H18" s="22"/>
      <c r="I18" s="22"/>
      <c r="J18" s="22"/>
      <c r="K18" s="22"/>
    </row>
    <row r="20" spans="2:11" ht="19.95" customHeight="1" x14ac:dyDescent="0.3">
      <c r="B20" s="26" t="s">
        <v>17</v>
      </c>
      <c r="C20" s="22"/>
      <c r="D20" s="22"/>
      <c r="E20" s="22"/>
      <c r="F20" s="22"/>
      <c r="G20" s="22"/>
      <c r="H20" s="22"/>
      <c r="I20" s="22"/>
      <c r="J20" s="22"/>
      <c r="K20" s="22"/>
    </row>
    <row r="21" spans="2:11" ht="49.95" customHeight="1" x14ac:dyDescent="0.3">
      <c r="B21" s="1">
        <v>1</v>
      </c>
      <c r="C21" s="28" t="s">
        <v>18</v>
      </c>
      <c r="D21" s="22"/>
      <c r="E21" s="22"/>
      <c r="F21" s="22"/>
      <c r="G21" s="22"/>
      <c r="H21" s="22"/>
      <c r="I21" s="22"/>
      <c r="J21" s="22"/>
      <c r="K21" s="22"/>
    </row>
    <row r="22" spans="2:11" ht="64.95" customHeight="1" x14ac:dyDescent="0.3">
      <c r="B22" s="1">
        <v>2</v>
      </c>
      <c r="C22" s="28" t="s">
        <v>19</v>
      </c>
      <c r="D22" s="22"/>
      <c r="E22" s="22"/>
      <c r="F22" s="22"/>
      <c r="G22" s="22"/>
      <c r="H22" s="22"/>
      <c r="I22" s="22"/>
      <c r="J22" s="22"/>
      <c r="K22" s="22"/>
    </row>
    <row r="23" spans="2:11" ht="49.95" customHeight="1" x14ac:dyDescent="0.3">
      <c r="B23" s="1">
        <v>3</v>
      </c>
      <c r="C23" s="28" t="s">
        <v>20</v>
      </c>
      <c r="D23" s="22"/>
      <c r="E23" s="22"/>
      <c r="F23" s="22"/>
      <c r="G23" s="22"/>
      <c r="H23" s="22"/>
      <c r="I23" s="22"/>
      <c r="J23" s="22"/>
      <c r="K23" s="22"/>
    </row>
    <row r="24" spans="2:11" ht="49.95" customHeight="1" x14ac:dyDescent="0.3">
      <c r="B24" s="1">
        <v>4</v>
      </c>
      <c r="C24" s="28" t="s">
        <v>21</v>
      </c>
      <c r="D24" s="22"/>
      <c r="E24" s="22"/>
      <c r="F24" s="22"/>
      <c r="G24" s="22"/>
      <c r="H24" s="22"/>
      <c r="I24" s="22"/>
      <c r="J24" s="22"/>
      <c r="K24" s="22"/>
    </row>
    <row r="25" spans="2:11" ht="34.950000000000003" customHeight="1" x14ac:dyDescent="0.3">
      <c r="B25" s="1">
        <v>5</v>
      </c>
      <c r="C25" s="28" t="s">
        <v>22</v>
      </c>
      <c r="D25" s="22"/>
      <c r="E25" s="22"/>
      <c r="F25" s="22"/>
      <c r="G25" s="22"/>
      <c r="H25" s="22"/>
      <c r="I25" s="22"/>
      <c r="J25" s="22"/>
      <c r="K25" s="22"/>
    </row>
    <row r="26" spans="2:11" ht="49.95" customHeight="1" x14ac:dyDescent="0.3">
      <c r="B26" s="1">
        <v>6</v>
      </c>
      <c r="C26" s="28" t="s">
        <v>23</v>
      </c>
      <c r="D26" s="22"/>
      <c r="E26" s="22"/>
      <c r="F26" s="22"/>
      <c r="G26" s="22"/>
      <c r="H26" s="22"/>
      <c r="I26" s="22"/>
      <c r="J26" s="22"/>
      <c r="K26" s="22"/>
    </row>
    <row r="27" spans="2:11" ht="34.950000000000003" customHeight="1" x14ac:dyDescent="0.3">
      <c r="B27" s="1">
        <v>7</v>
      </c>
      <c r="C27" s="28" t="s">
        <v>24</v>
      </c>
      <c r="D27" s="22"/>
      <c r="E27" s="22"/>
      <c r="F27" s="22"/>
      <c r="G27" s="22"/>
      <c r="H27" s="22"/>
      <c r="I27" s="22"/>
      <c r="J27" s="22"/>
      <c r="K27" s="22"/>
    </row>
    <row r="28" spans="2:11" ht="34.950000000000003" customHeight="1" x14ac:dyDescent="0.3">
      <c r="B28" s="1">
        <v>8</v>
      </c>
      <c r="C28" s="28" t="s">
        <v>25</v>
      </c>
      <c r="D28" s="22"/>
      <c r="E28" s="22"/>
      <c r="F28" s="22"/>
      <c r="G28" s="22"/>
      <c r="H28" s="22"/>
      <c r="I28" s="22"/>
      <c r="J28" s="22"/>
      <c r="K28" s="22"/>
    </row>
    <row r="29" spans="2:11" ht="34.950000000000003" customHeight="1" x14ac:dyDescent="0.3">
      <c r="B29" s="1">
        <v>9</v>
      </c>
      <c r="C29" s="28" t="s">
        <v>26</v>
      </c>
      <c r="D29" s="22"/>
      <c r="E29" s="22"/>
      <c r="F29" s="22"/>
      <c r="G29" s="22"/>
      <c r="H29" s="22"/>
      <c r="I29" s="22"/>
      <c r="J29" s="22"/>
      <c r="K29" s="22"/>
    </row>
    <row r="30" spans="2:11" ht="19.95" customHeight="1" x14ac:dyDescent="0.3">
      <c r="B30" s="1">
        <v>10</v>
      </c>
      <c r="C30" s="28" t="s">
        <v>27</v>
      </c>
      <c r="D30" s="22"/>
      <c r="E30" s="22"/>
      <c r="F30" s="22"/>
      <c r="G30" s="22"/>
      <c r="H30" s="22"/>
      <c r="I30" s="22"/>
      <c r="J30" s="22"/>
      <c r="K30" s="22"/>
    </row>
    <row r="32" spans="2:11" ht="19.95" customHeight="1" x14ac:dyDescent="0.3">
      <c r="B32" s="26" t="s">
        <v>28</v>
      </c>
      <c r="C32" s="22"/>
      <c r="D32" s="22"/>
      <c r="E32" s="22"/>
      <c r="F32" s="22"/>
      <c r="G32" s="22"/>
      <c r="H32" s="22"/>
      <c r="I32" s="22"/>
      <c r="J32" s="22"/>
      <c r="K32" s="22"/>
    </row>
    <row r="33" spans="2:11" ht="33" customHeight="1" x14ac:dyDescent="0.3">
      <c r="B33" s="6" t="s">
        <v>29</v>
      </c>
      <c r="C33" s="6" t="s">
        <v>30</v>
      </c>
      <c r="D33" s="6" t="s">
        <v>31</v>
      </c>
      <c r="E33" s="6" t="s">
        <v>32</v>
      </c>
      <c r="F33" s="6" t="s">
        <v>33</v>
      </c>
      <c r="G33" s="6" t="s">
        <v>34</v>
      </c>
      <c r="H33" s="6" t="s">
        <v>35</v>
      </c>
      <c r="I33" s="6" t="s">
        <v>36</v>
      </c>
      <c r="J33" s="6" t="s">
        <v>37</v>
      </c>
      <c r="K33" s="6" t="s">
        <v>38</v>
      </c>
    </row>
    <row r="34" spans="2:11" ht="30" customHeight="1" x14ac:dyDescent="0.3">
      <c r="B34" s="7">
        <v>1</v>
      </c>
      <c r="C34" s="8" t="s">
        <v>39</v>
      </c>
      <c r="D34" s="8" t="s">
        <v>40</v>
      </c>
      <c r="E34" s="7" t="s">
        <v>41</v>
      </c>
      <c r="F34" s="7">
        <v>3</v>
      </c>
      <c r="G34" s="9">
        <v>19666064</v>
      </c>
      <c r="H34" s="9">
        <v>21918675</v>
      </c>
      <c r="I34" s="9">
        <f t="shared" ref="I34:I42" si="0">F34*G34</f>
        <v>58998192</v>
      </c>
      <c r="J34" s="9">
        <f t="shared" ref="J34:J42" si="1">F34*H34</f>
        <v>65756025</v>
      </c>
      <c r="K34" s="9">
        <f t="shared" ref="K34:K42" si="2">I34*0.333333333333333+J34*6</f>
        <v>414202214</v>
      </c>
    </row>
    <row r="35" spans="2:11" ht="30" customHeight="1" x14ac:dyDescent="0.3">
      <c r="B35" s="7">
        <v>2</v>
      </c>
      <c r="C35" s="8" t="s">
        <v>42</v>
      </c>
      <c r="D35" s="8" t="s">
        <v>43</v>
      </c>
      <c r="E35" s="7" t="s">
        <v>44</v>
      </c>
      <c r="F35" s="7">
        <v>1</v>
      </c>
      <c r="G35" s="9">
        <v>19308499</v>
      </c>
      <c r="H35" s="9">
        <v>21520153</v>
      </c>
      <c r="I35" s="9">
        <f t="shared" si="0"/>
        <v>19308499</v>
      </c>
      <c r="J35" s="9">
        <f t="shared" si="1"/>
        <v>21520153</v>
      </c>
      <c r="K35" s="9">
        <f t="shared" si="2"/>
        <v>135557084.33333331</v>
      </c>
    </row>
    <row r="36" spans="2:11" ht="30" customHeight="1" x14ac:dyDescent="0.3">
      <c r="B36" s="7">
        <v>3</v>
      </c>
      <c r="C36" s="8" t="s">
        <v>42</v>
      </c>
      <c r="D36" s="8" t="s">
        <v>45</v>
      </c>
      <c r="E36" s="7" t="s">
        <v>46</v>
      </c>
      <c r="F36" s="7">
        <v>4</v>
      </c>
      <c r="G36" s="9">
        <v>5654400</v>
      </c>
      <c r="H36" s="9">
        <v>6302073</v>
      </c>
      <c r="I36" s="9">
        <f t="shared" si="0"/>
        <v>22617600</v>
      </c>
      <c r="J36" s="9">
        <f t="shared" si="1"/>
        <v>25208292</v>
      </c>
      <c r="K36" s="9">
        <f t="shared" si="2"/>
        <v>158788952</v>
      </c>
    </row>
    <row r="37" spans="2:11" ht="30" customHeight="1" x14ac:dyDescent="0.3">
      <c r="B37" s="7">
        <v>4</v>
      </c>
      <c r="C37" s="8" t="s">
        <v>42</v>
      </c>
      <c r="D37" s="8" t="s">
        <v>47</v>
      </c>
      <c r="E37" s="7" t="s">
        <v>48</v>
      </c>
      <c r="F37" s="7">
        <v>1</v>
      </c>
      <c r="G37" s="9">
        <v>5811467</v>
      </c>
      <c r="H37" s="9">
        <v>6477131</v>
      </c>
      <c r="I37" s="9">
        <f t="shared" si="0"/>
        <v>5811467</v>
      </c>
      <c r="J37" s="9">
        <f t="shared" si="1"/>
        <v>6477131</v>
      </c>
      <c r="K37" s="9">
        <f t="shared" si="2"/>
        <v>40799941.666666664</v>
      </c>
    </row>
    <row r="38" spans="2:11" ht="30" customHeight="1" x14ac:dyDescent="0.3">
      <c r="B38" s="7">
        <v>5</v>
      </c>
      <c r="C38" s="8" t="s">
        <v>49</v>
      </c>
      <c r="D38" s="8" t="s">
        <v>50</v>
      </c>
      <c r="E38" s="7" t="s">
        <v>51</v>
      </c>
      <c r="F38" s="7">
        <v>1</v>
      </c>
      <c r="G38" s="9">
        <v>5654400</v>
      </c>
      <c r="H38" s="9">
        <v>6302073</v>
      </c>
      <c r="I38" s="9">
        <f t="shared" si="0"/>
        <v>5654400</v>
      </c>
      <c r="J38" s="9">
        <f t="shared" si="1"/>
        <v>6302073</v>
      </c>
      <c r="K38" s="9">
        <f t="shared" si="2"/>
        <v>39697238</v>
      </c>
    </row>
    <row r="39" spans="2:11" ht="30" customHeight="1" x14ac:dyDescent="0.3">
      <c r="B39" s="7">
        <v>6</v>
      </c>
      <c r="C39" s="8" t="s">
        <v>52</v>
      </c>
      <c r="D39" s="8" t="s">
        <v>40</v>
      </c>
      <c r="E39" s="7" t="s">
        <v>41</v>
      </c>
      <c r="F39" s="7">
        <v>2</v>
      </c>
      <c r="G39" s="9">
        <v>19666064</v>
      </c>
      <c r="H39" s="9">
        <v>21918675</v>
      </c>
      <c r="I39" s="9">
        <f t="shared" si="0"/>
        <v>39332128</v>
      </c>
      <c r="J39" s="9">
        <f t="shared" si="1"/>
        <v>43837350</v>
      </c>
      <c r="K39" s="9">
        <f t="shared" si="2"/>
        <v>276134809.33333331</v>
      </c>
    </row>
    <row r="40" spans="2:11" ht="30" customHeight="1" x14ac:dyDescent="0.3">
      <c r="B40" s="7">
        <v>7</v>
      </c>
      <c r="C40" s="8" t="s">
        <v>52</v>
      </c>
      <c r="D40" s="8" t="s">
        <v>45</v>
      </c>
      <c r="E40" s="7" t="s">
        <v>46</v>
      </c>
      <c r="F40" s="7">
        <v>4</v>
      </c>
      <c r="G40" s="9">
        <v>5654400</v>
      </c>
      <c r="H40" s="9">
        <v>6302073</v>
      </c>
      <c r="I40" s="9">
        <f t="shared" si="0"/>
        <v>22617600</v>
      </c>
      <c r="J40" s="9">
        <f t="shared" si="1"/>
        <v>25208292</v>
      </c>
      <c r="K40" s="9">
        <f t="shared" si="2"/>
        <v>158788952</v>
      </c>
    </row>
    <row r="41" spans="2:11" ht="30" customHeight="1" x14ac:dyDescent="0.3">
      <c r="B41" s="7">
        <v>8</v>
      </c>
      <c r="C41" s="8" t="s">
        <v>52</v>
      </c>
      <c r="D41" s="8" t="s">
        <v>43</v>
      </c>
      <c r="E41" s="7" t="s">
        <v>44</v>
      </c>
      <c r="F41" s="7">
        <v>1</v>
      </c>
      <c r="G41" s="9">
        <v>19308499</v>
      </c>
      <c r="H41" s="9">
        <v>21520153</v>
      </c>
      <c r="I41" s="9">
        <f t="shared" si="0"/>
        <v>19308499</v>
      </c>
      <c r="J41" s="9">
        <f t="shared" si="1"/>
        <v>21520153</v>
      </c>
      <c r="K41" s="9">
        <f t="shared" si="2"/>
        <v>135557084.33333331</v>
      </c>
    </row>
    <row r="42" spans="2:11" ht="30" customHeight="1" x14ac:dyDescent="0.3">
      <c r="B42" s="7">
        <v>9</v>
      </c>
      <c r="C42" s="8" t="s">
        <v>52</v>
      </c>
      <c r="D42" s="8" t="s">
        <v>47</v>
      </c>
      <c r="E42" s="7" t="s">
        <v>48</v>
      </c>
      <c r="F42" s="7">
        <v>1</v>
      </c>
      <c r="G42" s="9">
        <v>5811467</v>
      </c>
      <c r="H42" s="9">
        <v>6477131</v>
      </c>
      <c r="I42" s="9">
        <f t="shared" si="0"/>
        <v>5811467</v>
      </c>
      <c r="J42" s="9">
        <f t="shared" si="1"/>
        <v>6477131</v>
      </c>
      <c r="K42" s="9">
        <f t="shared" si="2"/>
        <v>40799941.666666664</v>
      </c>
    </row>
    <row r="43" spans="2:11" x14ac:dyDescent="0.3">
      <c r="B43" s="29" t="s">
        <v>53</v>
      </c>
      <c r="C43" s="22"/>
      <c r="D43" s="22"/>
      <c r="E43" s="22"/>
      <c r="F43" s="10">
        <f>SUM(F34:F42)</f>
        <v>18</v>
      </c>
      <c r="G43" s="11"/>
      <c r="H43" s="11"/>
      <c r="I43" s="12">
        <f>SUM(I34:I42)</f>
        <v>199459852</v>
      </c>
      <c r="J43" s="12">
        <f>SUM(J34:J42)</f>
        <v>222306600</v>
      </c>
      <c r="K43" s="12">
        <f>SUM(K34:K42)</f>
        <v>1400326217.3333333</v>
      </c>
    </row>
    <row r="45" spans="2:11" ht="19.95" customHeight="1" x14ac:dyDescent="0.3">
      <c r="B45" s="26" t="s">
        <v>54</v>
      </c>
      <c r="C45" s="22"/>
      <c r="D45" s="22"/>
      <c r="E45" s="22"/>
      <c r="F45" s="22"/>
      <c r="G45" s="22"/>
      <c r="H45" s="22"/>
      <c r="I45" s="22"/>
      <c r="J45" s="22"/>
      <c r="K45" s="22"/>
    </row>
    <row r="46" spans="2:11" x14ac:dyDescent="0.3">
      <c r="B46" s="36" t="s">
        <v>55</v>
      </c>
      <c r="C46" s="22"/>
      <c r="D46" s="22"/>
      <c r="E46" s="22"/>
      <c r="F46" s="22"/>
      <c r="G46" s="22"/>
      <c r="H46" s="22"/>
      <c r="I46" s="22"/>
      <c r="J46" s="22"/>
      <c r="K46" s="22"/>
    </row>
    <row r="47" spans="2:11" ht="45" customHeight="1" x14ac:dyDescent="0.3">
      <c r="B47" s="6" t="s">
        <v>29</v>
      </c>
      <c r="C47" s="6" t="s">
        <v>56</v>
      </c>
      <c r="D47" s="6" t="s">
        <v>57</v>
      </c>
      <c r="E47" s="6" t="s">
        <v>58</v>
      </c>
      <c r="F47" s="6" t="s">
        <v>59</v>
      </c>
      <c r="G47" s="6" t="s">
        <v>60</v>
      </c>
      <c r="H47" s="6" t="s">
        <v>61</v>
      </c>
      <c r="I47" s="23" t="s">
        <v>62</v>
      </c>
      <c r="J47" s="38"/>
      <c r="K47" s="6" t="s">
        <v>63</v>
      </c>
    </row>
    <row r="48" spans="2:11" ht="49.5" customHeight="1" x14ac:dyDescent="0.3">
      <c r="B48" s="3" t="s">
        <v>64</v>
      </c>
      <c r="C48" s="13" t="s">
        <v>65</v>
      </c>
      <c r="D48" s="5" t="s">
        <v>66</v>
      </c>
      <c r="E48" s="3" t="s">
        <v>67</v>
      </c>
      <c r="F48" s="3">
        <v>21</v>
      </c>
      <c r="G48" s="14">
        <v>90223</v>
      </c>
      <c r="H48" s="15"/>
      <c r="I48" s="27" t="s">
        <v>68</v>
      </c>
      <c r="J48" s="22"/>
      <c r="K48" s="1" t="str">
        <f>IF(H48="","PENDIENTE",IF(NOT(ISNUMBER(H48)),"VALOR NO NUMÉRICO",IF(H48&lt;=0,"VALOR NO VÁLIDO",IF(H48&gt;G48,"SUPERA TECHO",IF(H48&lt;&gt;ROUND(H48,0),"CON DECIMALES","OK")))))</f>
        <v>PENDIENTE</v>
      </c>
    </row>
    <row r="49" spans="2:11" ht="30" customHeight="1" x14ac:dyDescent="0.3">
      <c r="B49" s="3" t="s">
        <v>69</v>
      </c>
      <c r="C49" s="13" t="s">
        <v>70</v>
      </c>
      <c r="D49" s="5" t="s">
        <v>71</v>
      </c>
      <c r="E49" s="3" t="s">
        <v>67</v>
      </c>
      <c r="F49" s="3">
        <v>17</v>
      </c>
      <c r="G49" s="14">
        <v>15347</v>
      </c>
      <c r="H49" s="15"/>
      <c r="I49" s="27" t="s">
        <v>72</v>
      </c>
      <c r="J49" s="22"/>
      <c r="K49" s="1" t="str">
        <f>IF(H49="","PENDIENTE",IF(NOT(ISNUMBER(H49)),"VALOR NO NUMÉRICO",IF(H49&lt;=0,"VALOR NO VÁLIDO",IF(H49&gt;G49,"SUPERA TECHO",IF(H49&lt;&gt;ROUND(H49,0),"CON DECIMALES","OK")))))</f>
        <v>PENDIENTE</v>
      </c>
    </row>
    <row r="50" spans="2:11" ht="49.5" customHeight="1" x14ac:dyDescent="0.3">
      <c r="B50" s="3" t="s">
        <v>73</v>
      </c>
      <c r="C50" s="13" t="s">
        <v>74</v>
      </c>
      <c r="D50" s="5" t="s">
        <v>75</v>
      </c>
      <c r="E50" s="3" t="s">
        <v>67</v>
      </c>
      <c r="F50" s="3">
        <v>2</v>
      </c>
      <c r="G50" s="14">
        <v>1142857</v>
      </c>
      <c r="H50" s="15"/>
      <c r="I50" s="27" t="s">
        <v>76</v>
      </c>
      <c r="J50" s="22"/>
      <c r="K50" s="1" t="str">
        <f>IF(H50="","PENDIENTE",IF(NOT(ISNUMBER(H50)),"VALOR NO NUMÉRICO",IF(H50&lt;=0,"VALOR NO VÁLIDO",IF(H50&gt;G50,"SUPERA TECHO",IF(H50&lt;&gt;ROUND(H50,0),"CON DECIMALES","OK")))))</f>
        <v>PENDIENTE</v>
      </c>
    </row>
    <row r="52" spans="2:11" x14ac:dyDescent="0.3">
      <c r="B52" s="36" t="s">
        <v>77</v>
      </c>
      <c r="C52" s="22"/>
      <c r="D52" s="22"/>
      <c r="E52" s="22"/>
      <c r="F52" s="22"/>
      <c r="G52" s="22"/>
      <c r="H52" s="22"/>
      <c r="I52" s="22"/>
      <c r="J52" s="22"/>
      <c r="K52" s="22"/>
    </row>
    <row r="53" spans="2:11" ht="45" customHeight="1" x14ac:dyDescent="0.3">
      <c r="B53" s="6" t="s">
        <v>29</v>
      </c>
      <c r="C53" s="6" t="s">
        <v>56</v>
      </c>
      <c r="D53" s="6" t="s">
        <v>57</v>
      </c>
      <c r="E53" s="6" t="s">
        <v>58</v>
      </c>
      <c r="F53" s="6" t="s">
        <v>33</v>
      </c>
      <c r="G53" s="6" t="s">
        <v>60</v>
      </c>
      <c r="H53" s="6" t="s">
        <v>61</v>
      </c>
      <c r="I53" s="6" t="s">
        <v>78</v>
      </c>
      <c r="J53" s="6" t="s">
        <v>38</v>
      </c>
      <c r="K53" s="6" t="s">
        <v>63</v>
      </c>
    </row>
    <row r="54" spans="2:11" ht="78.45" customHeight="1" x14ac:dyDescent="0.3">
      <c r="B54" s="3">
        <v>1</v>
      </c>
      <c r="C54" s="13" t="s">
        <v>79</v>
      </c>
      <c r="D54" s="5" t="s">
        <v>80</v>
      </c>
      <c r="E54" s="3" t="s">
        <v>81</v>
      </c>
      <c r="F54" s="3">
        <v>1</v>
      </c>
      <c r="G54" s="14">
        <v>4633581</v>
      </c>
      <c r="H54" s="15"/>
      <c r="I54" s="16">
        <f t="shared" ref="I54:I68" si="3">IF(ISNUMBER(H54),ROUND(F54*H54,0),0)</f>
        <v>0</v>
      </c>
      <c r="J54" s="17">
        <f t="shared" ref="J54:J68" si="4">I54*(0.333333333333333+6)</f>
        <v>0</v>
      </c>
      <c r="K54" s="1" t="str">
        <f t="shared" ref="K54:K68" si="5">IF(H54="","PENDIENTE",IF(NOT(ISNUMBER(H54)),"VALOR NO NUMÉRICO",IF(H54&lt;=0,"VALOR NO VÁLIDO",IF(H54&gt;G54,"SUPERA TECHO",IF(H54&lt;&gt;ROUND(H54,0),"CON DECIMALES","OK")))))</f>
        <v>PENDIENTE</v>
      </c>
    </row>
    <row r="55" spans="2:11" ht="34.950000000000003" customHeight="1" x14ac:dyDescent="0.3">
      <c r="B55" s="3">
        <v>2</v>
      </c>
      <c r="C55" s="13" t="s">
        <v>79</v>
      </c>
      <c r="D55" s="5" t="s">
        <v>82</v>
      </c>
      <c r="E55" s="3" t="s">
        <v>67</v>
      </c>
      <c r="F55" s="3">
        <v>8</v>
      </c>
      <c r="G55" s="14">
        <v>304468</v>
      </c>
      <c r="H55" s="15"/>
      <c r="I55" s="16">
        <f t="shared" si="3"/>
        <v>0</v>
      </c>
      <c r="J55" s="17">
        <f t="shared" si="4"/>
        <v>0</v>
      </c>
      <c r="K55" s="1" t="str">
        <f t="shared" si="5"/>
        <v>PENDIENTE</v>
      </c>
    </row>
    <row r="56" spans="2:11" ht="49.5" customHeight="1" x14ac:dyDescent="0.3">
      <c r="B56" s="3">
        <v>3</v>
      </c>
      <c r="C56" s="13" t="s">
        <v>79</v>
      </c>
      <c r="D56" s="5" t="s">
        <v>83</v>
      </c>
      <c r="E56" s="3" t="s">
        <v>67</v>
      </c>
      <c r="F56" s="3">
        <v>18</v>
      </c>
      <c r="G56" s="14">
        <v>165349</v>
      </c>
      <c r="H56" s="15"/>
      <c r="I56" s="16">
        <f t="shared" si="3"/>
        <v>0</v>
      </c>
      <c r="J56" s="17">
        <f t="shared" si="4"/>
        <v>0</v>
      </c>
      <c r="K56" s="1" t="str">
        <f t="shared" si="5"/>
        <v>PENDIENTE</v>
      </c>
    </row>
    <row r="57" spans="2:11" ht="34.950000000000003" customHeight="1" x14ac:dyDescent="0.3">
      <c r="B57" s="3">
        <v>4</v>
      </c>
      <c r="C57" s="13" t="s">
        <v>79</v>
      </c>
      <c r="D57" s="5" t="s">
        <v>84</v>
      </c>
      <c r="E57" s="3" t="s">
        <v>67</v>
      </c>
      <c r="F57" s="3">
        <v>9</v>
      </c>
      <c r="G57" s="14">
        <v>286254</v>
      </c>
      <c r="H57" s="15"/>
      <c r="I57" s="16">
        <f t="shared" si="3"/>
        <v>0</v>
      </c>
      <c r="J57" s="17">
        <f t="shared" si="4"/>
        <v>0</v>
      </c>
      <c r="K57" s="1" t="str">
        <f t="shared" si="5"/>
        <v>PENDIENTE</v>
      </c>
    </row>
    <row r="58" spans="2:11" ht="34.950000000000003" customHeight="1" x14ac:dyDescent="0.3">
      <c r="B58" s="3">
        <v>5</v>
      </c>
      <c r="C58" s="13" t="s">
        <v>79</v>
      </c>
      <c r="D58" s="5" t="s">
        <v>85</v>
      </c>
      <c r="E58" s="3" t="s">
        <v>67</v>
      </c>
      <c r="F58" s="3">
        <v>78</v>
      </c>
      <c r="G58" s="14">
        <v>61172</v>
      </c>
      <c r="H58" s="15"/>
      <c r="I58" s="16">
        <f t="shared" si="3"/>
        <v>0</v>
      </c>
      <c r="J58" s="17">
        <f t="shared" si="4"/>
        <v>0</v>
      </c>
      <c r="K58" s="1" t="str">
        <f t="shared" si="5"/>
        <v>PENDIENTE</v>
      </c>
    </row>
    <row r="59" spans="2:11" ht="34.950000000000003" customHeight="1" x14ac:dyDescent="0.3">
      <c r="B59" s="3">
        <v>6</v>
      </c>
      <c r="C59" s="13" t="s">
        <v>86</v>
      </c>
      <c r="D59" s="5" t="s">
        <v>87</v>
      </c>
      <c r="E59" s="3" t="s">
        <v>67</v>
      </c>
      <c r="F59" s="3">
        <v>3</v>
      </c>
      <c r="G59" s="14">
        <v>42105</v>
      </c>
      <c r="H59" s="15"/>
      <c r="I59" s="16">
        <f t="shared" si="3"/>
        <v>0</v>
      </c>
      <c r="J59" s="17">
        <f t="shared" si="4"/>
        <v>0</v>
      </c>
      <c r="K59" s="1" t="str">
        <f t="shared" si="5"/>
        <v>PENDIENTE</v>
      </c>
    </row>
    <row r="60" spans="2:11" ht="64.05" customHeight="1" x14ac:dyDescent="0.3">
      <c r="B60" s="3">
        <v>7</v>
      </c>
      <c r="C60" s="13" t="s">
        <v>88</v>
      </c>
      <c r="D60" s="5" t="s">
        <v>89</v>
      </c>
      <c r="E60" s="3" t="s">
        <v>67</v>
      </c>
      <c r="F60" s="3">
        <v>4</v>
      </c>
      <c r="G60" s="14">
        <v>321117</v>
      </c>
      <c r="H60" s="15"/>
      <c r="I60" s="16">
        <f t="shared" si="3"/>
        <v>0</v>
      </c>
      <c r="J60" s="17">
        <f t="shared" si="4"/>
        <v>0</v>
      </c>
      <c r="K60" s="1" t="str">
        <f t="shared" si="5"/>
        <v>PENDIENTE</v>
      </c>
    </row>
    <row r="61" spans="2:11" ht="49.5" customHeight="1" x14ac:dyDescent="0.3">
      <c r="B61" s="3">
        <v>8</v>
      </c>
      <c r="C61" s="13" t="s">
        <v>88</v>
      </c>
      <c r="D61" s="5" t="s">
        <v>90</v>
      </c>
      <c r="E61" s="3" t="s">
        <v>67</v>
      </c>
      <c r="F61" s="3">
        <v>2</v>
      </c>
      <c r="G61" s="14">
        <v>171298</v>
      </c>
      <c r="H61" s="15"/>
      <c r="I61" s="16">
        <f t="shared" si="3"/>
        <v>0</v>
      </c>
      <c r="J61" s="17">
        <f t="shared" si="4"/>
        <v>0</v>
      </c>
      <c r="K61" s="1" t="str">
        <f t="shared" si="5"/>
        <v>PENDIENTE</v>
      </c>
    </row>
    <row r="62" spans="2:11" ht="49.5" customHeight="1" x14ac:dyDescent="0.3">
      <c r="B62" s="3">
        <v>9</v>
      </c>
      <c r="C62" s="13" t="s">
        <v>88</v>
      </c>
      <c r="D62" s="5" t="s">
        <v>91</v>
      </c>
      <c r="E62" s="3" t="s">
        <v>67</v>
      </c>
      <c r="F62" s="3">
        <v>2</v>
      </c>
      <c r="G62" s="14">
        <v>265645</v>
      </c>
      <c r="H62" s="15"/>
      <c r="I62" s="16">
        <f t="shared" si="3"/>
        <v>0</v>
      </c>
      <c r="J62" s="17">
        <f t="shared" si="4"/>
        <v>0</v>
      </c>
      <c r="K62" s="1" t="str">
        <f t="shared" si="5"/>
        <v>PENDIENTE</v>
      </c>
    </row>
    <row r="63" spans="2:11" ht="49.5" customHeight="1" x14ac:dyDescent="0.3">
      <c r="B63" s="3">
        <v>10</v>
      </c>
      <c r="C63" s="13" t="s">
        <v>65</v>
      </c>
      <c r="D63" s="5" t="s">
        <v>92</v>
      </c>
      <c r="E63" s="3" t="s">
        <v>67</v>
      </c>
      <c r="F63" s="3">
        <v>11</v>
      </c>
      <c r="G63" s="14">
        <v>90223</v>
      </c>
      <c r="H63" s="9" t="str">
        <f>IF($H$48="","",$H$48)</f>
        <v/>
      </c>
      <c r="I63" s="16">
        <f t="shared" si="3"/>
        <v>0</v>
      </c>
      <c r="J63" s="17">
        <f t="shared" si="4"/>
        <v>0</v>
      </c>
      <c r="K63" s="1" t="str">
        <f t="shared" si="5"/>
        <v>PENDIENTE</v>
      </c>
    </row>
    <row r="64" spans="2:11" ht="64.05" customHeight="1" x14ac:dyDescent="0.3">
      <c r="B64" s="3">
        <v>11</v>
      </c>
      <c r="C64" s="13" t="s">
        <v>88</v>
      </c>
      <c r="D64" s="5" t="s">
        <v>93</v>
      </c>
      <c r="E64" s="3" t="s">
        <v>81</v>
      </c>
      <c r="F64" s="3">
        <v>1</v>
      </c>
      <c r="G64" s="14">
        <v>1968907</v>
      </c>
      <c r="H64" s="15"/>
      <c r="I64" s="16">
        <f t="shared" si="3"/>
        <v>0</v>
      </c>
      <c r="J64" s="17">
        <f t="shared" si="4"/>
        <v>0</v>
      </c>
      <c r="K64" s="1" t="str">
        <f t="shared" si="5"/>
        <v>PENDIENTE</v>
      </c>
    </row>
    <row r="65" spans="2:11" ht="34.950000000000003" customHeight="1" x14ac:dyDescent="0.3">
      <c r="B65" s="3">
        <v>12</v>
      </c>
      <c r="C65" s="13" t="s">
        <v>70</v>
      </c>
      <c r="D65" s="5" t="s">
        <v>94</v>
      </c>
      <c r="E65" s="3" t="s">
        <v>67</v>
      </c>
      <c r="F65" s="3">
        <v>9</v>
      </c>
      <c r="G65" s="14">
        <v>15347</v>
      </c>
      <c r="H65" s="9" t="str">
        <f>IF($H$49="","",$H$49)</f>
        <v/>
      </c>
      <c r="I65" s="16">
        <f t="shared" si="3"/>
        <v>0</v>
      </c>
      <c r="J65" s="17">
        <f t="shared" si="4"/>
        <v>0</v>
      </c>
      <c r="K65" s="1" t="str">
        <f t="shared" si="5"/>
        <v>PENDIENTE</v>
      </c>
    </row>
    <row r="66" spans="2:11" ht="49.5" customHeight="1" x14ac:dyDescent="0.3">
      <c r="B66" s="3">
        <v>13</v>
      </c>
      <c r="C66" s="13" t="s">
        <v>88</v>
      </c>
      <c r="D66" s="5" t="s">
        <v>95</v>
      </c>
      <c r="E66" s="3" t="s">
        <v>81</v>
      </c>
      <c r="F66" s="3">
        <v>1</v>
      </c>
      <c r="G66" s="14">
        <v>1401839</v>
      </c>
      <c r="H66" s="15"/>
      <c r="I66" s="16">
        <f t="shared" si="3"/>
        <v>0</v>
      </c>
      <c r="J66" s="17">
        <f t="shared" si="4"/>
        <v>0</v>
      </c>
      <c r="K66" s="1" t="str">
        <f t="shared" si="5"/>
        <v>PENDIENTE</v>
      </c>
    </row>
    <row r="67" spans="2:11" ht="34.950000000000003" customHeight="1" x14ac:dyDescent="0.3">
      <c r="B67" s="3">
        <v>14</v>
      </c>
      <c r="C67" s="13" t="s">
        <v>96</v>
      </c>
      <c r="D67" s="5" t="s">
        <v>97</v>
      </c>
      <c r="E67" s="3" t="s">
        <v>81</v>
      </c>
      <c r="F67" s="3">
        <v>1</v>
      </c>
      <c r="G67" s="14">
        <v>1709878</v>
      </c>
      <c r="H67" s="15"/>
      <c r="I67" s="16">
        <f t="shared" si="3"/>
        <v>0</v>
      </c>
      <c r="J67" s="17">
        <f t="shared" si="4"/>
        <v>0</v>
      </c>
      <c r="K67" s="1" t="str">
        <f t="shared" si="5"/>
        <v>PENDIENTE</v>
      </c>
    </row>
    <row r="68" spans="2:11" ht="49.5" customHeight="1" x14ac:dyDescent="0.3">
      <c r="B68" s="3">
        <v>15</v>
      </c>
      <c r="C68" s="13" t="s">
        <v>88</v>
      </c>
      <c r="D68" s="5" t="s">
        <v>98</v>
      </c>
      <c r="E68" s="3" t="s">
        <v>67</v>
      </c>
      <c r="F68" s="3">
        <v>1</v>
      </c>
      <c r="G68" s="14">
        <v>1142857</v>
      </c>
      <c r="H68" s="9" t="str">
        <f>IF($H$50="","",$H$50)</f>
        <v/>
      </c>
      <c r="I68" s="16">
        <f t="shared" si="3"/>
        <v>0</v>
      </c>
      <c r="J68" s="17">
        <f t="shared" si="4"/>
        <v>0</v>
      </c>
      <c r="K68" s="1" t="str">
        <f t="shared" si="5"/>
        <v>PENDIENTE</v>
      </c>
    </row>
    <row r="69" spans="2:11" x14ac:dyDescent="0.3">
      <c r="B69" s="29" t="s">
        <v>99</v>
      </c>
      <c r="C69" s="22"/>
      <c r="D69" s="22"/>
      <c r="E69" s="22"/>
      <c r="F69" s="10">
        <f>SUM(F54:F68)</f>
        <v>149</v>
      </c>
      <c r="G69" s="12">
        <f>SUMPRODUCT(F54:F68,G54:G68)</f>
        <v>27032035</v>
      </c>
      <c r="H69" s="11"/>
      <c r="I69" s="12">
        <f>SUM(I54:I68)</f>
        <v>0</v>
      </c>
      <c r="J69" s="18">
        <f>SUM(J54:J68)</f>
        <v>0</v>
      </c>
      <c r="K69" s="10" t="str">
        <f>IF(COUNTIF(K54:K68,"OK")=ROWS(K54:K68),"OK","REVISAR")</f>
        <v>REVISAR</v>
      </c>
    </row>
    <row r="71" spans="2:11" x14ac:dyDescent="0.3">
      <c r="B71" s="36" t="s">
        <v>100</v>
      </c>
      <c r="C71" s="22"/>
      <c r="D71" s="22"/>
      <c r="E71" s="22"/>
      <c r="F71" s="22"/>
      <c r="G71" s="22"/>
      <c r="H71" s="22"/>
      <c r="I71" s="22"/>
      <c r="J71" s="22"/>
      <c r="K71" s="22"/>
    </row>
    <row r="72" spans="2:11" ht="45" customHeight="1" x14ac:dyDescent="0.3">
      <c r="B72" s="6" t="s">
        <v>29</v>
      </c>
      <c r="C72" s="6" t="s">
        <v>56</v>
      </c>
      <c r="D72" s="6" t="s">
        <v>57</v>
      </c>
      <c r="E72" s="6" t="s">
        <v>58</v>
      </c>
      <c r="F72" s="6" t="s">
        <v>33</v>
      </c>
      <c r="G72" s="6" t="s">
        <v>60</v>
      </c>
      <c r="H72" s="6" t="s">
        <v>61</v>
      </c>
      <c r="I72" s="6" t="s">
        <v>78</v>
      </c>
      <c r="J72" s="6" t="s">
        <v>38</v>
      </c>
      <c r="K72" s="6" t="s">
        <v>63</v>
      </c>
    </row>
    <row r="73" spans="2:11" ht="78.45" customHeight="1" x14ac:dyDescent="0.3">
      <c r="B73" s="3">
        <v>1</v>
      </c>
      <c r="C73" s="13" t="s">
        <v>79</v>
      </c>
      <c r="D73" s="5" t="s">
        <v>101</v>
      </c>
      <c r="E73" s="3" t="s">
        <v>81</v>
      </c>
      <c r="F73" s="3">
        <v>1</v>
      </c>
      <c r="G73" s="14">
        <v>3051287</v>
      </c>
      <c r="H73" s="15"/>
      <c r="I73" s="16">
        <f t="shared" ref="I73:I84" si="6">IF(ISNUMBER(H73),ROUND(F73*H73,0),0)</f>
        <v>0</v>
      </c>
      <c r="J73" s="17">
        <f t="shared" ref="J73:J84" si="7">I73*(0.333333333333333+6)</f>
        <v>0</v>
      </c>
      <c r="K73" s="1" t="str">
        <f t="shared" ref="K73:K84" si="8">IF(H73="","PENDIENTE",IF(NOT(ISNUMBER(H73)),"VALOR NO NUMÉRICO",IF(H73&lt;=0,"VALOR NO VÁLIDO",IF(H73&gt;G73,"SUPERA TECHO",IF(H73&lt;&gt;ROUND(H73,0),"CON DECIMALES","OK")))))</f>
        <v>PENDIENTE</v>
      </c>
    </row>
    <row r="74" spans="2:11" ht="34.950000000000003" customHeight="1" x14ac:dyDescent="0.3">
      <c r="B74" s="3">
        <v>2</v>
      </c>
      <c r="C74" s="13" t="s">
        <v>79</v>
      </c>
      <c r="D74" s="5" t="s">
        <v>82</v>
      </c>
      <c r="E74" s="3" t="s">
        <v>67</v>
      </c>
      <c r="F74" s="3">
        <v>5</v>
      </c>
      <c r="G74" s="14">
        <v>287055</v>
      </c>
      <c r="H74" s="15"/>
      <c r="I74" s="16">
        <f t="shared" si="6"/>
        <v>0</v>
      </c>
      <c r="J74" s="17">
        <f t="shared" si="7"/>
        <v>0</v>
      </c>
      <c r="K74" s="1" t="str">
        <f t="shared" si="8"/>
        <v>PENDIENTE</v>
      </c>
    </row>
    <row r="75" spans="2:11" ht="49.5" customHeight="1" x14ac:dyDescent="0.3">
      <c r="B75" s="3">
        <v>3</v>
      </c>
      <c r="C75" s="13" t="s">
        <v>79</v>
      </c>
      <c r="D75" s="5" t="s">
        <v>102</v>
      </c>
      <c r="E75" s="3" t="s">
        <v>67</v>
      </c>
      <c r="F75" s="3">
        <v>62</v>
      </c>
      <c r="G75" s="14">
        <v>69947</v>
      </c>
      <c r="H75" s="15"/>
      <c r="I75" s="16">
        <f t="shared" si="6"/>
        <v>0</v>
      </c>
      <c r="J75" s="17">
        <f t="shared" si="7"/>
        <v>0</v>
      </c>
      <c r="K75" s="1" t="str">
        <f t="shared" si="8"/>
        <v>PENDIENTE</v>
      </c>
    </row>
    <row r="76" spans="2:11" ht="30" customHeight="1" x14ac:dyDescent="0.3">
      <c r="B76" s="3">
        <v>4</v>
      </c>
      <c r="C76" s="13" t="s">
        <v>79</v>
      </c>
      <c r="D76" s="5" t="s">
        <v>103</v>
      </c>
      <c r="E76" s="3" t="s">
        <v>67</v>
      </c>
      <c r="F76" s="3">
        <v>3</v>
      </c>
      <c r="G76" s="14">
        <v>270201</v>
      </c>
      <c r="H76" s="15"/>
      <c r="I76" s="16">
        <f t="shared" si="6"/>
        <v>0</v>
      </c>
      <c r="J76" s="17">
        <f t="shared" si="7"/>
        <v>0</v>
      </c>
      <c r="K76" s="1" t="str">
        <f t="shared" si="8"/>
        <v>PENDIENTE</v>
      </c>
    </row>
    <row r="77" spans="2:11" ht="49.5" customHeight="1" x14ac:dyDescent="0.3">
      <c r="B77" s="3">
        <v>5</v>
      </c>
      <c r="C77" s="13" t="s">
        <v>65</v>
      </c>
      <c r="D77" s="5" t="s">
        <v>92</v>
      </c>
      <c r="E77" s="3" t="s">
        <v>67</v>
      </c>
      <c r="F77" s="3">
        <v>10</v>
      </c>
      <c r="G77" s="14">
        <v>90223</v>
      </c>
      <c r="H77" s="9" t="str">
        <f>IF($H$48="","",$H$48)</f>
        <v/>
      </c>
      <c r="I77" s="16">
        <f t="shared" si="6"/>
        <v>0</v>
      </c>
      <c r="J77" s="17">
        <f t="shared" si="7"/>
        <v>0</v>
      </c>
      <c r="K77" s="1" t="str">
        <f t="shared" si="8"/>
        <v>PENDIENTE</v>
      </c>
    </row>
    <row r="78" spans="2:11" ht="64.05" customHeight="1" x14ac:dyDescent="0.3">
      <c r="B78" s="3">
        <v>6</v>
      </c>
      <c r="C78" s="13" t="s">
        <v>88</v>
      </c>
      <c r="D78" s="5" t="s">
        <v>93</v>
      </c>
      <c r="E78" s="3" t="s">
        <v>81</v>
      </c>
      <c r="F78" s="3">
        <v>1</v>
      </c>
      <c r="G78" s="14">
        <v>1262974</v>
      </c>
      <c r="H78" s="15"/>
      <c r="I78" s="16">
        <f t="shared" si="6"/>
        <v>0</v>
      </c>
      <c r="J78" s="17">
        <f t="shared" si="7"/>
        <v>0</v>
      </c>
      <c r="K78" s="1" t="str">
        <f t="shared" si="8"/>
        <v>PENDIENTE</v>
      </c>
    </row>
    <row r="79" spans="2:11" ht="34.950000000000003" customHeight="1" x14ac:dyDescent="0.3">
      <c r="B79" s="3">
        <v>7</v>
      </c>
      <c r="C79" s="13" t="s">
        <v>70</v>
      </c>
      <c r="D79" s="5" t="s">
        <v>94</v>
      </c>
      <c r="E79" s="3" t="s">
        <v>67</v>
      </c>
      <c r="F79" s="3">
        <v>8</v>
      </c>
      <c r="G79" s="14">
        <v>15347</v>
      </c>
      <c r="H79" s="9" t="str">
        <f>IF($H$49="","",$H$49)</f>
        <v/>
      </c>
      <c r="I79" s="16">
        <f t="shared" si="6"/>
        <v>0</v>
      </c>
      <c r="J79" s="17">
        <f t="shared" si="7"/>
        <v>0</v>
      </c>
      <c r="K79" s="1" t="str">
        <f t="shared" si="8"/>
        <v>PENDIENTE</v>
      </c>
    </row>
    <row r="80" spans="2:11" ht="49.5" customHeight="1" x14ac:dyDescent="0.3">
      <c r="B80" s="3">
        <v>8</v>
      </c>
      <c r="C80" s="13" t="s">
        <v>88</v>
      </c>
      <c r="D80" s="5" t="s">
        <v>104</v>
      </c>
      <c r="E80" s="3" t="s">
        <v>81</v>
      </c>
      <c r="F80" s="3">
        <v>2</v>
      </c>
      <c r="G80" s="14">
        <v>1223929</v>
      </c>
      <c r="H80" s="15"/>
      <c r="I80" s="16">
        <f t="shared" si="6"/>
        <v>0</v>
      </c>
      <c r="J80" s="17">
        <f t="shared" si="7"/>
        <v>0</v>
      </c>
      <c r="K80" s="1" t="str">
        <f t="shared" si="8"/>
        <v>PENDIENTE</v>
      </c>
    </row>
    <row r="81" spans="2:11" ht="34.950000000000003" customHeight="1" x14ac:dyDescent="0.3">
      <c r="B81" s="3">
        <v>9</v>
      </c>
      <c r="C81" s="13" t="s">
        <v>96</v>
      </c>
      <c r="D81" s="5" t="s">
        <v>105</v>
      </c>
      <c r="E81" s="3" t="s">
        <v>81</v>
      </c>
      <c r="F81" s="3">
        <v>1</v>
      </c>
      <c r="G81" s="14">
        <v>1593208</v>
      </c>
      <c r="H81" s="15"/>
      <c r="I81" s="16">
        <f t="shared" si="6"/>
        <v>0</v>
      </c>
      <c r="J81" s="17">
        <f t="shared" si="7"/>
        <v>0</v>
      </c>
      <c r="K81" s="1" t="str">
        <f t="shared" si="8"/>
        <v>PENDIENTE</v>
      </c>
    </row>
    <row r="82" spans="2:11" ht="30" customHeight="1" x14ac:dyDescent="0.3">
      <c r="B82" s="3">
        <v>10</v>
      </c>
      <c r="C82" s="13" t="s">
        <v>86</v>
      </c>
      <c r="D82" s="5" t="s">
        <v>106</v>
      </c>
      <c r="E82" s="3" t="s">
        <v>67</v>
      </c>
      <c r="F82" s="3">
        <v>3</v>
      </c>
      <c r="G82" s="14">
        <v>51272</v>
      </c>
      <c r="H82" s="15"/>
      <c r="I82" s="16">
        <f t="shared" si="6"/>
        <v>0</v>
      </c>
      <c r="J82" s="17">
        <f t="shared" si="7"/>
        <v>0</v>
      </c>
      <c r="K82" s="1" t="str">
        <f t="shared" si="8"/>
        <v>PENDIENTE</v>
      </c>
    </row>
    <row r="83" spans="2:11" ht="49.5" customHeight="1" x14ac:dyDescent="0.3">
      <c r="B83" s="3">
        <v>11</v>
      </c>
      <c r="C83" s="13" t="s">
        <v>86</v>
      </c>
      <c r="D83" s="5" t="s">
        <v>107</v>
      </c>
      <c r="E83" s="3" t="s">
        <v>67</v>
      </c>
      <c r="F83" s="3">
        <v>1</v>
      </c>
      <c r="G83" s="14">
        <v>3400000</v>
      </c>
      <c r="H83" s="15"/>
      <c r="I83" s="16">
        <f t="shared" si="6"/>
        <v>0</v>
      </c>
      <c r="J83" s="17">
        <f t="shared" si="7"/>
        <v>0</v>
      </c>
      <c r="K83" s="1" t="str">
        <f t="shared" si="8"/>
        <v>PENDIENTE</v>
      </c>
    </row>
    <row r="84" spans="2:11" ht="49.5" customHeight="1" x14ac:dyDescent="0.3">
      <c r="B84" s="3">
        <v>12</v>
      </c>
      <c r="C84" s="13" t="s">
        <v>86</v>
      </c>
      <c r="D84" s="5" t="s">
        <v>98</v>
      </c>
      <c r="E84" s="3" t="s">
        <v>67</v>
      </c>
      <c r="F84" s="3">
        <v>1</v>
      </c>
      <c r="G84" s="14">
        <v>1142857</v>
      </c>
      <c r="H84" s="9" t="str">
        <f>IF($H$50="","",$H$50)</f>
        <v/>
      </c>
      <c r="I84" s="16">
        <f t="shared" si="6"/>
        <v>0</v>
      </c>
      <c r="J84" s="17">
        <f t="shared" si="7"/>
        <v>0</v>
      </c>
      <c r="K84" s="1" t="str">
        <f t="shared" si="8"/>
        <v>PENDIENTE</v>
      </c>
    </row>
    <row r="85" spans="2:11" x14ac:dyDescent="0.3">
      <c r="B85" s="29" t="s">
        <v>108</v>
      </c>
      <c r="C85" s="22"/>
      <c r="D85" s="22"/>
      <c r="E85" s="22"/>
      <c r="F85" s="10">
        <f>SUM(F73:F84)</f>
        <v>98</v>
      </c>
      <c r="G85" s="12">
        <f>SUMPRODUCT(F73:F84,G73:G84)</f>
        <v>20659598</v>
      </c>
      <c r="H85" s="11"/>
      <c r="I85" s="12">
        <f>SUM(I73:I84)</f>
        <v>0</v>
      </c>
      <c r="J85" s="18">
        <f>SUM(J73:J84)</f>
        <v>0</v>
      </c>
      <c r="K85" s="10" t="str">
        <f>IF(COUNTIF(K73:K84,"OK")=ROWS(K73:K84),"OK","REVISAR")</f>
        <v>REVISAR</v>
      </c>
    </row>
    <row r="87" spans="2:11" x14ac:dyDescent="0.3">
      <c r="B87" s="29" t="s">
        <v>109</v>
      </c>
      <c r="C87" s="22"/>
      <c r="D87" s="22"/>
      <c r="E87" s="22"/>
      <c r="F87" s="10">
        <f>F69+F85</f>
        <v>247</v>
      </c>
      <c r="G87" s="12">
        <f>G69+G85</f>
        <v>47691633</v>
      </c>
      <c r="H87" s="11"/>
      <c r="I87" s="12">
        <f>I69+I85</f>
        <v>0</v>
      </c>
      <c r="J87" s="18">
        <f>J69+J85</f>
        <v>0</v>
      </c>
      <c r="K87" s="11"/>
    </row>
    <row r="89" spans="2:11" ht="19.95" customHeight="1" x14ac:dyDescent="0.3">
      <c r="B89" s="26" t="s">
        <v>110</v>
      </c>
      <c r="C89" s="22"/>
      <c r="D89" s="22"/>
      <c r="E89" s="22"/>
      <c r="F89" s="22"/>
      <c r="G89" s="22"/>
      <c r="H89" s="22"/>
      <c r="I89" s="22"/>
      <c r="J89" s="22"/>
      <c r="K89" s="22"/>
    </row>
    <row r="90" spans="2:11" x14ac:dyDescent="0.3">
      <c r="B90" s="23" t="s">
        <v>111</v>
      </c>
      <c r="C90" s="22"/>
      <c r="D90" s="22"/>
      <c r="E90" s="22"/>
      <c r="F90" s="22"/>
      <c r="G90" s="22"/>
      <c r="H90" s="22"/>
      <c r="I90" s="6" t="s">
        <v>112</v>
      </c>
      <c r="J90" s="6" t="s">
        <v>113</v>
      </c>
      <c r="K90" s="6" t="s">
        <v>114</v>
      </c>
    </row>
    <row r="91" spans="2:11" x14ac:dyDescent="0.3">
      <c r="B91" s="24" t="s">
        <v>115</v>
      </c>
      <c r="C91" s="22"/>
      <c r="D91" s="22"/>
      <c r="E91" s="22"/>
      <c r="F91" s="22"/>
      <c r="G91" s="22"/>
      <c r="H91" s="22"/>
      <c r="I91" s="16">
        <f>I43</f>
        <v>199459852</v>
      </c>
      <c r="J91" s="16">
        <f>J43</f>
        <v>222306600</v>
      </c>
      <c r="K91" s="16"/>
    </row>
    <row r="92" spans="2:11" x14ac:dyDescent="0.3">
      <c r="B92" s="24" t="s">
        <v>116</v>
      </c>
      <c r="C92" s="22"/>
      <c r="D92" s="22"/>
      <c r="E92" s="22"/>
      <c r="F92" s="22"/>
      <c r="G92" s="22"/>
      <c r="H92" s="22"/>
      <c r="I92" s="16">
        <f>I87</f>
        <v>0</v>
      </c>
      <c r="J92" s="16">
        <f>I87</f>
        <v>0</v>
      </c>
      <c r="K92" s="16"/>
    </row>
    <row r="93" spans="2:11" x14ac:dyDescent="0.3">
      <c r="B93" s="36" t="s">
        <v>117</v>
      </c>
      <c r="C93" s="22"/>
      <c r="D93" s="22"/>
      <c r="E93" s="22"/>
      <c r="F93" s="22"/>
      <c r="G93" s="22"/>
      <c r="H93" s="22"/>
      <c r="I93" s="12">
        <f>I91+I92</f>
        <v>199459852</v>
      </c>
      <c r="J93" s="12">
        <f>J91+J92</f>
        <v>222306600</v>
      </c>
      <c r="K93" s="12"/>
    </row>
    <row r="94" spans="2:11" x14ac:dyDescent="0.3">
      <c r="B94" s="24" t="s">
        <v>118</v>
      </c>
      <c r="C94" s="22"/>
      <c r="D94" s="22"/>
      <c r="E94" s="22"/>
      <c r="F94" s="22"/>
      <c r="G94" s="22"/>
      <c r="H94" s="22"/>
      <c r="I94" s="16">
        <f>ROUND(I93*0.1,0)</f>
        <v>19945985</v>
      </c>
      <c r="J94" s="16">
        <f>ROUND(J93*0.1,0)</f>
        <v>22230660</v>
      </c>
      <c r="K94" s="16"/>
    </row>
    <row r="95" spans="2:11" x14ac:dyDescent="0.3">
      <c r="B95" s="24" t="s">
        <v>119</v>
      </c>
      <c r="C95" s="22"/>
      <c r="D95" s="22"/>
      <c r="E95" s="22"/>
      <c r="F95" s="22"/>
      <c r="G95" s="22"/>
      <c r="H95" s="22"/>
      <c r="I95" s="16">
        <f>ROUND(I94*0.19,0)</f>
        <v>3789737</v>
      </c>
      <c r="J95" s="16">
        <f>ROUND(J94*0.19,0)</f>
        <v>4223825</v>
      </c>
      <c r="K95" s="16"/>
    </row>
    <row r="96" spans="2:11" x14ac:dyDescent="0.3">
      <c r="B96" s="36" t="s">
        <v>120</v>
      </c>
      <c r="C96" s="22"/>
      <c r="D96" s="22"/>
      <c r="E96" s="22"/>
      <c r="F96" s="22"/>
      <c r="G96" s="22"/>
      <c r="H96" s="22"/>
      <c r="I96" s="12">
        <f>I93+I95</f>
        <v>203249589</v>
      </c>
      <c r="J96" s="12">
        <f>J93+J95</f>
        <v>226530425</v>
      </c>
      <c r="K96" s="12"/>
    </row>
    <row r="97" spans="2:11" x14ac:dyDescent="0.3">
      <c r="B97" s="24" t="s">
        <v>121</v>
      </c>
      <c r="C97" s="22"/>
      <c r="D97" s="22"/>
      <c r="E97" s="22"/>
      <c r="F97" s="22"/>
      <c r="G97" s="22"/>
      <c r="H97" s="22"/>
      <c r="I97" s="19">
        <f>0.333333333333333</f>
        <v>0.33333333333333298</v>
      </c>
      <c r="J97" s="19">
        <f>6</f>
        <v>6</v>
      </c>
      <c r="K97" s="19">
        <f>I97+J97</f>
        <v>6.333333333333333</v>
      </c>
    </row>
    <row r="98" spans="2:11" x14ac:dyDescent="0.3">
      <c r="B98" s="36" t="s">
        <v>122</v>
      </c>
      <c r="C98" s="22"/>
      <c r="D98" s="22"/>
      <c r="E98" s="22"/>
      <c r="F98" s="22"/>
      <c r="G98" s="22"/>
      <c r="H98" s="22"/>
      <c r="I98" s="12">
        <f>ROUND(I96*I97,0)</f>
        <v>67749863</v>
      </c>
      <c r="J98" s="12">
        <f>ROUND(J96*J97,0)</f>
        <v>1359182550</v>
      </c>
      <c r="K98" s="12">
        <f>I98+J98</f>
        <v>1426932413</v>
      </c>
    </row>
    <row r="99" spans="2:11" ht="15.6" x14ac:dyDescent="0.3">
      <c r="B99" s="39" t="s">
        <v>123</v>
      </c>
      <c r="C99" s="22"/>
      <c r="D99" s="22"/>
      <c r="E99" s="22"/>
      <c r="F99" s="22"/>
      <c r="G99" s="22"/>
      <c r="H99" s="22"/>
      <c r="I99" s="22"/>
      <c r="J99" s="22"/>
      <c r="K99" s="20">
        <f>K98</f>
        <v>1426932413</v>
      </c>
    </row>
    <row r="100" spans="2:11" x14ac:dyDescent="0.3">
      <c r="B100" s="21" t="s">
        <v>124</v>
      </c>
      <c r="C100" s="22"/>
      <c r="D100" s="22"/>
      <c r="E100" s="22"/>
      <c r="F100" s="22"/>
      <c r="G100" s="22"/>
      <c r="H100" s="22"/>
      <c r="I100" s="22"/>
      <c r="J100" s="22"/>
      <c r="K100" s="16">
        <v>1734718315</v>
      </c>
    </row>
    <row r="101" spans="2:11" x14ac:dyDescent="0.3">
      <c r="B101" s="21" t="s">
        <v>125</v>
      </c>
      <c r="C101" s="22"/>
      <c r="D101" s="22"/>
      <c r="E101" s="22"/>
      <c r="F101" s="22"/>
      <c r="G101" s="22"/>
      <c r="H101" s="22"/>
      <c r="I101" s="22"/>
      <c r="J101" s="22"/>
      <c r="K101" s="16">
        <f>K99-K100</f>
        <v>-307785902</v>
      </c>
    </row>
    <row r="103" spans="2:11" ht="19.95" customHeight="1" x14ac:dyDescent="0.3">
      <c r="B103" s="26" t="s">
        <v>126</v>
      </c>
      <c r="C103" s="22"/>
      <c r="D103" s="22"/>
      <c r="E103" s="22"/>
      <c r="F103" s="22"/>
      <c r="G103" s="22"/>
      <c r="H103" s="22"/>
      <c r="I103" s="22"/>
      <c r="J103" s="22"/>
      <c r="K103" s="22"/>
    </row>
    <row r="104" spans="2:11" x14ac:dyDescent="0.3">
      <c r="B104" s="23" t="s">
        <v>127</v>
      </c>
      <c r="C104" s="22"/>
      <c r="D104" s="22"/>
      <c r="E104" s="22"/>
      <c r="F104" s="22"/>
      <c r="G104" s="22"/>
      <c r="H104" s="22"/>
      <c r="I104" s="23" t="s">
        <v>128</v>
      </c>
      <c r="J104" s="22"/>
      <c r="K104" s="6" t="s">
        <v>63</v>
      </c>
    </row>
    <row r="105" spans="2:11" x14ac:dyDescent="0.3">
      <c r="B105" s="24" t="s">
        <v>129</v>
      </c>
      <c r="C105" s="22"/>
      <c r="D105" s="22"/>
      <c r="E105" s="22"/>
      <c r="F105" s="22"/>
      <c r="G105" s="22"/>
      <c r="H105" s="22"/>
      <c r="I105" s="27" t="str">
        <f>(COUNTA(D9)+COUNTA(G9)+COUNTA(D10)+COUNTA(G10)+COUNTA(D11)+COUNTA(G11))&amp;" de 6"</f>
        <v>0 de 6</v>
      </c>
      <c r="J105" s="22"/>
      <c r="K105" s="1" t="str">
        <f>IF((COUNTA(D9)+COUNTA(G9)+COUNTA(D10)+COUNTA(G10)+COUNTA(D11)+COUNTA(G11))=6,"✔ CUMPLE","✘ PENDIENTE")</f>
        <v>✘ PENDIENTE</v>
      </c>
    </row>
    <row r="106" spans="2:11" x14ac:dyDescent="0.3">
      <c r="B106" s="24" t="s">
        <v>130</v>
      </c>
      <c r="C106" s="22"/>
      <c r="D106" s="22"/>
      <c r="E106" s="22"/>
      <c r="F106" s="22"/>
      <c r="G106" s="22"/>
      <c r="H106" s="22"/>
      <c r="I106" s="27" t="str">
        <f>(COUNT(H48)+COUNT(H49)+COUNT(H50)+COUNT(H54)+COUNT(H55)+COUNT(H56)+COUNT(H57)+COUNT(H58)+COUNT(H59)+COUNT(H60)+COUNT(H61)+COUNT(H62)+COUNT(H64)+COUNT(H66)+COUNT(H67)+COUNT(H73)+COUNT(H74)+COUNT(H75)+COUNT(H76)+COUNT(H78)+COUNT(H80)+COUNT(H81)+COUNT(H82)+COUNT(H83))&amp;" de 24"</f>
        <v>0 de 24</v>
      </c>
      <c r="J106" s="22"/>
      <c r="K106" s="1" t="str">
        <f>IF((COUNT(H48)+COUNT(H49)+COUNT(H50)+COUNT(H54)+COUNT(H55)+COUNT(H56)+COUNT(H57)+COUNT(H58)+COUNT(H59)+COUNT(H60)+COUNT(H61)+COUNT(H62)+COUNT(H64)+COUNT(H66)+COUNT(H67)+COUNT(H73)+COUNT(H74)+COUNT(H75)+COUNT(H76)+COUNT(H78)+COUNT(H80)+COUNT(H81)+COUNT(H82)+COUNT(H83))=24,"✔ CUMPLE","✘ PENDIENTE")</f>
        <v>✘ PENDIENTE</v>
      </c>
    </row>
    <row r="107" spans="2:11" x14ac:dyDescent="0.3">
      <c r="B107" s="24" t="s">
        <v>131</v>
      </c>
      <c r="C107" s="22"/>
      <c r="D107" s="22"/>
      <c r="E107" s="22"/>
      <c r="F107" s="22"/>
      <c r="G107" s="22"/>
      <c r="H107" s="22"/>
      <c r="I107" s="27" t="str">
        <f>(COUNTIF(K48,"SUPERA TECHO")+COUNTIF(K49,"SUPERA TECHO")+COUNTIF(K50,"SUPERA TECHO")+COUNTIF(K54,"SUPERA TECHO")+COUNTIF(K55,"SUPERA TECHO")+COUNTIF(K56,"SUPERA TECHO")+COUNTIF(K57,"SUPERA TECHO")+COUNTIF(K58,"SUPERA TECHO")+COUNTIF(K59,"SUPERA TECHO")+COUNTIF(K60,"SUPERA TECHO")+COUNTIF(K61,"SUPERA TECHO")+COUNTIF(K62,"SUPERA TECHO")+COUNTIF(K64,"SUPERA TECHO")+COUNTIF(K66,"SUPERA TECHO")+COUNTIF(K67,"SUPERA TECHO")+COUNTIF(K73,"SUPERA TECHO")+COUNTIF(K74,"SUPERA TECHO")+COUNTIF(K75,"SUPERA TECHO")+COUNTIF(K76,"SUPERA TECHO")+COUNTIF(K78,"SUPERA TECHO")+COUNTIF(K80,"SUPERA TECHO")+COUNTIF(K81,"SUPERA TECHO")+COUNTIF(K82,"SUPERA TECHO")+COUNTIF(K83,"SUPERA TECHO"))&amp;" ítem(s) sobre el techo"</f>
        <v>0 ítem(s) sobre el techo</v>
      </c>
      <c r="J107" s="22"/>
      <c r="K107" s="1" t="str">
        <f>IF((COUNTIF(K48,"SUPERA TECHO")+COUNTIF(K49,"SUPERA TECHO")+COUNTIF(K50,"SUPERA TECHO")+COUNTIF(K54,"SUPERA TECHO")+COUNTIF(K55,"SUPERA TECHO")+COUNTIF(K56,"SUPERA TECHO")+COUNTIF(K57,"SUPERA TECHO")+COUNTIF(K58,"SUPERA TECHO")+COUNTIF(K59,"SUPERA TECHO")+COUNTIF(K60,"SUPERA TECHO")+COUNTIF(K61,"SUPERA TECHO")+COUNTIF(K62,"SUPERA TECHO")+COUNTIF(K64,"SUPERA TECHO")+COUNTIF(K66,"SUPERA TECHO")+COUNTIF(K67,"SUPERA TECHO")+COUNTIF(K73,"SUPERA TECHO")+COUNTIF(K74,"SUPERA TECHO")+COUNTIF(K75,"SUPERA TECHO")+COUNTIF(K76,"SUPERA TECHO")+COUNTIF(K78,"SUPERA TECHO")+COUNTIF(K80,"SUPERA TECHO")+COUNTIF(K81,"SUPERA TECHO")+COUNTIF(K82,"SUPERA TECHO")+COUNTIF(K83,"SUPERA TECHO"))=0,"✔ CUMPLE","✘ REVISAR")</f>
        <v>✔ CUMPLE</v>
      </c>
    </row>
    <row r="108" spans="2:11" x14ac:dyDescent="0.3">
      <c r="B108" s="24" t="s">
        <v>132</v>
      </c>
      <c r="C108" s="22"/>
      <c r="D108" s="22"/>
      <c r="E108" s="22"/>
      <c r="F108" s="22"/>
      <c r="G108" s="22"/>
      <c r="H108" s="22"/>
      <c r="I108" s="27" t="str">
        <f>(COUNTIF(K48,"CON DECIMALES")+COUNTIF(K49,"CON DECIMALES")+COUNTIF(K50,"CON DECIMALES")+COUNTIF(K54,"CON DECIMALES")+COUNTIF(K55,"CON DECIMALES")+COUNTIF(K56,"CON DECIMALES")+COUNTIF(K57,"CON DECIMALES")+COUNTIF(K58,"CON DECIMALES")+COUNTIF(K59,"CON DECIMALES")+COUNTIF(K60,"CON DECIMALES")+COUNTIF(K61,"CON DECIMALES")+COUNTIF(K62,"CON DECIMALES")+COUNTIF(K64,"CON DECIMALES")+COUNTIF(K66,"CON DECIMALES")+COUNTIF(K67,"CON DECIMALES")+COUNTIF(K73,"CON DECIMALES")+COUNTIF(K74,"CON DECIMALES")+COUNTIF(K75,"CON DECIMALES")+COUNTIF(K76,"CON DECIMALES")+COUNTIF(K78,"CON DECIMALES")+COUNTIF(K80,"CON DECIMALES")+COUNTIF(K81,"CON DECIMALES")+COUNTIF(K82,"CON DECIMALES")+COUNTIF(K83,"CON DECIMALES")+COUNTIF(K48,"VALOR NO VÁLIDO")+COUNTIF(K49,"VALOR NO VÁLIDO")+COUNTIF(K50,"VALOR NO VÁLIDO")+COUNTIF(K54,"VALOR NO VÁLIDO")+COUNTIF(K55,"VALOR NO VÁLIDO")+COUNTIF(K56,"VALOR NO VÁLIDO")+COUNTIF(K57,"VALOR NO VÁLIDO")+COUNTIF(K58,"VALOR NO VÁLIDO")+COUNTIF(K59,"VALOR NO VÁLIDO")+COUNTIF(K60,"VALOR NO VÁLIDO")+COUNTIF(K61,"VALOR NO VÁLIDO")+COUNTIF(K62,"VALOR NO VÁLIDO")+COUNTIF(K64,"VALOR NO VÁLIDO")+COUNTIF(K66,"VALOR NO VÁLIDO")+COUNTIF(K67,"VALOR NO VÁLIDO")+COUNTIF(K73,"VALOR NO VÁLIDO")+COUNTIF(K74,"VALOR NO VÁLIDO")+COUNTIF(K75,"VALOR NO VÁLIDO")+COUNTIF(K76,"VALOR NO VÁLIDO")+COUNTIF(K78,"VALOR NO VÁLIDO")+COUNTIF(K80,"VALOR NO VÁLIDO")+COUNTIF(K81,"VALOR NO VÁLIDO")+COUNTIF(K82,"VALOR NO VÁLIDO")+COUNTIF(K83,"VALOR NO VÁLIDO")+COUNTIF(K48,"VALOR NO NUMÉRICO")+COUNTIF(K49,"VALOR NO NUMÉRICO")+COUNTIF(K50,"VALOR NO NUMÉRICO")+COUNTIF(K54,"VALOR NO NUMÉRICO")+COUNTIF(K55,"VALOR NO NUMÉRICO")+COUNTIF(K56,"VALOR NO NUMÉRICO")+COUNTIF(K57,"VALOR NO NUMÉRICO")+COUNTIF(K58,"VALOR NO NUMÉRICO")+COUNTIF(K59,"VALOR NO NUMÉRICO")+COUNTIF(K60,"VALOR NO NUMÉRICO")+COUNTIF(K61,"VALOR NO NUMÉRICO")+COUNTIF(K62,"VALOR NO NUMÉRICO")+COUNTIF(K64,"VALOR NO NUMÉRICO")+COUNTIF(K66,"VALOR NO NUMÉRICO")+COUNTIF(K67,"VALOR NO NUMÉRICO")+COUNTIF(K73,"VALOR NO NUMÉRICO")+COUNTIF(K74,"VALOR NO NUMÉRICO")+COUNTIF(K75,"VALOR NO NUMÉRICO")+COUNTIF(K76,"VALOR NO NUMÉRICO")+COUNTIF(K78,"VALOR NO NUMÉRICO")+COUNTIF(K80,"VALOR NO NUMÉRICO")+COUNTIF(K81,"VALOR NO NUMÉRICO")+COUNTIF(K82,"VALOR NO NUMÉRICO")+COUNTIF(K83,"VALOR NO NUMÉRICO"))&amp;" ítem(s) con observación"</f>
        <v>0 ítem(s) con observación</v>
      </c>
      <c r="J108" s="22"/>
      <c r="K108" s="1" t="str">
        <f>IF((COUNTIF(K48,"CON DECIMALES")+COUNTIF(K49,"CON DECIMALES")+COUNTIF(K50,"CON DECIMALES")+COUNTIF(K54,"CON DECIMALES")+COUNTIF(K55,"CON DECIMALES")+COUNTIF(K56,"CON DECIMALES")+COUNTIF(K57,"CON DECIMALES")+COUNTIF(K58,"CON DECIMALES")+COUNTIF(K59,"CON DECIMALES")+COUNTIF(K60,"CON DECIMALES")+COUNTIF(K61,"CON DECIMALES")+COUNTIF(K62,"CON DECIMALES")+COUNTIF(K64,"CON DECIMALES")+COUNTIF(K66,"CON DECIMALES")+COUNTIF(K67,"CON DECIMALES")+COUNTIF(K73,"CON DECIMALES")+COUNTIF(K74,"CON DECIMALES")+COUNTIF(K75,"CON DECIMALES")+COUNTIF(K76,"CON DECIMALES")+COUNTIF(K78,"CON DECIMALES")+COUNTIF(K80,"CON DECIMALES")+COUNTIF(K81,"CON DECIMALES")+COUNTIF(K82,"CON DECIMALES")+COUNTIF(K83,"CON DECIMALES")+COUNTIF(K48,"VALOR NO VÁLIDO")+COUNTIF(K49,"VALOR NO VÁLIDO")+COUNTIF(K50,"VALOR NO VÁLIDO")+COUNTIF(K54,"VALOR NO VÁLIDO")+COUNTIF(K55,"VALOR NO VÁLIDO")+COUNTIF(K56,"VALOR NO VÁLIDO")+COUNTIF(K57,"VALOR NO VÁLIDO")+COUNTIF(K58,"VALOR NO VÁLIDO")+COUNTIF(K59,"VALOR NO VÁLIDO")+COUNTIF(K60,"VALOR NO VÁLIDO")+COUNTIF(K61,"VALOR NO VÁLIDO")+COUNTIF(K62,"VALOR NO VÁLIDO")+COUNTIF(K64,"VALOR NO VÁLIDO")+COUNTIF(K66,"VALOR NO VÁLIDO")+COUNTIF(K67,"VALOR NO VÁLIDO")+COUNTIF(K73,"VALOR NO VÁLIDO")+COUNTIF(K74,"VALOR NO VÁLIDO")+COUNTIF(K75,"VALOR NO VÁLIDO")+COUNTIF(K76,"VALOR NO VÁLIDO")+COUNTIF(K78,"VALOR NO VÁLIDO")+COUNTIF(K80,"VALOR NO VÁLIDO")+COUNTIF(K81,"VALOR NO VÁLIDO")+COUNTIF(K82,"VALOR NO VÁLIDO")+COUNTIF(K83,"VALOR NO VÁLIDO")+COUNTIF(K48,"VALOR NO NUMÉRICO")+COUNTIF(K49,"VALOR NO NUMÉRICO")+COUNTIF(K50,"VALOR NO NUMÉRICO")+COUNTIF(K54,"VALOR NO NUMÉRICO")+COUNTIF(K55,"VALOR NO NUMÉRICO")+COUNTIF(K56,"VALOR NO NUMÉRICO")+COUNTIF(K57,"VALOR NO NUMÉRICO")+COUNTIF(K58,"VALOR NO NUMÉRICO")+COUNTIF(K59,"VALOR NO NUMÉRICO")+COUNTIF(K60,"VALOR NO NUMÉRICO")+COUNTIF(K61,"VALOR NO NUMÉRICO")+COUNTIF(K62,"VALOR NO NUMÉRICO")+COUNTIF(K64,"VALOR NO NUMÉRICO")+COUNTIF(K66,"VALOR NO NUMÉRICO")+COUNTIF(K67,"VALOR NO NUMÉRICO")+COUNTIF(K73,"VALOR NO NUMÉRICO")+COUNTIF(K74,"VALOR NO NUMÉRICO")+COUNTIF(K75,"VALOR NO NUMÉRICO")+COUNTIF(K76,"VALOR NO NUMÉRICO")+COUNTIF(K78,"VALOR NO NUMÉRICO")+COUNTIF(K80,"VALOR NO NUMÉRICO")+COUNTIF(K81,"VALOR NO NUMÉRICO")+COUNTIF(K82,"VALOR NO NUMÉRICO")+COUNTIF(K83,"VALOR NO NUMÉRICO"))=0,"✔ CUMPLE","✘ REVISAR")</f>
        <v>✔ CUMPLE</v>
      </c>
    </row>
    <row r="109" spans="2:11" x14ac:dyDescent="0.3">
      <c r="B109" s="24" t="s">
        <v>133</v>
      </c>
      <c r="C109" s="22"/>
      <c r="D109" s="22"/>
      <c r="E109" s="22"/>
      <c r="F109" s="22"/>
      <c r="G109" s="22"/>
      <c r="H109" s="22"/>
      <c r="I109" s="40">
        <f>K101</f>
        <v>-307785902</v>
      </c>
      <c r="J109" s="22"/>
      <c r="K109" s="1" t="str">
        <f>IF(AND((COUNT(H48)+COUNT(H49)+COUNT(H50)+COUNT(H54)+COUNT(H55)+COUNT(H56)+COUNT(H57)+COUNT(H58)+COUNT(H59)+COUNT(H60)+COUNT(H61)+COUNT(H62)+COUNT(H64)+COUNT(H66)+COUNT(H67)+COUNT(H73)+COUNT(H74)+COUNT(H75)+COUNT(H76)+COUNT(H78)+COUNT(H80)+COUNT(H81)+COUNT(H82)+COUNT(H83))=24,K99&lt;=K100),"✔ CUMPLE",IF((COUNT(H48)+COUNT(H49)+COUNT(H50)+COUNT(H54)+COUNT(H55)+COUNT(H56)+COUNT(H57)+COUNT(H58)+COUNT(H59)+COUNT(H60)+COUNT(H61)+COUNT(H62)+COUNT(H64)+COUNT(H66)+COUNT(H67)+COUNT(H73)+COUNT(H74)+COUNT(H75)+COUNT(H76)+COUNT(H78)+COUNT(H80)+COUNT(H81)+COUNT(H82)+COUNT(H83))&lt;24,"✘ PENDIENTE","✘ REVISAR"))</f>
        <v>✘ PENDIENTE</v>
      </c>
    </row>
    <row r="110" spans="2:11" ht="15.6" x14ac:dyDescent="0.3">
      <c r="B110" s="41" t="s">
        <v>134</v>
      </c>
      <c r="C110" s="22"/>
      <c r="D110" s="22"/>
      <c r="E110" s="22"/>
      <c r="F110" s="22"/>
      <c r="G110" s="22"/>
      <c r="H110" s="22"/>
      <c r="I110" s="22"/>
      <c r="J110" s="22"/>
      <c r="K110" s="4" t="str">
        <f>IF(COUNTIF(K105:K109,"✔ CUMPLE")=5,"LISTA PARA FIRMA","INCOMPLETA")</f>
        <v>INCOMPLETA</v>
      </c>
    </row>
    <row r="112" spans="2:11" ht="36" customHeight="1" x14ac:dyDescent="0.3">
      <c r="B112" s="24" t="s">
        <v>135</v>
      </c>
      <c r="C112" s="22"/>
      <c r="D112" s="22"/>
      <c r="E112" s="22"/>
      <c r="F112" s="22"/>
      <c r="G112" s="22"/>
      <c r="H112" s="22"/>
      <c r="I112" s="22"/>
      <c r="J112" s="22"/>
      <c r="K112" s="22"/>
    </row>
  </sheetData>
  <mergeCells count="83">
    <mergeCell ref="B100:J100"/>
    <mergeCell ref="I109:J109"/>
    <mergeCell ref="B18:D18"/>
    <mergeCell ref="B112:K112"/>
    <mergeCell ref="I16:K16"/>
    <mergeCell ref="I105:J105"/>
    <mergeCell ref="C25:K25"/>
    <mergeCell ref="I49:J49"/>
    <mergeCell ref="E17:F17"/>
    <mergeCell ref="B89:K89"/>
    <mergeCell ref="B85:E85"/>
    <mergeCell ref="G17:H17"/>
    <mergeCell ref="B32:K32"/>
    <mergeCell ref="B91:H91"/>
    <mergeCell ref="B93:H93"/>
    <mergeCell ref="B71:K71"/>
    <mergeCell ref="B52:K52"/>
    <mergeCell ref="B110:J110"/>
    <mergeCell ref="I48:J48"/>
    <mergeCell ref="G10:K10"/>
    <mergeCell ref="B109:H109"/>
    <mergeCell ref="C23:K23"/>
    <mergeCell ref="B43:E43"/>
    <mergeCell ref="B9:C9"/>
    <mergeCell ref="C24:K24"/>
    <mergeCell ref="C26:K26"/>
    <mergeCell ref="I50:J50"/>
    <mergeCell ref="B103:K103"/>
    <mergeCell ref="E10:F10"/>
    <mergeCell ref="B15:D15"/>
    <mergeCell ref="E9:F9"/>
    <mergeCell ref="B10:C10"/>
    <mergeCell ref="E11:F11"/>
    <mergeCell ref="G14:H14"/>
    <mergeCell ref="B16:D16"/>
    <mergeCell ref="B108:H108"/>
    <mergeCell ref="G9:K9"/>
    <mergeCell ref="I108:J108"/>
    <mergeCell ref="B17:D17"/>
    <mergeCell ref="G11:K11"/>
    <mergeCell ref="E14:F14"/>
    <mergeCell ref="B45:K45"/>
    <mergeCell ref="B11:C11"/>
    <mergeCell ref="I14:K14"/>
    <mergeCell ref="E18:K18"/>
    <mergeCell ref="B46:K46"/>
    <mergeCell ref="B96:H96"/>
    <mergeCell ref="B105:H105"/>
    <mergeCell ref="I107:J107"/>
    <mergeCell ref="B98:H98"/>
    <mergeCell ref="B107:H107"/>
    <mergeCell ref="I106:J106"/>
    <mergeCell ref="C27:K27"/>
    <mergeCell ref="B97:H97"/>
    <mergeCell ref="B2:C4"/>
    <mergeCell ref="B106:H106"/>
    <mergeCell ref="I17:K17"/>
    <mergeCell ref="D2:K4"/>
    <mergeCell ref="B90:H90"/>
    <mergeCell ref="C28:K28"/>
    <mergeCell ref="C30:K30"/>
    <mergeCell ref="B8:K8"/>
    <mergeCell ref="B69:E69"/>
    <mergeCell ref="B87:E87"/>
    <mergeCell ref="B5:K5"/>
    <mergeCell ref="E16:F16"/>
    <mergeCell ref="G16:H16"/>
    <mergeCell ref="B101:J101"/>
    <mergeCell ref="I104:J104"/>
    <mergeCell ref="B95:H95"/>
    <mergeCell ref="B6:K6"/>
    <mergeCell ref="B20:K20"/>
    <mergeCell ref="B104:H104"/>
    <mergeCell ref="B13:K13"/>
    <mergeCell ref="E15:K15"/>
    <mergeCell ref="C29:K29"/>
    <mergeCell ref="B14:D14"/>
    <mergeCell ref="C22:K22"/>
    <mergeCell ref="B92:H92"/>
    <mergeCell ref="C21:K21"/>
    <mergeCell ref="B94:H94"/>
    <mergeCell ref="I47:J47"/>
    <mergeCell ref="B99:J99"/>
  </mergeCells>
  <conditionalFormatting sqref="D9:D11">
    <cfRule type="expression" dxfId="55" priority="131">
      <formula>LEN(D9)&gt;0</formula>
    </cfRule>
  </conditionalFormatting>
  <conditionalFormatting sqref="E15">
    <cfRule type="expression" dxfId="54" priority="138">
      <formula>I14=1</formula>
    </cfRule>
    <cfRule type="expression" dxfId="53" priority="139">
      <formula>I14&lt;0.5</formula>
    </cfRule>
  </conditionalFormatting>
  <conditionalFormatting sqref="E18">
    <cfRule type="cellIs" dxfId="52" priority="157" operator="equal">
      <formula>"LISTA PARA FIRMA"</formula>
    </cfRule>
    <cfRule type="cellIs" dxfId="51" priority="158" operator="equal">
      <formula>"INCOMPLETA"</formula>
    </cfRule>
  </conditionalFormatting>
  <conditionalFormatting sqref="G9:G11">
    <cfRule type="expression" dxfId="50" priority="132">
      <formula>LEN(G9)&gt;0</formula>
    </cfRule>
  </conditionalFormatting>
  <conditionalFormatting sqref="H48:H50">
    <cfRule type="expression" dxfId="49" priority="83">
      <formula>AND(ISNUMBER(H48),H48&gt;G48)</formula>
    </cfRule>
    <cfRule type="expression" dxfId="48" priority="84">
      <formula>AND(ISNUMBER(H48),H48&gt;0,H48&lt;=G48,H48=ROUND(H48,0))</formula>
    </cfRule>
  </conditionalFormatting>
  <conditionalFormatting sqref="H54:H62">
    <cfRule type="expression" dxfId="47" priority="89">
      <formula>AND(ISNUMBER(H54),H54&gt;G54)</formula>
    </cfRule>
    <cfRule type="expression" dxfId="46" priority="90">
      <formula>AND(ISNUMBER(H54),H54&gt;0,H54&lt;=G54,H54=ROUND(H54,0))</formula>
    </cfRule>
  </conditionalFormatting>
  <conditionalFormatting sqref="H64">
    <cfRule type="expression" dxfId="45" priority="107">
      <formula>AND(ISNUMBER(H64),H64&gt;G64)</formula>
    </cfRule>
    <cfRule type="expression" dxfId="44" priority="108">
      <formula>AND(ISNUMBER(H64),H64&gt;0,H64&lt;=G64,H64=ROUND(H64,0))</formula>
    </cfRule>
  </conditionalFormatting>
  <conditionalFormatting sqref="H66:H67">
    <cfRule type="expression" dxfId="43" priority="109">
      <formula>AND(ISNUMBER(H66),H66&gt;G66)</formula>
    </cfRule>
    <cfRule type="expression" dxfId="42" priority="110">
      <formula>AND(ISNUMBER(H66),H66&gt;0,H66&lt;=G66,H66=ROUND(H66,0))</formula>
    </cfRule>
  </conditionalFormatting>
  <conditionalFormatting sqref="H73:H76">
    <cfRule type="expression" dxfId="41" priority="114">
      <formula>AND(ISNUMBER(H73),H73&gt;0,H73&lt;=G73,H73=ROUND(H73,0))</formula>
    </cfRule>
    <cfRule type="expression" dxfId="40" priority="113">
      <formula>AND(ISNUMBER(H73),H73&gt;G73)</formula>
    </cfRule>
  </conditionalFormatting>
  <conditionalFormatting sqref="H78">
    <cfRule type="expression" dxfId="39" priority="121">
      <formula>AND(ISNUMBER(H78),H78&gt;G78)</formula>
    </cfRule>
    <cfRule type="expression" dxfId="38" priority="122">
      <formula>AND(ISNUMBER(H78),H78&gt;0,H78&lt;=G78,H78=ROUND(H78,0))</formula>
    </cfRule>
  </conditionalFormatting>
  <conditionalFormatting sqref="H80:H83">
    <cfRule type="expression" dxfId="37" priority="124">
      <formula>AND(ISNUMBER(H80),H80&gt;0,H80&lt;=G80,H80=ROUND(H80,0))</formula>
    </cfRule>
    <cfRule type="expression" dxfId="36" priority="123">
      <formula>AND(ISNUMBER(H80),H80&gt;G80)</formula>
    </cfRule>
  </conditionalFormatting>
  <conditionalFormatting sqref="I17">
    <cfRule type="expression" dxfId="35" priority="159">
      <formula>K99&gt;K100</formula>
    </cfRule>
  </conditionalFormatting>
  <conditionalFormatting sqref="I14:K14">
    <cfRule type="dataBar" priority="137">
      <dataBar>
        <cfvo type="num" val="0"/>
        <cfvo type="num" val="1"/>
        <color rgb="FF5B9BD5"/>
      </dataBar>
    </cfRule>
  </conditionalFormatting>
  <conditionalFormatting sqref="K48:K50">
    <cfRule type="cellIs" dxfId="34" priority="2" operator="equal">
      <formula>"PENDIENTE"</formula>
    </cfRule>
    <cfRule type="expression" dxfId="33" priority="3">
      <formula>AND(K48&lt;&gt;"OK",K48&lt;&gt;"PENDIENTE",K48&lt;&gt;"")</formula>
    </cfRule>
    <cfRule type="cellIs" dxfId="32" priority="1" operator="equal">
      <formula>"OK"</formula>
    </cfRule>
  </conditionalFormatting>
  <conditionalFormatting sqref="K54:K62">
    <cfRule type="expression" dxfId="31" priority="12">
      <formula>AND(K54&lt;&gt;"OK",K54&lt;&gt;"PENDIENTE",K54&lt;&gt;"")</formula>
    </cfRule>
    <cfRule type="cellIs" dxfId="30" priority="11" operator="equal">
      <formula>"PENDIENTE"</formula>
    </cfRule>
    <cfRule type="cellIs" dxfId="29" priority="10" operator="equal">
      <formula>"OK"</formula>
    </cfRule>
  </conditionalFormatting>
  <conditionalFormatting sqref="K54:K68">
    <cfRule type="cellIs" dxfId="28" priority="74" operator="equal">
      <formula>"PENDIENTE"</formula>
    </cfRule>
    <cfRule type="expression" dxfId="27" priority="75">
      <formula>AND(K54&lt;&gt;"OK",K54&lt;&gt;"PENDIENTE",K54&lt;&gt;"")</formula>
    </cfRule>
  </conditionalFormatting>
  <conditionalFormatting sqref="K54:K69">
    <cfRule type="cellIs" dxfId="26" priority="73" operator="equal">
      <formula>"OK"</formula>
    </cfRule>
  </conditionalFormatting>
  <conditionalFormatting sqref="K64">
    <cfRule type="cellIs" dxfId="25" priority="37" operator="equal">
      <formula>"OK"</formula>
    </cfRule>
    <cfRule type="expression" dxfId="24" priority="39">
      <formula>AND(K64&lt;&gt;"OK",K64&lt;&gt;"PENDIENTE",K64&lt;&gt;"")</formula>
    </cfRule>
    <cfRule type="cellIs" dxfId="23" priority="38" operator="equal">
      <formula>"PENDIENTE"</formula>
    </cfRule>
  </conditionalFormatting>
  <conditionalFormatting sqref="K66:K67">
    <cfRule type="cellIs" dxfId="22" priority="40" operator="equal">
      <formula>"OK"</formula>
    </cfRule>
    <cfRule type="cellIs" dxfId="21" priority="41" operator="equal">
      <formula>"PENDIENTE"</formula>
    </cfRule>
    <cfRule type="expression" dxfId="20" priority="42">
      <formula>AND(K66&lt;&gt;"OK",K66&lt;&gt;"PENDIENTE",K66&lt;&gt;"")</formula>
    </cfRule>
  </conditionalFormatting>
  <conditionalFormatting sqref="K69">
    <cfRule type="cellIs" dxfId="19" priority="80" operator="equal">
      <formula>"REVISAR"</formula>
    </cfRule>
  </conditionalFormatting>
  <conditionalFormatting sqref="K73:K76">
    <cfRule type="cellIs" dxfId="18" priority="47" operator="equal">
      <formula>"PENDIENTE"</formula>
    </cfRule>
    <cfRule type="expression" dxfId="17" priority="48">
      <formula>AND(K73&lt;&gt;"OK",K73&lt;&gt;"PENDIENTE",K73&lt;&gt;"")</formula>
    </cfRule>
    <cfRule type="cellIs" dxfId="16" priority="46" operator="equal">
      <formula>"OK"</formula>
    </cfRule>
  </conditionalFormatting>
  <conditionalFormatting sqref="K73:K84">
    <cfRule type="cellIs" dxfId="15" priority="77" operator="equal">
      <formula>"PENDIENTE"</formula>
    </cfRule>
    <cfRule type="expression" dxfId="14" priority="78">
      <formula>AND(K73&lt;&gt;"OK",K73&lt;&gt;"PENDIENTE",K73&lt;&gt;"")</formula>
    </cfRule>
  </conditionalFormatting>
  <conditionalFormatting sqref="K73:K85">
    <cfRule type="cellIs" dxfId="13" priority="76" operator="equal">
      <formula>"OK"</formula>
    </cfRule>
  </conditionalFormatting>
  <conditionalFormatting sqref="K78">
    <cfRule type="cellIs" dxfId="12" priority="58" operator="equal">
      <formula>"OK"</formula>
    </cfRule>
    <cfRule type="cellIs" dxfId="11" priority="59" operator="equal">
      <formula>"PENDIENTE"</formula>
    </cfRule>
    <cfRule type="expression" dxfId="10" priority="60">
      <formula>AND(K78&lt;&gt;"OK",K78&lt;&gt;"PENDIENTE",K78&lt;&gt;"")</formula>
    </cfRule>
  </conditionalFormatting>
  <conditionalFormatting sqref="K80:K83">
    <cfRule type="expression" dxfId="9" priority="63">
      <formula>AND(K80&lt;&gt;"OK",K80&lt;&gt;"PENDIENTE",K80&lt;&gt;"")</formula>
    </cfRule>
    <cfRule type="cellIs" dxfId="8" priority="62" operator="equal">
      <formula>"PENDIENTE"</formula>
    </cfRule>
    <cfRule type="cellIs" dxfId="7" priority="61" operator="equal">
      <formula>"OK"</formula>
    </cfRule>
  </conditionalFormatting>
  <conditionalFormatting sqref="K85">
    <cfRule type="cellIs" dxfId="6" priority="82" operator="equal">
      <formula>"REVISAR"</formula>
    </cfRule>
  </conditionalFormatting>
  <conditionalFormatting sqref="K99">
    <cfRule type="expression" dxfId="5" priority="160">
      <formula>K99&gt;K100</formula>
    </cfRule>
  </conditionalFormatting>
  <conditionalFormatting sqref="K105:K109">
    <cfRule type="expression" dxfId="4" priority="142">
      <formula>ISNUMBER(SEARCH("REVISAR",K105))</formula>
    </cfRule>
    <cfRule type="expression" dxfId="3" priority="140">
      <formula>LEFT(K105,1)="✔"</formula>
    </cfRule>
    <cfRule type="expression" dxfId="2" priority="141">
      <formula>ISNUMBER(SEARCH("PENDIENTE",K105))</formula>
    </cfRule>
  </conditionalFormatting>
  <conditionalFormatting sqref="K110">
    <cfRule type="cellIs" dxfId="1" priority="155" operator="equal">
      <formula>"LISTA PARA FIRMA"</formula>
    </cfRule>
    <cfRule type="cellIs" dxfId="0" priority="156" operator="equal">
      <formula>"INCOMPLETA"</formula>
    </cfRule>
  </conditionalFormatting>
  <dataValidations count="2">
    <dataValidation type="date" operator="greaterThan" showErrorMessage="1" errorTitle="Fecha no válida" error="Registre la fecha en formato DD/MM/AAAA." sqref="G11" xr:uid="{00000000-0002-0000-0000-000000000000}">
      <formula1>DATE(2026,1,1)</formula1>
    </dataValidation>
    <dataValidation type="custom" showInputMessage="1" showErrorMessage="1" errorTitle="Valor no válido" error="El valor unitario debe ser numérico, mayor que cero, en pesos sin decimales y no puede superar el precio techo de la columna G." promptTitle="Valor unitario mensual sin IVA" prompt="Registre el valor en pesos, sin decimales, igual o inferior al precio techo." sqref="H48 H49 H50 H54 H55 H56 H57 H58 H59 H60 H61 H62 H64 H66 H67 H73 H74 H75 H76 H78 H80 H81 H82 H83" xr:uid="{00000000-0002-0000-0000-000001000000}">
      <formula1>AND(ISNUMBER(H48),H48&gt;0,H48&lt;=G48,H48=ROUND(H48,0))</formula1>
    </dataValidation>
  </dataValidations>
  <printOptions horizontalCentered="1"/>
  <pageMargins left="0.75" right="0.75" top="1" bottom="1" header="0.5" footer="0.5"/>
  <pageSetup fitToHeight="0" orientation="landscape"/>
  <headerFooter>
    <oddFooter>&amp;CPágina &amp;P de &amp;N</odd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OFERTA ECONOMICA</vt:lpstr>
      <vt:lpstr>'OFERTA ECONOMICA'!Área_de_impresión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DIEGO ALEXANDER QUINTANILLA ORTIZ</cp:lastModifiedBy>
  <dcterms:created xsi:type="dcterms:W3CDTF">2026-10-21T20:15:13Z</dcterms:created>
  <dcterms:modified xsi:type="dcterms:W3CDTF">2026-10-21T20:22:08Z</dcterms:modified>
</cp:coreProperties>
</file>